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清远来一口资料\清远来一口合同\富牛\"/>
    </mc:Choice>
  </mc:AlternateContent>
  <xr:revisionPtr revIDLastSave="0" documentId="13_ncr:1_{B19A2030-5AB3-4875-B768-BDDD8B5782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对账单" sheetId="4" r:id="rId1"/>
    <sheet name="加工费合计 1219" sheetId="3" r:id="rId2"/>
    <sheet name="材料费10月" sheetId="6" r:id="rId3"/>
    <sheet name="材料费合计12月" sheetId="5" r:id="rId4"/>
    <sheet name="富牛采购1215" sheetId="2" state="hidden" r:id="rId5"/>
    <sheet name="富牛报价" sheetId="1" state="hidden" r:id="rId6"/>
  </sheets>
  <definedNames>
    <definedName name="_xlnm._FilterDatabase" localSheetId="4" hidden="1">富牛采购1215!$A$1:$K$43</definedName>
    <definedName name="_xlnm._FilterDatabase" localSheetId="1" hidden="1">'加工费合计 1219'!$A$2:$K$63</definedName>
    <definedName name="_xlnm.Print_Area" localSheetId="1">'加工费合计 1219'!$A$1:$K$67</definedName>
    <definedName name="_xlnm.Print_Titles" localSheetId="1">'加工费合计 1219'!$1:$2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9" i="1" l="1"/>
  <c r="T39" i="1"/>
  <c r="V39" i="1" s="1"/>
  <c r="W38" i="1"/>
  <c r="V38" i="1"/>
  <c r="T38" i="1"/>
  <c r="W37" i="1"/>
  <c r="T37" i="1"/>
  <c r="V37" i="1" s="1"/>
  <c r="W36" i="1"/>
  <c r="T36" i="1"/>
  <c r="V36" i="1" s="1"/>
  <c r="W35" i="1"/>
  <c r="T35" i="1"/>
  <c r="V35" i="1" s="1"/>
  <c r="W34" i="1"/>
  <c r="V34" i="1"/>
  <c r="T34" i="1"/>
  <c r="W33" i="1"/>
  <c r="V33" i="1"/>
  <c r="T33" i="1"/>
  <c r="W32" i="1"/>
  <c r="V32" i="1"/>
  <c r="T32" i="1"/>
  <c r="W31" i="1"/>
  <c r="T31" i="1"/>
  <c r="V31" i="1" s="1"/>
  <c r="W30" i="1"/>
  <c r="V30" i="1"/>
  <c r="T30" i="1"/>
  <c r="W29" i="1"/>
  <c r="T29" i="1"/>
  <c r="V29" i="1" s="1"/>
  <c r="W28" i="1"/>
  <c r="T28" i="1"/>
  <c r="V28" i="1" s="1"/>
  <c r="W27" i="1"/>
  <c r="T27" i="1"/>
  <c r="V27" i="1" s="1"/>
  <c r="W26" i="1"/>
  <c r="V26" i="1"/>
  <c r="T26" i="1"/>
  <c r="W25" i="1"/>
  <c r="V25" i="1"/>
  <c r="T25" i="1"/>
  <c r="W24" i="1"/>
  <c r="V24" i="1"/>
  <c r="T24" i="1"/>
  <c r="W23" i="1"/>
  <c r="T23" i="1"/>
  <c r="V23" i="1" s="1"/>
  <c r="W22" i="1"/>
  <c r="V22" i="1"/>
  <c r="T22" i="1"/>
  <c r="W21" i="1"/>
  <c r="T21" i="1"/>
  <c r="V21" i="1" s="1"/>
  <c r="W20" i="1"/>
  <c r="T20" i="1"/>
  <c r="V20" i="1" s="1"/>
  <c r="W19" i="1"/>
  <c r="T19" i="1"/>
  <c r="V19" i="1" s="1"/>
  <c r="W18" i="1"/>
  <c r="V18" i="1"/>
  <c r="T18" i="1"/>
  <c r="W17" i="1"/>
  <c r="V17" i="1"/>
  <c r="T17" i="1"/>
  <c r="W16" i="1"/>
  <c r="V16" i="1"/>
  <c r="T16" i="1"/>
  <c r="W15" i="1"/>
  <c r="T15" i="1"/>
  <c r="V15" i="1" s="1"/>
  <c r="W14" i="1"/>
  <c r="V14" i="1"/>
  <c r="T14" i="1"/>
  <c r="W13" i="1"/>
  <c r="T13" i="1"/>
  <c r="V13" i="1" s="1"/>
  <c r="W12" i="1"/>
  <c r="T12" i="1"/>
  <c r="V12" i="1" s="1"/>
  <c r="W11" i="1"/>
  <c r="T11" i="1"/>
  <c r="V11" i="1" s="1"/>
  <c r="W10" i="1"/>
  <c r="V10" i="1"/>
  <c r="T10" i="1"/>
  <c r="W9" i="1"/>
  <c r="V9" i="1"/>
  <c r="T9" i="1"/>
  <c r="W8" i="1"/>
  <c r="V8" i="1"/>
  <c r="T8" i="1"/>
  <c r="W7" i="1"/>
  <c r="T7" i="1"/>
  <c r="V7" i="1" s="1"/>
  <c r="W6" i="1"/>
  <c r="V6" i="1"/>
  <c r="T6" i="1"/>
  <c r="W5" i="1"/>
  <c r="T5" i="1"/>
  <c r="V5" i="1" s="1"/>
  <c r="W4" i="1"/>
  <c r="T4" i="1"/>
  <c r="V4" i="1" s="1"/>
  <c r="W3" i="1"/>
  <c r="T3" i="1"/>
  <c r="V3" i="1" s="1"/>
  <c r="E40" i="2"/>
  <c r="G39" i="2"/>
  <c r="J39" i="2" s="1"/>
  <c r="F39" i="2"/>
  <c r="G38" i="2"/>
  <c r="J38" i="2" s="1"/>
  <c r="J37" i="2"/>
  <c r="G37" i="2"/>
  <c r="J36" i="2"/>
  <c r="G36" i="2"/>
  <c r="J35" i="2"/>
  <c r="G35" i="2"/>
  <c r="G34" i="2"/>
  <c r="J34" i="2" s="1"/>
  <c r="J40" i="2" s="1"/>
  <c r="E33" i="2"/>
  <c r="G32" i="2"/>
  <c r="J32" i="2" s="1"/>
  <c r="G31" i="2"/>
  <c r="J31" i="2" s="1"/>
  <c r="J30" i="2"/>
  <c r="G30" i="2"/>
  <c r="E30" i="2"/>
  <c r="J29" i="2"/>
  <c r="G29" i="2"/>
  <c r="G33" i="2" s="1"/>
  <c r="J28" i="2"/>
  <c r="G28" i="2"/>
  <c r="E27" i="2"/>
  <c r="G26" i="2"/>
  <c r="J26" i="2" s="1"/>
  <c r="G25" i="2"/>
  <c r="J25" i="2" s="1"/>
  <c r="F24" i="2"/>
  <c r="G24" i="2" s="1"/>
  <c r="J24" i="2" s="1"/>
  <c r="F23" i="2"/>
  <c r="E23" i="2"/>
  <c r="G23" i="2" s="1"/>
  <c r="J23" i="2" s="1"/>
  <c r="J22" i="2"/>
  <c r="G22" i="2"/>
  <c r="G21" i="2"/>
  <c r="J21" i="2" s="1"/>
  <c r="E20" i="2"/>
  <c r="G20" i="2" s="1"/>
  <c r="G19" i="2"/>
  <c r="J19" i="2" s="1"/>
  <c r="E18" i="2"/>
  <c r="E41" i="2" s="1"/>
  <c r="F17" i="2"/>
  <c r="G17" i="2" s="1"/>
  <c r="J17" i="2" s="1"/>
  <c r="G16" i="2"/>
  <c r="J16" i="2" s="1"/>
  <c r="F16" i="2"/>
  <c r="G15" i="2"/>
  <c r="J15" i="2" s="1"/>
  <c r="J14" i="2"/>
  <c r="G14" i="2"/>
  <c r="J13" i="2"/>
  <c r="G13" i="2"/>
  <c r="J12" i="2"/>
  <c r="G12" i="2"/>
  <c r="G11" i="2"/>
  <c r="G18" i="2" s="1"/>
  <c r="J10" i="2"/>
  <c r="G10" i="2"/>
  <c r="J9" i="2"/>
  <c r="G9" i="2"/>
  <c r="J8" i="2"/>
  <c r="G8" i="2"/>
  <c r="G7" i="2"/>
  <c r="E7" i="2"/>
  <c r="G6" i="2"/>
  <c r="J6" i="2" s="1"/>
  <c r="G5" i="2"/>
  <c r="J5" i="2" s="1"/>
  <c r="G4" i="2"/>
  <c r="J4" i="2" s="1"/>
  <c r="J3" i="2"/>
  <c r="G3" i="2"/>
  <c r="G2" i="2"/>
  <c r="J2" i="2" s="1"/>
  <c r="X17" i="5"/>
  <c r="E17" i="5"/>
  <c r="H19" i="5" s="1"/>
  <c r="C17" i="5"/>
  <c r="C23" i="5" s="1"/>
  <c r="Y16" i="5"/>
  <c r="Z16" i="5" s="1"/>
  <c r="N16" i="5"/>
  <c r="P16" i="5" s="1"/>
  <c r="J16" i="5"/>
  <c r="K16" i="5" s="1"/>
  <c r="G16" i="5"/>
  <c r="E16" i="5"/>
  <c r="Y15" i="5"/>
  <c r="Z15" i="5" s="1"/>
  <c r="N15" i="5"/>
  <c r="P15" i="5" s="1"/>
  <c r="J15" i="5"/>
  <c r="K15" i="5" s="1"/>
  <c r="M11" i="5" s="1"/>
  <c r="G15" i="5"/>
  <c r="E15" i="5"/>
  <c r="D15" i="5"/>
  <c r="Z14" i="5"/>
  <c r="Y14" i="5"/>
  <c r="N14" i="5"/>
  <c r="K14" i="5"/>
  <c r="E14" i="5"/>
  <c r="G14" i="5" s="1"/>
  <c r="Y13" i="5"/>
  <c r="Z13" i="5" s="1"/>
  <c r="N13" i="5"/>
  <c r="K13" i="5"/>
  <c r="G13" i="5"/>
  <c r="E13" i="5"/>
  <c r="N12" i="5"/>
  <c r="K12" i="5"/>
  <c r="G12" i="5"/>
  <c r="E12" i="5"/>
  <c r="Y11" i="5"/>
  <c r="Z11" i="5" s="1"/>
  <c r="N11" i="5"/>
  <c r="T11" i="5" s="1"/>
  <c r="K11" i="5"/>
  <c r="G11" i="5"/>
  <c r="E11" i="5"/>
  <c r="Z10" i="5"/>
  <c r="Y10" i="5"/>
  <c r="U10" i="5"/>
  <c r="W10" i="5" s="1"/>
  <c r="T10" i="5"/>
  <c r="P10" i="5"/>
  <c r="N10" i="5"/>
  <c r="R10" i="5" s="1"/>
  <c r="M10" i="5"/>
  <c r="K10" i="5"/>
  <c r="G10" i="5"/>
  <c r="I10" i="5" s="1"/>
  <c r="E10" i="5"/>
  <c r="Y9" i="5"/>
  <c r="Z9" i="5" s="1"/>
  <c r="N9" i="5"/>
  <c r="K9" i="5"/>
  <c r="E9" i="5"/>
  <c r="G9" i="5" s="1"/>
  <c r="Z8" i="5"/>
  <c r="Y8" i="5"/>
  <c r="N8" i="5"/>
  <c r="K8" i="5"/>
  <c r="E8" i="5"/>
  <c r="G8" i="5" s="1"/>
  <c r="Y7" i="5"/>
  <c r="Z7" i="5" s="1"/>
  <c r="T7" i="5"/>
  <c r="R7" i="5"/>
  <c r="N7" i="5"/>
  <c r="P7" i="5" s="1"/>
  <c r="K7" i="5"/>
  <c r="M7" i="5" s="1"/>
  <c r="E7" i="5"/>
  <c r="G7" i="5" s="1"/>
  <c r="I7" i="5" s="1"/>
  <c r="Z6" i="5"/>
  <c r="Y6" i="5"/>
  <c r="N6" i="5"/>
  <c r="R5" i="5" s="1"/>
  <c r="K6" i="5"/>
  <c r="G6" i="5"/>
  <c r="E6" i="5"/>
  <c r="Y5" i="5"/>
  <c r="Z5" i="5" s="1"/>
  <c r="T5" i="5"/>
  <c r="P5" i="5"/>
  <c r="N5" i="5"/>
  <c r="L5" i="5"/>
  <c r="K5" i="5"/>
  <c r="M5" i="5" s="1"/>
  <c r="I5" i="5"/>
  <c r="G5" i="5"/>
  <c r="E5" i="5"/>
  <c r="Y4" i="5"/>
  <c r="Z4" i="5" s="1"/>
  <c r="N4" i="5"/>
  <c r="K4" i="5"/>
  <c r="E4" i="5"/>
  <c r="G4" i="5" s="1"/>
  <c r="I3" i="5" s="1"/>
  <c r="Z3" i="5"/>
  <c r="Y3" i="5"/>
  <c r="N3" i="5"/>
  <c r="U3" i="5" s="1"/>
  <c r="W3" i="5" s="1"/>
  <c r="W17" i="5" s="1"/>
  <c r="M3" i="5"/>
  <c r="L3" i="5"/>
  <c r="K3" i="5"/>
  <c r="G3" i="5"/>
  <c r="E3" i="5"/>
  <c r="N10" i="6"/>
  <c r="P10" i="6" s="1"/>
  <c r="M10" i="6"/>
  <c r="K10" i="6"/>
  <c r="E10" i="6"/>
  <c r="G10" i="6" s="1"/>
  <c r="I10" i="6" s="1"/>
  <c r="P9" i="6"/>
  <c r="N9" i="6"/>
  <c r="K9" i="6"/>
  <c r="M9" i="6" s="1"/>
  <c r="E9" i="6"/>
  <c r="G9" i="6" s="1"/>
  <c r="I9" i="6" s="1"/>
  <c r="P8" i="6"/>
  <c r="N8" i="6"/>
  <c r="K8" i="6"/>
  <c r="M8" i="6" s="1"/>
  <c r="I8" i="6"/>
  <c r="G8" i="6"/>
  <c r="E8" i="6"/>
  <c r="N7" i="6"/>
  <c r="P7" i="6" s="1"/>
  <c r="M7" i="6"/>
  <c r="K7" i="6"/>
  <c r="G7" i="6"/>
  <c r="I7" i="6" s="1"/>
  <c r="E7" i="6"/>
  <c r="N6" i="6"/>
  <c r="P6" i="6" s="1"/>
  <c r="M6" i="6"/>
  <c r="K6" i="6"/>
  <c r="E6" i="6"/>
  <c r="G6" i="6" s="1"/>
  <c r="I6" i="6" s="1"/>
  <c r="P5" i="6"/>
  <c r="N5" i="6"/>
  <c r="K5" i="6"/>
  <c r="M5" i="6" s="1"/>
  <c r="E5" i="6"/>
  <c r="G5" i="6" s="1"/>
  <c r="I5" i="6" s="1"/>
  <c r="W4" i="6"/>
  <c r="U4" i="6"/>
  <c r="T4" i="6"/>
  <c r="R4" i="6"/>
  <c r="P4" i="6"/>
  <c r="N4" i="6"/>
  <c r="K4" i="6"/>
  <c r="M4" i="6" s="1"/>
  <c r="M12" i="6" s="1"/>
  <c r="I4" i="6"/>
  <c r="G4" i="6"/>
  <c r="E4" i="6"/>
  <c r="N3" i="6"/>
  <c r="U3" i="6" s="1"/>
  <c r="W3" i="6" s="1"/>
  <c r="W12" i="6" s="1"/>
  <c r="M3" i="6"/>
  <c r="K3" i="6"/>
  <c r="G3" i="6"/>
  <c r="I3" i="6" s="1"/>
  <c r="E3" i="6"/>
  <c r="E62" i="3"/>
  <c r="J61" i="3"/>
  <c r="G61" i="3"/>
  <c r="G60" i="3"/>
  <c r="J60" i="3" s="1"/>
  <c r="J59" i="3"/>
  <c r="G59" i="3"/>
  <c r="G58" i="3"/>
  <c r="J58" i="3" s="1"/>
  <c r="J57" i="3"/>
  <c r="G57" i="3"/>
  <c r="G56" i="3"/>
  <c r="J56" i="3" s="1"/>
  <c r="J55" i="3"/>
  <c r="G55" i="3"/>
  <c r="G54" i="3"/>
  <c r="G62" i="3" s="1"/>
  <c r="E53" i="3"/>
  <c r="J52" i="3"/>
  <c r="G52" i="3"/>
  <c r="G51" i="3"/>
  <c r="J51" i="3" s="1"/>
  <c r="J50" i="3"/>
  <c r="G50" i="3"/>
  <c r="G49" i="3"/>
  <c r="J49" i="3" s="1"/>
  <c r="J48" i="3"/>
  <c r="G48" i="3"/>
  <c r="G53" i="3" s="1"/>
  <c r="E47" i="3"/>
  <c r="J46" i="3"/>
  <c r="G46" i="3"/>
  <c r="G45" i="3"/>
  <c r="J45" i="3" s="1"/>
  <c r="J44" i="3"/>
  <c r="G44" i="3"/>
  <c r="G43" i="3"/>
  <c r="G47" i="3" s="1"/>
  <c r="J42" i="3"/>
  <c r="G42" i="3"/>
  <c r="G41" i="3"/>
  <c r="E41" i="3"/>
  <c r="G40" i="3"/>
  <c r="J40" i="3" s="1"/>
  <c r="J39" i="3"/>
  <c r="G39" i="3"/>
  <c r="G38" i="3"/>
  <c r="J38" i="3" s="1"/>
  <c r="J37" i="3"/>
  <c r="G37" i="3"/>
  <c r="G36" i="3"/>
  <c r="J36" i="3" s="1"/>
  <c r="J35" i="3"/>
  <c r="J41" i="3" s="1"/>
  <c r="G35" i="3"/>
  <c r="E34" i="3"/>
  <c r="J33" i="3"/>
  <c r="G33" i="3"/>
  <c r="G32" i="3"/>
  <c r="J32" i="3" s="1"/>
  <c r="E31" i="3"/>
  <c r="Y12" i="5" s="1"/>
  <c r="Z12" i="5" s="1"/>
  <c r="J30" i="3"/>
  <c r="G30" i="3"/>
  <c r="G29" i="3"/>
  <c r="J29" i="3" s="1"/>
  <c r="G27" i="3"/>
  <c r="J27" i="3" s="1"/>
  <c r="J26" i="3"/>
  <c r="G26" i="3"/>
  <c r="G25" i="3"/>
  <c r="J25" i="3" s="1"/>
  <c r="E24" i="3"/>
  <c r="G24" i="3" s="1"/>
  <c r="J24" i="3" s="1"/>
  <c r="J23" i="3"/>
  <c r="G23" i="3"/>
  <c r="G22" i="3"/>
  <c r="J22" i="3" s="1"/>
  <c r="J21" i="3"/>
  <c r="G21" i="3"/>
  <c r="E21" i="3"/>
  <c r="E28" i="3" s="1"/>
  <c r="G20" i="3"/>
  <c r="E19" i="3"/>
  <c r="J18" i="3"/>
  <c r="G18" i="3"/>
  <c r="G17" i="3"/>
  <c r="J17" i="3" s="1"/>
  <c r="J16" i="3"/>
  <c r="G16" i="3"/>
  <c r="G15" i="3"/>
  <c r="J15" i="3" s="1"/>
  <c r="J14" i="3"/>
  <c r="G14" i="3"/>
  <c r="G13" i="3"/>
  <c r="J13" i="3" s="1"/>
  <c r="J12" i="3"/>
  <c r="G12" i="3"/>
  <c r="G11" i="3"/>
  <c r="J11" i="3" s="1"/>
  <c r="J10" i="3"/>
  <c r="G10" i="3"/>
  <c r="G9" i="3"/>
  <c r="G19" i="3" s="1"/>
  <c r="E8" i="3"/>
  <c r="G7" i="3"/>
  <c r="J7" i="3" s="1"/>
  <c r="J6" i="3"/>
  <c r="G6" i="3"/>
  <c r="G5" i="3"/>
  <c r="J5" i="3" s="1"/>
  <c r="J4" i="3"/>
  <c r="G4" i="3"/>
  <c r="G3" i="3"/>
  <c r="J3" i="3" s="1"/>
  <c r="J8" i="3" s="1"/>
  <c r="D14" i="4"/>
  <c r="A13" i="4"/>
  <c r="A12" i="4"/>
  <c r="A11" i="4"/>
  <c r="A10" i="4"/>
  <c r="A9" i="4"/>
  <c r="A8" i="4"/>
  <c r="A7" i="4"/>
  <c r="A6" i="4"/>
  <c r="A5" i="4"/>
  <c r="A4" i="4"/>
  <c r="E3" i="4"/>
  <c r="E4" i="4" s="1"/>
  <c r="E5" i="4" s="1"/>
  <c r="E6" i="4" s="1"/>
  <c r="E7" i="4" s="1"/>
  <c r="E8" i="4" s="1"/>
  <c r="E9" i="4" s="1"/>
  <c r="E10" i="4" s="1"/>
  <c r="E11" i="4" s="1"/>
  <c r="A3" i="4"/>
  <c r="J34" i="3" l="1"/>
  <c r="M17" i="5"/>
  <c r="I22" i="5" s="1"/>
  <c r="E63" i="3"/>
  <c r="I11" i="5"/>
  <c r="J7" i="2"/>
  <c r="J18" i="2"/>
  <c r="I12" i="6"/>
  <c r="J27" i="2"/>
  <c r="G28" i="3"/>
  <c r="G27" i="2"/>
  <c r="G41" i="2" s="1"/>
  <c r="J20" i="2"/>
  <c r="J33" i="2"/>
  <c r="J53" i="3"/>
  <c r="G17" i="5"/>
  <c r="I17" i="5" s="1"/>
  <c r="G8" i="3"/>
  <c r="G40" i="2"/>
  <c r="J20" i="3"/>
  <c r="J28" i="3" s="1"/>
  <c r="P3" i="6"/>
  <c r="P12" i="6" s="1"/>
  <c r="P3" i="5"/>
  <c r="J9" i="3"/>
  <c r="J19" i="3" s="1"/>
  <c r="G31" i="3"/>
  <c r="J31" i="3" s="1"/>
  <c r="R3" i="6"/>
  <c r="R12" i="6" s="1"/>
  <c r="R3" i="5"/>
  <c r="R17" i="5" s="1"/>
  <c r="P11" i="5"/>
  <c r="T3" i="6"/>
  <c r="T12" i="6" s="1"/>
  <c r="T3" i="5"/>
  <c r="T17" i="5" s="1"/>
  <c r="R11" i="5"/>
  <c r="J11" i="2"/>
  <c r="J43" i="3"/>
  <c r="J47" i="3" s="1"/>
  <c r="J54" i="3"/>
  <c r="J62" i="3" s="1"/>
  <c r="J63" i="3" s="1"/>
  <c r="J70" i="3" s="1"/>
  <c r="J72" i="3" s="1"/>
  <c r="P18" i="5" l="1"/>
  <c r="J41" i="2"/>
  <c r="P17" i="5"/>
  <c r="G34" i="3"/>
  <c r="I14" i="6"/>
  <c r="J42" i="2" l="1"/>
  <c r="J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222</author>
    <author>User</author>
  </authors>
  <commentList>
    <comment ref="Q29" authorId="0" shapeId="0" xr:uid="{00000000-0006-0000-0500-000001000000}">
      <text>
        <r>
          <rPr>
            <b/>
            <sz val="9"/>
            <rFont val="宋体"/>
            <charset val="134"/>
          </rPr>
          <t>222:</t>
        </r>
        <r>
          <rPr>
            <sz val="9"/>
            <rFont val="宋体"/>
            <charset val="134"/>
          </rPr>
          <t xml:space="preserve">
顽仔背包2.7元/个，一箱12个*2.7元/个=32.4元</t>
        </r>
      </text>
    </comment>
    <comment ref="R30" authorId="0" shapeId="0" xr:uid="{00000000-0006-0000-0500-000002000000}">
      <text>
        <r>
          <rPr>
            <b/>
            <sz val="9"/>
            <rFont val="宋体"/>
            <charset val="134"/>
          </rPr>
          <t>222:</t>
        </r>
        <r>
          <rPr>
            <sz val="9"/>
            <rFont val="宋体"/>
            <charset val="134"/>
          </rPr>
          <t xml:space="preserve">
小翠花1.55元/个，一箱12个*1.55元/个=18.6元</t>
        </r>
      </text>
    </comment>
    <comment ref="E39" authorId="1" shapeId="0" xr:uid="{00000000-0006-0000-0500-000003000000}">
      <text>
        <r>
          <rPr>
            <b/>
            <sz val="9"/>
            <rFont val="宋体"/>
            <charset val="134"/>
          </rPr>
          <t>未包装，暂定为</t>
        </r>
        <r>
          <rPr>
            <b/>
            <sz val="9"/>
            <rFont val="Tahoma"/>
            <family val="2"/>
          </rPr>
          <t>12</t>
        </r>
        <r>
          <rPr>
            <b/>
            <sz val="9"/>
            <rFont val="宋体"/>
            <charset val="134"/>
          </rPr>
          <t>桶</t>
        </r>
        <r>
          <rPr>
            <b/>
            <sz val="9"/>
            <rFont val="Tahoma"/>
            <family val="2"/>
          </rPr>
          <t>/</t>
        </r>
        <r>
          <rPr>
            <b/>
            <sz val="9"/>
            <rFont val="宋体"/>
            <charset val="134"/>
          </rPr>
          <t>件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<sst xmlns="http://schemas.openxmlformats.org/spreadsheetml/2006/main" count="458" uniqueCount="160">
  <si>
    <t>序号</t>
  </si>
  <si>
    <t>日期</t>
  </si>
  <si>
    <t>摘要</t>
  </si>
  <si>
    <t>货款</t>
  </si>
  <si>
    <t>剩余金额</t>
  </si>
  <si>
    <t>2022年9月30日预付纸箱款</t>
  </si>
  <si>
    <t>10月22日调货1368件加工费</t>
  </si>
  <si>
    <t>10月22日调货1368件材料费</t>
  </si>
  <si>
    <t>2022年11月2日付10月调货货款（估算）</t>
  </si>
  <si>
    <t>12月1日-12月17日发货14693件加工费</t>
  </si>
  <si>
    <r>
      <t>12月1日-12月17日发货14693件材料费</t>
    </r>
    <r>
      <rPr>
        <sz val="11"/>
        <color rgb="FFFF0000"/>
        <rFont val="宋体"/>
        <charset val="134"/>
        <scheme val="minor"/>
      </rPr>
      <t>（125杂果未算）</t>
    </r>
  </si>
  <si>
    <t>2022年12月17日支付</t>
  </si>
  <si>
    <t>富牛加工费计算</t>
  </si>
  <si>
    <t>采购日期</t>
  </si>
  <si>
    <t>代工厂</t>
  </si>
  <si>
    <t>物料编号</t>
  </si>
  <si>
    <t>物料描述</t>
  </si>
  <si>
    <t>数量</t>
  </si>
  <si>
    <t>箱重</t>
  </si>
  <si>
    <t>吨位</t>
  </si>
  <si>
    <t>全包单价</t>
  </si>
  <si>
    <t>加工单价</t>
  </si>
  <si>
    <t>加工费</t>
  </si>
  <si>
    <t>批次</t>
  </si>
  <si>
    <t>富牛</t>
  </si>
  <si>
    <t>25g乳酸果冻(草莓味)[5kg散装]</t>
  </si>
  <si>
    <t>25g乳酸果冻(酸奶味)[5kg散装]</t>
  </si>
  <si>
    <t>25g乳酸果冻(香芋味)[5kg散装]</t>
  </si>
  <si>
    <t>25g乳酸果冻(玉米味)[5kg散装]</t>
  </si>
  <si>
    <t>30g香橙果冻(香橙味)[5kg散装]</t>
  </si>
  <si>
    <t>12-6合计</t>
  </si>
  <si>
    <t>185g什锦果冻(黄桃味)[5kg散装]</t>
  </si>
  <si>
    <t>185g什锦果冻(杂果味)[5kg散装]</t>
  </si>
  <si>
    <t>45g青提味果冻[5kg散装]</t>
  </si>
  <si>
    <t>45g荔枝味果冻[5kg散装]</t>
  </si>
  <si>
    <t>乳酸果冻(顽仔背包)[条码；12袋/箱*592g/袋]</t>
  </si>
  <si>
    <t>乳酸果冻(小翠花手提袋)[条码；12袋/箱*370g/袋]</t>
  </si>
  <si>
    <t>12-11合计</t>
  </si>
  <si>
    <t>20221215-220
20221205-97</t>
  </si>
  <si>
    <t>20221208-156
20221201-64</t>
  </si>
  <si>
    <t>30g菠萝果冻（菠萝味）[5kg散装]</t>
  </si>
  <si>
    <t>12-13合计</t>
  </si>
  <si>
    <t>20221208-45
20221215-161</t>
  </si>
  <si>
    <t>12-14合计</t>
  </si>
  <si>
    <t>20221208-149
20221215-110</t>
  </si>
  <si>
    <t>12-15合计</t>
  </si>
  <si>
    <t>20221216-461
20221215-129</t>
  </si>
  <si>
    <t>20221216-128
20221215-472</t>
  </si>
  <si>
    <t>12-16合计</t>
  </si>
  <si>
    <t>95g果肉果冻(杂果味)[5kg散装]</t>
  </si>
  <si>
    <t>20221210-12
20221218-155</t>
  </si>
  <si>
    <t>125g什锦果冻(杂果味)[5kg散装]</t>
  </si>
  <si>
    <t>20221218-160
20221219-236</t>
  </si>
  <si>
    <t>45g香橙味果冻[5kg散装]</t>
  </si>
  <si>
    <t>12-17合计</t>
  </si>
  <si>
    <t>10-22合计</t>
  </si>
  <si>
    <t>合计</t>
  </si>
  <si>
    <t>制表：王华</t>
  </si>
  <si>
    <t>供应商确认：</t>
  </si>
  <si>
    <t>朗丽10月22日出货数量</t>
  </si>
  <si>
    <t>糖浆</t>
  </si>
  <si>
    <t>杯</t>
  </si>
  <si>
    <t>纸箱</t>
  </si>
  <si>
    <t>小隔板</t>
  </si>
  <si>
    <t>大隔板</t>
  </si>
  <si>
    <t>小勺</t>
  </si>
  <si>
    <t>编码</t>
  </si>
  <si>
    <t>名称</t>
  </si>
  <si>
    <t>出货数量</t>
  </si>
  <si>
    <t>每箱重量（公斤）</t>
  </si>
  <si>
    <t>重量合计
（公斤）</t>
  </si>
  <si>
    <t>一吨用量（公斤）</t>
  </si>
  <si>
    <t>糖浆用量（公斤）</t>
  </si>
  <si>
    <t>糖浆单价（吨）</t>
  </si>
  <si>
    <t>金额</t>
  </si>
  <si>
    <t>放杯数量 （平均数量）</t>
  </si>
  <si>
    <t>杯用量</t>
  </si>
  <si>
    <t>杯单价</t>
  </si>
  <si>
    <t>单价</t>
  </si>
  <si>
    <t>汽泡片</t>
  </si>
  <si>
    <t>重量合计
（吨）</t>
  </si>
  <si>
    <t xml:space="preserve">合计:  </t>
  </si>
  <si>
    <t>S00376</t>
  </si>
  <si>
    <t>S00375</t>
  </si>
  <si>
    <t>合计金额</t>
  </si>
  <si>
    <t>扣30%定金</t>
  </si>
  <si>
    <t>剩余70%尾款</t>
  </si>
  <si>
    <t>产品名称</t>
  </si>
  <si>
    <t>口味</t>
  </si>
  <si>
    <t>规格</t>
  </si>
  <si>
    <r>
      <rPr>
        <sz val="10"/>
        <color theme="1"/>
        <rFont val="宋体"/>
        <charset val="134"/>
      </rPr>
      <t>人工成本</t>
    </r>
    <r>
      <rPr>
        <sz val="10"/>
        <color theme="1"/>
        <rFont val="Tahoma"/>
        <family val="2"/>
      </rPr>
      <t>/</t>
    </r>
    <r>
      <rPr>
        <sz val="10"/>
        <color theme="1"/>
        <rFont val="宋体"/>
        <charset val="134"/>
      </rPr>
      <t>吨</t>
    </r>
  </si>
  <si>
    <r>
      <rPr>
        <sz val="10"/>
        <color theme="1"/>
        <rFont val="宋体"/>
        <charset val="134"/>
      </rPr>
      <t>人工，能耗</t>
    </r>
    <r>
      <rPr>
        <sz val="10"/>
        <color theme="1"/>
        <rFont val="Tahoma"/>
        <family val="2"/>
      </rPr>
      <t xml:space="preserve">
</t>
    </r>
    <r>
      <rPr>
        <sz val="10"/>
        <color theme="1"/>
        <rFont val="宋体"/>
        <charset val="134"/>
      </rPr>
      <t>加工成本（箱）</t>
    </r>
  </si>
  <si>
    <t>料液价格</t>
  </si>
  <si>
    <r>
      <rPr>
        <sz val="10"/>
        <color theme="1"/>
        <rFont val="宋体"/>
        <charset val="134"/>
      </rPr>
      <t>杯</t>
    </r>
    <r>
      <rPr>
        <sz val="10"/>
        <color theme="1"/>
        <rFont val="Tahoma"/>
        <family val="2"/>
      </rPr>
      <t>/</t>
    </r>
    <r>
      <rPr>
        <sz val="10"/>
        <color theme="1"/>
        <rFont val="宋体"/>
        <charset val="134"/>
      </rPr>
      <t>瓶子</t>
    </r>
    <r>
      <rPr>
        <sz val="10"/>
        <color theme="1"/>
        <rFont val="Tahoma"/>
        <family val="2"/>
      </rPr>
      <t xml:space="preserve">/
</t>
    </r>
    <r>
      <rPr>
        <sz val="10"/>
        <color theme="1"/>
        <rFont val="宋体"/>
        <charset val="134"/>
      </rPr>
      <t>自立袋</t>
    </r>
  </si>
  <si>
    <r>
      <rPr>
        <sz val="10"/>
        <color rgb="FFFF0000"/>
        <rFont val="宋体"/>
        <charset val="134"/>
      </rPr>
      <t>膜</t>
    </r>
    <r>
      <rPr>
        <sz val="10"/>
        <color rgb="FFFF0000"/>
        <rFont val="Tahoma"/>
        <family val="2"/>
      </rPr>
      <t xml:space="preserve">
</t>
    </r>
    <r>
      <rPr>
        <sz val="10"/>
        <color rgb="FFFF0000"/>
        <rFont val="宋体"/>
        <charset val="134"/>
      </rPr>
      <t>（元</t>
    </r>
    <r>
      <rPr>
        <sz val="10"/>
        <color rgb="FFFF0000"/>
        <rFont val="Tahoma"/>
        <family val="2"/>
      </rPr>
      <t>/</t>
    </r>
    <r>
      <rPr>
        <sz val="10"/>
        <color rgb="FFFF0000"/>
        <rFont val="宋体"/>
        <charset val="134"/>
      </rPr>
      <t>箱）</t>
    </r>
  </si>
  <si>
    <t>封箱胶纸</t>
  </si>
  <si>
    <t>汽泡纸</t>
  </si>
  <si>
    <t>胶针</t>
  </si>
  <si>
    <r>
      <rPr>
        <sz val="10"/>
        <color rgb="FFFF0000"/>
        <rFont val="Tahoma"/>
        <family val="2"/>
      </rPr>
      <t>3C</t>
    </r>
    <r>
      <rPr>
        <sz val="10"/>
        <color rgb="FFFF0000"/>
        <rFont val="宋体"/>
        <charset val="134"/>
      </rPr>
      <t>玩</t>
    </r>
    <r>
      <rPr>
        <sz val="10"/>
        <color rgb="FFFF0000"/>
        <rFont val="Tahoma"/>
        <family val="2"/>
      </rPr>
      <t xml:space="preserve">
</t>
    </r>
    <r>
      <rPr>
        <sz val="10"/>
        <color rgb="FFFF0000"/>
        <rFont val="宋体"/>
        <charset val="134"/>
      </rPr>
      <t>具车</t>
    </r>
  </si>
  <si>
    <r>
      <rPr>
        <sz val="10"/>
        <color rgb="FFFF0000"/>
        <rFont val="宋体"/>
        <charset val="134"/>
      </rPr>
      <t>顽具</t>
    </r>
    <r>
      <rPr>
        <sz val="10"/>
        <color rgb="FFFF0000"/>
        <rFont val="Tahoma"/>
        <family val="2"/>
      </rPr>
      <t xml:space="preserve">
</t>
    </r>
    <r>
      <rPr>
        <sz val="10"/>
        <color rgb="FFFF0000"/>
        <rFont val="宋体"/>
        <charset val="134"/>
      </rPr>
      <t>背包</t>
    </r>
  </si>
  <si>
    <t>小翠花</t>
  </si>
  <si>
    <r>
      <rPr>
        <sz val="10"/>
        <color rgb="FFFF0000"/>
        <rFont val="宋体"/>
        <charset val="134"/>
      </rPr>
      <t>蛋奶布</t>
    </r>
    <r>
      <rPr>
        <sz val="10"/>
        <color rgb="FFFF0000"/>
        <rFont val="Tahoma"/>
        <family val="2"/>
      </rPr>
      <t xml:space="preserve">
</t>
    </r>
    <r>
      <rPr>
        <sz val="10"/>
        <color rgb="FFFF0000"/>
        <rFont val="宋体"/>
        <charset val="134"/>
      </rPr>
      <t>甸桶</t>
    </r>
  </si>
  <si>
    <t>备注</t>
  </si>
  <si>
    <t>不含包材</t>
  </si>
  <si>
    <t>产品编码</t>
  </si>
  <si>
    <t>元</t>
  </si>
  <si>
    <t>元/件</t>
  </si>
  <si>
    <t>内容物（元/箱）</t>
  </si>
  <si>
    <t>价格</t>
  </si>
  <si>
    <r>
      <rPr>
        <sz val="10"/>
        <color theme="1"/>
        <rFont val="Tahoma"/>
        <family val="2"/>
      </rPr>
      <t>25</t>
    </r>
    <r>
      <rPr>
        <sz val="10"/>
        <color theme="1"/>
        <rFont val="宋体"/>
        <charset val="134"/>
      </rPr>
      <t>克乳酸果冻</t>
    </r>
  </si>
  <si>
    <r>
      <rPr>
        <sz val="10"/>
        <color theme="1"/>
        <rFont val="宋体"/>
        <charset val="134"/>
      </rPr>
      <t>酸奶、香芋</t>
    </r>
    <r>
      <rPr>
        <sz val="10"/>
        <color theme="1"/>
        <rFont val="Tahoma"/>
        <family val="2"/>
      </rPr>
      <t xml:space="preserve">
</t>
    </r>
    <r>
      <rPr>
        <sz val="10"/>
        <color theme="1"/>
        <rFont val="宋体"/>
        <charset val="134"/>
      </rPr>
      <t>玉米、草莓</t>
    </r>
  </si>
  <si>
    <r>
      <rPr>
        <sz val="10"/>
        <color theme="1"/>
        <rFont val="Tahoma"/>
        <family val="2"/>
      </rPr>
      <t>30</t>
    </r>
    <r>
      <rPr>
        <sz val="10"/>
        <color theme="1"/>
        <rFont val="宋体"/>
        <charset val="134"/>
      </rPr>
      <t>克香橙果冻</t>
    </r>
  </si>
  <si>
    <t>1*5kg</t>
  </si>
  <si>
    <r>
      <rPr>
        <sz val="10"/>
        <color theme="1"/>
        <rFont val="Tahoma"/>
        <family val="2"/>
      </rPr>
      <t>30</t>
    </r>
    <r>
      <rPr>
        <sz val="10"/>
        <color theme="1"/>
        <rFont val="宋体"/>
        <charset val="134"/>
      </rPr>
      <t>克菠萝果冻</t>
    </r>
  </si>
  <si>
    <r>
      <rPr>
        <sz val="10"/>
        <color theme="1"/>
        <rFont val="Tahoma"/>
        <family val="2"/>
      </rPr>
      <t>45</t>
    </r>
    <r>
      <rPr>
        <sz val="10"/>
        <color theme="1"/>
        <rFont val="宋体"/>
        <charset val="134"/>
      </rPr>
      <t>克果肉果冻</t>
    </r>
  </si>
  <si>
    <t>香橙</t>
  </si>
  <si>
    <t>青提</t>
  </si>
  <si>
    <t>荔枝</t>
  </si>
  <si>
    <r>
      <rPr>
        <sz val="10"/>
        <color rgb="FF0070C0"/>
        <rFont val="Tahoma"/>
        <family val="2"/>
      </rPr>
      <t>95</t>
    </r>
    <r>
      <rPr>
        <sz val="10"/>
        <color rgb="FF0070C0"/>
        <rFont val="宋体"/>
        <charset val="134"/>
      </rPr>
      <t>克果肉果冻（旧）</t>
    </r>
  </si>
  <si>
    <t>杂果</t>
  </si>
  <si>
    <t>M1桔子1片(5克)，菠萝1个，1.8椰果1个，心形1片</t>
  </si>
  <si>
    <t>黄桃</t>
  </si>
  <si>
    <t>桔子2片（10克），黄桃条1条，1.8椰果1粒</t>
  </si>
  <si>
    <r>
      <rPr>
        <sz val="10"/>
        <color rgb="FF0070C0"/>
        <rFont val="Tahoma"/>
        <family val="2"/>
      </rPr>
      <t>125</t>
    </r>
    <r>
      <rPr>
        <sz val="10"/>
        <color rgb="FF0070C0"/>
        <rFont val="宋体"/>
        <charset val="134"/>
      </rPr>
      <t>克什锦果冻（旧）</t>
    </r>
  </si>
  <si>
    <t>M2桔子2片(14)，1.8椰果2粒，心形1片</t>
  </si>
  <si>
    <r>
      <rPr>
        <sz val="10"/>
        <color rgb="FF0070C0"/>
        <rFont val="Tahoma"/>
        <family val="2"/>
      </rPr>
      <t>185</t>
    </r>
    <r>
      <rPr>
        <sz val="10"/>
        <color rgb="FF0070C0"/>
        <rFont val="宋体"/>
        <charset val="134"/>
      </rPr>
      <t>克什锦果冻（旧）</t>
    </r>
  </si>
  <si>
    <t>M2桔子3片(21克)，菠萝2粒，1.8椰果2粒，心形1片</t>
  </si>
  <si>
    <t>M2桔子2片(14克)，自制黄桃条2条，1.8椰果1粒</t>
  </si>
  <si>
    <r>
      <rPr>
        <sz val="10"/>
        <color rgb="FF7030A0"/>
        <rFont val="Tahoma"/>
        <family val="2"/>
      </rPr>
      <t>95</t>
    </r>
    <r>
      <rPr>
        <sz val="10"/>
        <color rgb="FF7030A0"/>
        <rFont val="宋体"/>
        <charset val="134"/>
      </rPr>
      <t>克果肉果冻（新）</t>
    </r>
  </si>
  <si>
    <t>桔子M级（4-6g/片）2片、1.5椰果3粒、4g心形片1片</t>
  </si>
  <si>
    <t>桔子M级（4-6g/片）2片、自制黄桃条1片（11-12克/条）、1.5椰果3粒</t>
  </si>
  <si>
    <r>
      <rPr>
        <sz val="10"/>
        <color rgb="FF7030A0"/>
        <rFont val="Tahoma"/>
        <family val="2"/>
      </rPr>
      <t>125</t>
    </r>
    <r>
      <rPr>
        <sz val="10"/>
        <color rgb="FF7030A0"/>
        <rFont val="宋体"/>
        <charset val="134"/>
      </rPr>
      <t>克什锦果冻（新）</t>
    </r>
  </si>
  <si>
    <t>桔子M级（4-6g/片））2片、1.5椰果6粒、4克心形片1片</t>
  </si>
  <si>
    <t>无该产品</t>
  </si>
  <si>
    <t>桔子M级（4-6g/片））2片、自制黄桃条1片（11-12克/条）、1.5椰果4粒</t>
  </si>
  <si>
    <r>
      <rPr>
        <sz val="10"/>
        <color rgb="FF7030A0"/>
        <rFont val="Tahoma"/>
        <family val="2"/>
      </rPr>
      <t>185</t>
    </r>
    <r>
      <rPr>
        <sz val="10"/>
        <color rgb="FF7030A0"/>
        <rFont val="宋体"/>
        <charset val="134"/>
      </rPr>
      <t>克什锦果冻（新）</t>
    </r>
  </si>
  <si>
    <t>（M2级6-8克）桔子3片，（1.8椰果7或2.0椰果6粒，4.0克心形片1片</t>
  </si>
  <si>
    <t>（M2级6-8克）桔子2片，自制黄桃条1片（11-12克/条），（1.8椰果3粒或2.0椰果2粒）</t>
  </si>
  <si>
    <r>
      <rPr>
        <sz val="10"/>
        <color theme="1"/>
        <rFont val="Tahoma"/>
        <family val="2"/>
      </rPr>
      <t>185</t>
    </r>
    <r>
      <rPr>
        <sz val="10"/>
        <color theme="1"/>
        <rFont val="宋体"/>
        <charset val="134"/>
      </rPr>
      <t>克椰果果冻）</t>
    </r>
  </si>
  <si>
    <r>
      <rPr>
        <sz val="10"/>
        <color theme="1"/>
        <rFont val="Tahoma"/>
        <family val="2"/>
      </rPr>
      <t>27</t>
    </r>
    <r>
      <rPr>
        <sz val="10"/>
        <color theme="1"/>
        <rFont val="宋体"/>
        <charset val="134"/>
      </rPr>
      <t>杯</t>
    </r>
  </si>
  <si>
    <r>
      <rPr>
        <sz val="10"/>
        <color theme="1"/>
        <rFont val="Tahoma"/>
        <family val="2"/>
      </rPr>
      <t>36</t>
    </r>
    <r>
      <rPr>
        <sz val="10"/>
        <color theme="1"/>
        <rFont val="宋体"/>
        <charset val="134"/>
      </rPr>
      <t>克情人心语层层</t>
    </r>
  </si>
  <si>
    <t>只蜜瓜、红毛丹</t>
  </si>
  <si>
    <r>
      <rPr>
        <sz val="10"/>
        <color theme="1"/>
        <rFont val="Tahoma"/>
        <family val="2"/>
      </rPr>
      <t>125</t>
    </r>
    <r>
      <rPr>
        <sz val="10"/>
        <color theme="1"/>
        <rFont val="宋体"/>
        <charset val="134"/>
      </rPr>
      <t>克果味果司</t>
    </r>
  </si>
  <si>
    <t>哈蜜瓜、红毛丹</t>
  </si>
  <si>
    <t>顽仔背包乳酸果冻</t>
  </si>
  <si>
    <t>12*24*25g</t>
  </si>
  <si>
    <t>小翠花乳酸果冻</t>
  </si>
  <si>
    <t>12*15*25g</t>
  </si>
  <si>
    <r>
      <rPr>
        <sz val="10"/>
        <color theme="1"/>
        <rFont val="Tahoma"/>
        <family val="2"/>
      </rPr>
      <t>88</t>
    </r>
    <r>
      <rPr>
        <sz val="10"/>
        <color theme="1"/>
        <rFont val="宋体"/>
        <charset val="134"/>
      </rPr>
      <t>克桃子层层果冻</t>
    </r>
  </si>
  <si>
    <r>
      <rPr>
        <sz val="10"/>
        <color theme="1"/>
        <rFont val="Tahoma"/>
        <family val="2"/>
      </rPr>
      <t>70</t>
    </r>
    <r>
      <rPr>
        <sz val="10"/>
        <color theme="1"/>
        <rFont val="宋体"/>
        <charset val="134"/>
      </rPr>
      <t>克草莓层层果冻</t>
    </r>
  </si>
  <si>
    <r>
      <rPr>
        <sz val="10"/>
        <color theme="1"/>
        <rFont val="Tahoma"/>
        <family val="2"/>
      </rPr>
      <t>56</t>
    </r>
    <r>
      <rPr>
        <sz val="10"/>
        <color theme="1"/>
        <rFont val="宋体"/>
        <charset val="134"/>
      </rPr>
      <t>克蛋奶层层果冻</t>
    </r>
  </si>
  <si>
    <t>熊掌布甸果冻</t>
  </si>
  <si>
    <t>芝士布甸果冻</t>
  </si>
  <si>
    <t>冰淇淋风味果冻</t>
  </si>
  <si>
    <t>奶酪风味可吸果冻</t>
  </si>
  <si>
    <r>
      <rPr>
        <sz val="10"/>
        <color theme="1"/>
        <rFont val="Tahoma"/>
        <family val="2"/>
      </rPr>
      <t>28</t>
    </r>
    <r>
      <rPr>
        <sz val="10"/>
        <color theme="1"/>
        <rFont val="宋体"/>
        <charset val="134"/>
      </rPr>
      <t>克（</t>
    </r>
    <r>
      <rPr>
        <sz val="10"/>
        <color theme="1"/>
        <rFont val="Tahoma"/>
        <family val="2"/>
      </rPr>
      <t>300</t>
    </r>
    <r>
      <rPr>
        <sz val="10"/>
        <color theme="1"/>
        <rFont val="宋体"/>
        <charset val="134"/>
      </rPr>
      <t>克）蛋奶布甸果冻</t>
    </r>
  </si>
  <si>
    <r>
      <rPr>
        <sz val="10"/>
        <color theme="1"/>
        <rFont val="Tahoma"/>
        <family val="2"/>
      </rPr>
      <t>24</t>
    </r>
    <r>
      <rPr>
        <sz val="10"/>
        <color theme="1"/>
        <rFont val="宋体"/>
        <charset val="134"/>
      </rPr>
      <t>桶</t>
    </r>
    <r>
      <rPr>
        <sz val="10"/>
        <color theme="1"/>
        <rFont val="Tahoma"/>
        <family val="2"/>
      </rPr>
      <t>*11*25</t>
    </r>
    <r>
      <rPr>
        <sz val="10"/>
        <color theme="1"/>
        <rFont val="宋体"/>
        <charset val="134"/>
      </rPr>
      <t>克</t>
    </r>
  </si>
  <si>
    <t>制表：王冰莹</t>
  </si>
  <si>
    <t>日期：20221121</t>
  </si>
  <si>
    <t>朗丽对账单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</si>
</sst>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#,##0.00_ "/>
    <numFmt numFmtId="179" formatCode="0.00_ "/>
    <numFmt numFmtId="180" formatCode="yyyy/m/d;@"/>
  </numFmts>
  <fonts count="36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ahoma"/>
      <family val="2"/>
    </font>
    <font>
      <sz val="10"/>
      <color rgb="FF0070C0"/>
      <name val="Tahoma"/>
      <family val="2"/>
    </font>
    <font>
      <sz val="10"/>
      <color rgb="FF0070C0"/>
      <name val="宋体"/>
      <charset val="134"/>
      <scheme val="minor"/>
    </font>
    <font>
      <sz val="10"/>
      <color rgb="FF0070C0"/>
      <name val="宋体"/>
      <charset val="134"/>
    </font>
    <font>
      <sz val="10"/>
      <color rgb="FF7030A0"/>
      <name val="宋体"/>
      <charset val="134"/>
      <scheme val="minor"/>
    </font>
    <font>
      <sz val="10"/>
      <color rgb="FF7030A0"/>
      <name val="Tahoma"/>
      <family val="2"/>
    </font>
    <font>
      <sz val="10"/>
      <color rgb="FF7030A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rgb="FF7030A0"/>
      <name val="Tahoma"/>
      <family val="2"/>
    </font>
    <font>
      <b/>
      <sz val="10"/>
      <color rgb="FF7030A0"/>
      <name val="宋体"/>
      <charset val="134"/>
    </font>
    <font>
      <sz val="10"/>
      <color rgb="FFFF0000"/>
      <name val="Tahoma"/>
      <family val="2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Tahoma"/>
      <family val="2"/>
    </font>
    <font>
      <b/>
      <sz val="10"/>
      <color rgb="FFFF0000"/>
      <name val="Tahoma"/>
      <family val="2"/>
    </font>
    <font>
      <b/>
      <sz val="10"/>
      <name val="Tahoma"/>
      <family val="2"/>
    </font>
    <font>
      <b/>
      <sz val="10"/>
      <color rgb="FF7030A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9"/>
      <name val="Tahoma"/>
      <family val="2"/>
    </font>
    <font>
      <sz val="9"/>
      <name val="宋体"/>
      <charset val="134"/>
    </font>
    <font>
      <b/>
      <sz val="9"/>
      <name val="宋体"/>
      <charset val="134"/>
    </font>
    <font>
      <sz val="9"/>
      <name val="Tahoma"/>
      <family val="2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178" fontId="0" fillId="2" borderId="0" xfId="0" applyNumberFormat="1" applyFill="1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179" fontId="3" fillId="0" borderId="2" xfId="0" applyNumberFormat="1" applyFont="1" applyBorder="1" applyAlignment="1">
      <alignment vertical="center" wrapText="1"/>
    </xf>
    <xf numFmtId="179" fontId="3" fillId="0" borderId="2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179" fontId="4" fillId="0" borderId="4" xfId="0" applyNumberFormat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179" fontId="5" fillId="0" borderId="4" xfId="0" applyNumberFormat="1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179" fontId="6" fillId="0" borderId="4" xfId="0" applyNumberFormat="1" applyFont="1" applyBorder="1">
      <alignment vertical="center"/>
    </xf>
    <xf numFmtId="0" fontId="9" fillId="0" borderId="0" xfId="0" applyFo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179" fontId="10" fillId="0" borderId="4" xfId="0" applyNumberFormat="1" applyFont="1" applyBorder="1">
      <alignment vertical="center"/>
    </xf>
    <xf numFmtId="0" fontId="12" fillId="0" borderId="0" xfId="0" applyFo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>
      <alignment vertical="center"/>
    </xf>
    <xf numFmtId="0" fontId="13" fillId="0" borderId="4" xfId="0" applyFont="1" applyBorder="1" applyAlignment="1">
      <alignment horizontal="center" vertical="center"/>
    </xf>
    <xf numFmtId="179" fontId="13" fillId="0" borderId="4" xfId="0" applyNumberFormat="1" applyFont="1" applyBorder="1">
      <alignment vertical="center"/>
    </xf>
    <xf numFmtId="0" fontId="3" fillId="0" borderId="4" xfId="0" applyFont="1" applyBorder="1" applyAlignment="1">
      <alignment horizontal="left" vertical="center" wrapText="1"/>
    </xf>
    <xf numFmtId="179" fontId="15" fillId="0" borderId="4" xfId="0" applyNumberFormat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3" borderId="6" xfId="0" applyFont="1" applyFill="1" applyBorder="1">
      <alignment vertical="center"/>
    </xf>
    <xf numFmtId="0" fontId="5" fillId="0" borderId="6" xfId="0" applyFont="1" applyBorder="1" applyAlignment="1">
      <alignment horizontal="center" vertical="center"/>
    </xf>
    <xf numFmtId="179" fontId="15" fillId="0" borderId="6" xfId="0" applyNumberFormat="1" applyFont="1" applyBorder="1">
      <alignment vertical="center"/>
    </xf>
    <xf numFmtId="179" fontId="5" fillId="0" borderId="6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9" fontId="4" fillId="0" borderId="0" xfId="0" applyNumberFormat="1" applyFont="1">
      <alignment vertical="center"/>
    </xf>
    <xf numFmtId="179" fontId="16" fillId="0" borderId="2" xfId="0" applyNumberFormat="1" applyFont="1" applyBorder="1">
      <alignment vertical="center"/>
    </xf>
    <xf numFmtId="179" fontId="17" fillId="0" borderId="2" xfId="0" applyNumberFormat="1" applyFont="1" applyBorder="1">
      <alignment vertical="center"/>
    </xf>
    <xf numFmtId="179" fontId="3" fillId="0" borderId="2" xfId="0" applyNumberFormat="1" applyFont="1" applyBorder="1" applyAlignment="1">
      <alignment horizontal="center" vertical="center"/>
    </xf>
    <xf numFmtId="179" fontId="15" fillId="0" borderId="2" xfId="0" applyNumberFormat="1" applyFont="1" applyBorder="1">
      <alignment vertical="center"/>
    </xf>
    <xf numFmtId="179" fontId="18" fillId="0" borderId="4" xfId="0" applyNumberFormat="1" applyFont="1" applyBorder="1">
      <alignment vertical="center"/>
    </xf>
    <xf numFmtId="179" fontId="19" fillId="0" borderId="4" xfId="0" applyNumberFormat="1" applyFont="1" applyBorder="1">
      <alignment vertical="center"/>
    </xf>
    <xf numFmtId="179" fontId="20" fillId="0" borderId="4" xfId="0" applyNumberFormat="1" applyFont="1" applyBorder="1">
      <alignment vertical="center"/>
    </xf>
    <xf numFmtId="179" fontId="21" fillId="0" borderId="4" xfId="0" applyNumberFormat="1" applyFont="1" applyBorder="1">
      <alignment vertical="center"/>
    </xf>
    <xf numFmtId="179" fontId="22" fillId="0" borderId="4" xfId="0" applyNumberFormat="1" applyFont="1" applyBorder="1">
      <alignment vertical="center"/>
    </xf>
    <xf numFmtId="179" fontId="20" fillId="0" borderId="6" xfId="0" applyNumberFormat="1" applyFont="1" applyBorder="1">
      <alignment vertical="center"/>
    </xf>
    <xf numFmtId="179" fontId="18" fillId="0" borderId="0" xfId="0" applyNumberFormat="1" applyFont="1">
      <alignment vertical="center"/>
    </xf>
    <xf numFmtId="179" fontId="19" fillId="0" borderId="0" xfId="0" applyNumberFormat="1" applyFont="1">
      <alignment vertical="center"/>
    </xf>
    <xf numFmtId="179" fontId="16" fillId="0" borderId="2" xfId="0" applyNumberFormat="1" applyFont="1" applyBorder="1" applyAlignment="1">
      <alignment vertical="center" wrapText="1"/>
    </xf>
    <xf numFmtId="179" fontId="3" fillId="2" borderId="2" xfId="0" applyNumberFormat="1" applyFont="1" applyFill="1" applyBorder="1" applyAlignment="1">
      <alignment horizontal="center" vertical="center" wrapText="1"/>
    </xf>
    <xf numFmtId="0" fontId="4" fillId="0" borderId="7" xfId="0" applyFont="1" applyBorder="1">
      <alignment vertical="center"/>
    </xf>
    <xf numFmtId="178" fontId="4" fillId="2" borderId="0" xfId="0" applyNumberFormat="1" applyFont="1" applyFill="1">
      <alignment vertical="center"/>
    </xf>
    <xf numFmtId="179" fontId="4" fillId="2" borderId="4" xfId="0" applyNumberFormat="1" applyFont="1" applyFill="1" applyBorder="1" applyAlignment="1">
      <alignment horizontal="center" vertical="center"/>
    </xf>
    <xf numFmtId="0" fontId="4" fillId="0" borderId="8" xfId="0" applyFont="1" applyBorder="1">
      <alignment vertical="center"/>
    </xf>
    <xf numFmtId="179" fontId="5" fillId="2" borderId="4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179" fontId="6" fillId="2" borderId="4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179" fontId="10" fillId="2" borderId="4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179" fontId="13" fillId="2" borderId="4" xfId="0" applyNumberFormat="1" applyFont="1" applyFill="1" applyBorder="1" applyAlignment="1">
      <alignment horizontal="center" vertical="center"/>
    </xf>
    <xf numFmtId="0" fontId="23" fillId="0" borderId="8" xfId="0" applyFont="1" applyBorder="1" applyAlignment="1">
      <alignment vertical="center" wrapText="1"/>
    </xf>
    <xf numFmtId="179" fontId="5" fillId="2" borderId="6" xfId="0" applyNumberFormat="1" applyFont="1" applyFill="1" applyBorder="1" applyAlignment="1">
      <alignment horizontal="center" vertical="center"/>
    </xf>
    <xf numFmtId="0" fontId="4" fillId="0" borderId="9" xfId="0" applyFont="1" applyBorder="1">
      <alignment vertical="center"/>
    </xf>
    <xf numFmtId="179" fontId="4" fillId="2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80" fontId="24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78" fontId="24" fillId="0" borderId="10" xfId="0" applyNumberFormat="1" applyFont="1" applyBorder="1" applyAlignment="1">
      <alignment horizontal="center" vertical="center"/>
    </xf>
    <xf numFmtId="180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178" fontId="4" fillId="0" borderId="10" xfId="0" applyNumberFormat="1" applyFont="1" applyBorder="1">
      <alignment vertical="center"/>
    </xf>
    <xf numFmtId="180" fontId="12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178" fontId="12" fillId="0" borderId="10" xfId="0" applyNumberFormat="1" applyFont="1" applyBorder="1">
      <alignment vertical="center"/>
    </xf>
    <xf numFmtId="0" fontId="12" fillId="0" borderId="10" xfId="0" applyFont="1" applyBorder="1" applyAlignment="1">
      <alignment horizontal="center" vertical="center" wrapText="1"/>
    </xf>
    <xf numFmtId="178" fontId="24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4" borderId="0" xfId="0" applyFill="1">
      <alignment vertical="center"/>
    </xf>
    <xf numFmtId="0" fontId="0" fillId="0" borderId="10" xfId="0" applyBorder="1" applyAlignment="1">
      <alignment horizontal="center" vertical="center" wrapText="1"/>
    </xf>
    <xf numFmtId="178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" borderId="10" xfId="0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2" borderId="10" xfId="0" applyFill="1" applyBorder="1" applyAlignment="1">
      <alignment horizontal="center" vertical="center"/>
    </xf>
    <xf numFmtId="178" fontId="26" fillId="0" borderId="0" xfId="0" applyNumberFormat="1" applyFont="1">
      <alignment vertical="center"/>
    </xf>
    <xf numFmtId="180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>
      <alignment vertical="center"/>
    </xf>
    <xf numFmtId="178" fontId="9" fillId="0" borderId="10" xfId="0" applyNumberFormat="1" applyFont="1" applyBorder="1">
      <alignment vertical="center"/>
    </xf>
    <xf numFmtId="14" fontId="0" fillId="0" borderId="0" xfId="0" applyNumberForma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0" fillId="0" borderId="11" xfId="0" applyBorder="1">
      <alignment vertical="center"/>
    </xf>
    <xf numFmtId="178" fontId="4" fillId="0" borderId="11" xfId="0" applyNumberFormat="1" applyFont="1" applyBorder="1">
      <alignment vertical="center"/>
    </xf>
    <xf numFmtId="14" fontId="0" fillId="0" borderId="10" xfId="0" applyNumberFormat="1" applyBorder="1">
      <alignment vertical="center"/>
    </xf>
    <xf numFmtId="14" fontId="25" fillId="0" borderId="10" xfId="0" applyNumberFormat="1" applyFont="1" applyBorder="1">
      <alignment vertical="center"/>
    </xf>
    <xf numFmtId="0" fontId="25" fillId="0" borderId="10" xfId="0" applyFont="1" applyBorder="1">
      <alignment vertical="center"/>
    </xf>
    <xf numFmtId="178" fontId="25" fillId="0" borderId="10" xfId="0" applyNumberFormat="1" applyFont="1" applyBorder="1">
      <alignment vertical="center"/>
    </xf>
    <xf numFmtId="0" fontId="9" fillId="0" borderId="10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178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9" fillId="0" borderId="0" xfId="0" applyFont="1">
      <alignment vertical="center"/>
    </xf>
    <xf numFmtId="178" fontId="29" fillId="0" borderId="0" xfId="0" applyNumberFormat="1" applyFont="1">
      <alignment vertical="center"/>
    </xf>
    <xf numFmtId="0" fontId="26" fillId="0" borderId="0" xfId="0" applyFont="1" applyAlignment="1">
      <alignment horizontal="center" vertical="center"/>
    </xf>
    <xf numFmtId="178" fontId="25" fillId="0" borderId="0" xfId="0" applyNumberFormat="1" applyFont="1">
      <alignment vertical="center"/>
    </xf>
    <xf numFmtId="0" fontId="27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178" fontId="28" fillId="0" borderId="0" xfId="0" applyNumberFormat="1" applyFont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3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280035</xdr:colOff>
      <xdr:row>3</xdr:row>
      <xdr:rowOff>167640</xdr:rowOff>
    </xdr:from>
    <xdr:to>
      <xdr:col>22</xdr:col>
      <xdr:colOff>85725</xdr:colOff>
      <xdr:row>8</xdr:row>
      <xdr:rowOff>227965</xdr:rowOff>
    </xdr:to>
    <xdr:pic>
      <xdr:nvPicPr>
        <xdr:cNvPr id="2" name="图片 1" descr="a6bd983326a98d11891917ccdb19ab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8255" y="853440"/>
          <a:ext cx="9063990" cy="177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457200</xdr:colOff>
      <xdr:row>44</xdr:row>
      <xdr:rowOff>123825</xdr:rowOff>
    </xdr:from>
    <xdr:to>
      <xdr:col>19</xdr:col>
      <xdr:colOff>628650</xdr:colOff>
      <xdr:row>87</xdr:row>
      <xdr:rowOff>69850</xdr:rowOff>
    </xdr:to>
    <xdr:pic>
      <xdr:nvPicPr>
        <xdr:cNvPr id="2" name="图片 1" descr="d6d76f8ba69a18b0955e9a24576dde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8455" y="14033500"/>
          <a:ext cx="5657850" cy="10093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sqref="A1:E1"/>
    </sheetView>
  </sheetViews>
  <sheetFormatPr defaultColWidth="9" defaultRowHeight="14.4" x14ac:dyDescent="0.25"/>
  <cols>
    <col min="1" max="1" width="9" style="83"/>
    <col min="2" max="2" width="11.44140625" style="83"/>
    <col min="3" max="3" width="51.44140625" customWidth="1"/>
    <col min="4" max="4" width="17.6640625" style="82" customWidth="1"/>
    <col min="5" max="5" width="13.33203125" style="82" customWidth="1"/>
    <col min="6" max="6" width="13.77734375" customWidth="1"/>
  </cols>
  <sheetData>
    <row r="1" spans="1:6" ht="23.4" customHeight="1" x14ac:dyDescent="0.25">
      <c r="A1" s="157" t="s">
        <v>159</v>
      </c>
      <c r="B1" s="157"/>
      <c r="C1" s="157"/>
      <c r="D1" s="157"/>
      <c r="E1" s="157"/>
    </row>
    <row r="2" spans="1:6" s="83" customFormat="1" ht="27" customHeight="1" x14ac:dyDescent="0.25">
      <c r="A2" s="83" t="s">
        <v>0</v>
      </c>
      <c r="B2" s="83" t="s">
        <v>1</v>
      </c>
      <c r="C2" s="83" t="s">
        <v>2</v>
      </c>
      <c r="D2" s="127" t="s">
        <v>3</v>
      </c>
      <c r="E2" s="127" t="s">
        <v>4</v>
      </c>
    </row>
    <row r="3" spans="1:6" ht="27" customHeight="1" x14ac:dyDescent="0.25">
      <c r="A3" s="83">
        <f>ROW()-1</f>
        <v>2</v>
      </c>
      <c r="B3" s="128">
        <v>44834</v>
      </c>
      <c r="C3" s="129" t="s">
        <v>5</v>
      </c>
      <c r="D3" s="130">
        <v>-20000</v>
      </c>
      <c r="E3" s="82">
        <f>D3</f>
        <v>-20000</v>
      </c>
    </row>
    <row r="4" spans="1:6" ht="27" customHeight="1" x14ac:dyDescent="0.25">
      <c r="A4" s="83">
        <f>ROW()-1</f>
        <v>3</v>
      </c>
      <c r="B4" s="128">
        <v>44856</v>
      </c>
      <c r="C4" t="s">
        <v>6</v>
      </c>
      <c r="D4" s="82">
        <v>11203</v>
      </c>
      <c r="E4" s="82">
        <f>E3+D4</f>
        <v>-8797</v>
      </c>
    </row>
    <row r="5" spans="1:6" ht="27" customHeight="1" x14ac:dyDescent="0.25">
      <c r="A5" s="83">
        <f>ROW()-1</f>
        <v>4</v>
      </c>
      <c r="B5" s="128">
        <v>44856</v>
      </c>
      <c r="C5" t="s">
        <v>7</v>
      </c>
      <c r="D5" s="82">
        <v>13839.81</v>
      </c>
      <c r="E5" s="82">
        <f t="shared" ref="E5:E10" si="0">E4+D5</f>
        <v>5042.8099999999995</v>
      </c>
    </row>
    <row r="6" spans="1:6" ht="27" customHeight="1" x14ac:dyDescent="0.25">
      <c r="A6" s="83">
        <f t="shared" ref="A6:A13" si="1">ROW()-1</f>
        <v>5</v>
      </c>
      <c r="B6" s="128">
        <v>44867</v>
      </c>
      <c r="C6" s="129" t="s">
        <v>8</v>
      </c>
      <c r="D6" s="130">
        <v>-20000</v>
      </c>
      <c r="E6" s="82">
        <f t="shared" si="0"/>
        <v>-14957.19</v>
      </c>
    </row>
    <row r="7" spans="1:6" ht="27" customHeight="1" x14ac:dyDescent="0.25">
      <c r="A7" s="83">
        <f t="shared" si="1"/>
        <v>6</v>
      </c>
      <c r="B7" s="128">
        <v>44914</v>
      </c>
      <c r="C7" t="s">
        <v>9</v>
      </c>
      <c r="D7" s="82">
        <v>110919.6</v>
      </c>
      <c r="E7" s="82">
        <f t="shared" si="0"/>
        <v>95962.41</v>
      </c>
    </row>
    <row r="8" spans="1:6" ht="27" customHeight="1" x14ac:dyDescent="0.25">
      <c r="A8" s="83">
        <f t="shared" si="1"/>
        <v>7</v>
      </c>
      <c r="B8" s="128">
        <v>44914</v>
      </c>
      <c r="C8" t="s">
        <v>10</v>
      </c>
      <c r="D8" s="82">
        <v>121521.22</v>
      </c>
      <c r="E8" s="82">
        <f t="shared" si="0"/>
        <v>217483.63</v>
      </c>
    </row>
    <row r="9" spans="1:6" ht="27" customHeight="1" x14ac:dyDescent="0.25">
      <c r="A9" s="83">
        <f t="shared" si="1"/>
        <v>8</v>
      </c>
      <c r="B9" s="128">
        <v>44912</v>
      </c>
      <c r="C9" s="129" t="s">
        <v>11</v>
      </c>
      <c r="D9" s="130">
        <v>-55595.16</v>
      </c>
      <c r="E9" s="82">
        <f t="shared" si="0"/>
        <v>161888.47</v>
      </c>
      <c r="F9" s="130"/>
    </row>
    <row r="10" spans="1:6" ht="27" customHeight="1" x14ac:dyDescent="0.25">
      <c r="A10" s="83">
        <f t="shared" si="1"/>
        <v>9</v>
      </c>
      <c r="B10" s="128"/>
      <c r="C10" s="129"/>
      <c r="D10" s="130"/>
      <c r="E10" s="82">
        <f t="shared" si="0"/>
        <v>161888.47</v>
      </c>
    </row>
    <row r="11" spans="1:6" ht="27" customHeight="1" x14ac:dyDescent="0.25">
      <c r="A11" s="83">
        <f t="shared" si="1"/>
        <v>10</v>
      </c>
      <c r="C11" s="126"/>
      <c r="E11" s="82">
        <f>+E10+D11</f>
        <v>161888.47</v>
      </c>
    </row>
    <row r="12" spans="1:6" ht="27" customHeight="1" x14ac:dyDescent="0.25">
      <c r="A12" s="83">
        <f t="shared" si="1"/>
        <v>11</v>
      </c>
    </row>
    <row r="13" spans="1:6" ht="27" customHeight="1" x14ac:dyDescent="0.25">
      <c r="A13" s="83">
        <f t="shared" si="1"/>
        <v>12</v>
      </c>
    </row>
    <row r="14" spans="1:6" s="126" customFormat="1" ht="27" customHeight="1" x14ac:dyDescent="0.25">
      <c r="A14" s="131"/>
      <c r="B14" s="131"/>
      <c r="C14" s="126" t="s">
        <v>4</v>
      </c>
      <c r="D14" s="132">
        <f>SUM(D3:D13)</f>
        <v>161888.47</v>
      </c>
      <c r="E14" s="111"/>
    </row>
  </sheetData>
  <mergeCells count="1">
    <mergeCell ref="A1:E1"/>
  </mergeCells>
  <phoneticPr fontId="34" type="noConversion"/>
  <pageMargins left="0.75" right="0.75" top="1" bottom="1" header="0.5" footer="0.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2"/>
  <sheetViews>
    <sheetView workbookViewId="0">
      <pane ySplit="2" topLeftCell="A49" activePane="bottomLeft" state="frozen"/>
      <selection pane="bottomLeft" activeCell="B9" sqref="B9"/>
    </sheetView>
  </sheetViews>
  <sheetFormatPr defaultColWidth="9" defaultRowHeight="14.4" x14ac:dyDescent="0.25"/>
  <cols>
    <col min="1" max="1" width="11.44140625"/>
    <col min="4" max="4" width="32.6640625" customWidth="1"/>
    <col min="5" max="5" width="9" customWidth="1"/>
    <col min="7" max="7" width="9.33203125" style="82"/>
    <col min="8" max="8" width="9" hidden="1" customWidth="1"/>
    <col min="9" max="9" width="11.109375" style="1"/>
    <col min="10" max="10" width="14.88671875" style="82" customWidth="1"/>
    <col min="11" max="11" width="16.21875" style="83" customWidth="1"/>
  </cols>
  <sheetData>
    <row r="1" spans="1:11" ht="20.399999999999999" x14ac:dyDescent="0.25">
      <c r="A1" s="133" t="s">
        <v>12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s="80" customFormat="1" ht="25.05" customHeight="1" x14ac:dyDescent="0.25">
      <c r="A2" s="84" t="s">
        <v>13</v>
      </c>
      <c r="B2" s="85" t="s">
        <v>14</v>
      </c>
      <c r="C2" s="85" t="s">
        <v>15</v>
      </c>
      <c r="D2" s="85" t="s">
        <v>16</v>
      </c>
      <c r="E2" s="85" t="s">
        <v>17</v>
      </c>
      <c r="F2" s="85" t="s">
        <v>18</v>
      </c>
      <c r="G2" s="86" t="s">
        <v>19</v>
      </c>
      <c r="H2" s="85" t="s">
        <v>20</v>
      </c>
      <c r="I2" s="95" t="s">
        <v>21</v>
      </c>
      <c r="J2" s="96" t="s">
        <v>22</v>
      </c>
      <c r="K2" s="85" t="s">
        <v>23</v>
      </c>
    </row>
    <row r="3" spans="1:11" ht="25.05" customHeight="1" x14ac:dyDescent="0.25">
      <c r="A3" s="87">
        <v>44901</v>
      </c>
      <c r="B3" s="88" t="s">
        <v>24</v>
      </c>
      <c r="C3" s="89">
        <v>30100010</v>
      </c>
      <c r="D3" s="89" t="s">
        <v>25</v>
      </c>
      <c r="E3" s="89">
        <v>417</v>
      </c>
      <c r="F3" s="89">
        <v>5</v>
      </c>
      <c r="G3" s="90">
        <f t="shared" ref="G3:G7" si="0">E3*F3/1000</f>
        <v>2.085</v>
      </c>
      <c r="H3" s="89">
        <v>22.68</v>
      </c>
      <c r="I3" s="97">
        <v>1400</v>
      </c>
      <c r="J3" s="90">
        <f t="shared" ref="J3:J7" si="1">ROUND(I3*G3,2)</f>
        <v>2919</v>
      </c>
      <c r="K3" s="98"/>
    </row>
    <row r="4" spans="1:11" ht="25.05" customHeight="1" x14ac:dyDescent="0.25">
      <c r="A4" s="87">
        <v>44901</v>
      </c>
      <c r="B4" s="88" t="s">
        <v>24</v>
      </c>
      <c r="C4" s="89">
        <v>30100012</v>
      </c>
      <c r="D4" s="89" t="s">
        <v>26</v>
      </c>
      <c r="E4" s="89">
        <v>769</v>
      </c>
      <c r="F4" s="89">
        <v>5</v>
      </c>
      <c r="G4" s="90">
        <f t="shared" si="0"/>
        <v>3.8450000000000002</v>
      </c>
      <c r="H4" s="89">
        <v>22.68</v>
      </c>
      <c r="I4" s="97">
        <v>1400</v>
      </c>
      <c r="J4" s="90">
        <f t="shared" si="1"/>
        <v>5383</v>
      </c>
      <c r="K4" s="98"/>
    </row>
    <row r="5" spans="1:11" ht="25.05" customHeight="1" x14ac:dyDescent="0.25">
      <c r="A5" s="87">
        <v>44901</v>
      </c>
      <c r="B5" s="88" t="s">
        <v>24</v>
      </c>
      <c r="C5" s="89">
        <v>30100013</v>
      </c>
      <c r="D5" s="89" t="s">
        <v>27</v>
      </c>
      <c r="E5" s="89">
        <v>951</v>
      </c>
      <c r="F5" s="89">
        <v>5</v>
      </c>
      <c r="G5" s="90">
        <f t="shared" si="0"/>
        <v>4.7549999999999999</v>
      </c>
      <c r="H5" s="89">
        <v>22.68</v>
      </c>
      <c r="I5" s="97">
        <v>1400</v>
      </c>
      <c r="J5" s="90">
        <f t="shared" si="1"/>
        <v>6657</v>
      </c>
      <c r="K5" s="98"/>
    </row>
    <row r="6" spans="1:11" ht="25.05" customHeight="1" x14ac:dyDescent="0.25">
      <c r="A6" s="87">
        <v>44901</v>
      </c>
      <c r="B6" s="88" t="s">
        <v>24</v>
      </c>
      <c r="C6" s="89">
        <v>30100014</v>
      </c>
      <c r="D6" s="89" t="s">
        <v>28</v>
      </c>
      <c r="E6" s="89">
        <v>648</v>
      </c>
      <c r="F6" s="89">
        <v>5</v>
      </c>
      <c r="G6" s="90">
        <f t="shared" si="0"/>
        <v>3.24</v>
      </c>
      <c r="H6" s="89">
        <v>22.68</v>
      </c>
      <c r="I6" s="97">
        <v>1400</v>
      </c>
      <c r="J6" s="90">
        <f t="shared" si="1"/>
        <v>4536</v>
      </c>
      <c r="K6" s="98"/>
    </row>
    <row r="7" spans="1:11" ht="25.05" customHeight="1" x14ac:dyDescent="0.25">
      <c r="A7" s="87">
        <v>44901</v>
      </c>
      <c r="B7" s="88" t="s">
        <v>24</v>
      </c>
      <c r="C7" s="89">
        <v>30100030</v>
      </c>
      <c r="D7" s="89" t="s">
        <v>29</v>
      </c>
      <c r="E7" s="89">
        <v>100</v>
      </c>
      <c r="F7" s="89">
        <v>5</v>
      </c>
      <c r="G7" s="90">
        <f t="shared" si="0"/>
        <v>0.5</v>
      </c>
      <c r="H7" s="89">
        <v>27.09</v>
      </c>
      <c r="I7" s="97">
        <v>1550</v>
      </c>
      <c r="J7" s="90">
        <f t="shared" si="1"/>
        <v>775</v>
      </c>
      <c r="K7" s="98"/>
    </row>
    <row r="8" spans="1:11" s="81" customFormat="1" ht="25.05" customHeight="1" x14ac:dyDescent="0.25">
      <c r="A8" s="91" t="s">
        <v>30</v>
      </c>
      <c r="B8" s="92" t="s">
        <v>24</v>
      </c>
      <c r="C8" s="93"/>
      <c r="D8" s="93"/>
      <c r="E8" s="93">
        <f t="shared" ref="E8:J8" si="2">SUM(E3:E7)</f>
        <v>2885</v>
      </c>
      <c r="F8" s="93"/>
      <c r="G8" s="94">
        <f t="shared" si="2"/>
        <v>14.424999999999999</v>
      </c>
      <c r="H8" s="93"/>
      <c r="I8" s="97"/>
      <c r="J8" s="94">
        <f t="shared" si="2"/>
        <v>20270</v>
      </c>
      <c r="K8" s="99"/>
    </row>
    <row r="9" spans="1:11" ht="25.05" customHeight="1" x14ac:dyDescent="0.25">
      <c r="A9" s="87">
        <v>44906</v>
      </c>
      <c r="B9" s="88" t="s">
        <v>24</v>
      </c>
      <c r="C9" s="89">
        <v>30100007</v>
      </c>
      <c r="D9" s="89" t="s">
        <v>31</v>
      </c>
      <c r="E9" s="89">
        <v>630</v>
      </c>
      <c r="F9" s="89">
        <v>5</v>
      </c>
      <c r="G9" s="90">
        <f t="shared" ref="G9:G18" si="3">E9*F9/1000</f>
        <v>3.15</v>
      </c>
      <c r="H9" s="89">
        <v>30.12</v>
      </c>
      <c r="I9" s="97">
        <v>1550</v>
      </c>
      <c r="J9" s="90">
        <f t="shared" ref="J9:J18" si="4">ROUND(I9*G9,2)</f>
        <v>4882.5</v>
      </c>
      <c r="K9" s="98"/>
    </row>
    <row r="10" spans="1:11" ht="25.05" customHeight="1" x14ac:dyDescent="0.25">
      <c r="A10" s="87">
        <v>44906</v>
      </c>
      <c r="B10" s="88" t="s">
        <v>24</v>
      </c>
      <c r="C10" s="89">
        <v>30200002</v>
      </c>
      <c r="D10" s="89" t="s">
        <v>32</v>
      </c>
      <c r="E10" s="89">
        <v>363</v>
      </c>
      <c r="F10" s="89">
        <v>5</v>
      </c>
      <c r="G10" s="90">
        <f t="shared" si="3"/>
        <v>1.8149999999999999</v>
      </c>
      <c r="H10" s="89">
        <v>30.96</v>
      </c>
      <c r="I10" s="97">
        <v>1550</v>
      </c>
      <c r="J10" s="90">
        <f t="shared" si="4"/>
        <v>2813.25</v>
      </c>
      <c r="K10" s="98"/>
    </row>
    <row r="11" spans="1:11" ht="25.05" customHeight="1" x14ac:dyDescent="0.25">
      <c r="A11" s="87">
        <v>44906</v>
      </c>
      <c r="B11" s="88" t="s">
        <v>24</v>
      </c>
      <c r="C11" s="89">
        <v>30100047</v>
      </c>
      <c r="D11" s="89" t="s">
        <v>33</v>
      </c>
      <c r="E11" s="89">
        <v>138</v>
      </c>
      <c r="F11" s="89">
        <v>5</v>
      </c>
      <c r="G11" s="90">
        <f t="shared" si="3"/>
        <v>0.69</v>
      </c>
      <c r="H11" s="89">
        <v>30.56</v>
      </c>
      <c r="I11" s="97">
        <v>1550</v>
      </c>
      <c r="J11" s="90">
        <f t="shared" si="4"/>
        <v>1069.5</v>
      </c>
      <c r="K11" s="98"/>
    </row>
    <row r="12" spans="1:11" ht="25.05" customHeight="1" x14ac:dyDescent="0.25">
      <c r="A12" s="87">
        <v>44906</v>
      </c>
      <c r="B12" s="88" t="s">
        <v>24</v>
      </c>
      <c r="C12" s="89">
        <v>30100064</v>
      </c>
      <c r="D12" s="89" t="s">
        <v>34</v>
      </c>
      <c r="E12" s="89">
        <v>133</v>
      </c>
      <c r="F12" s="89">
        <v>5</v>
      </c>
      <c r="G12" s="90">
        <f t="shared" si="3"/>
        <v>0.66500000000000004</v>
      </c>
      <c r="H12" s="89">
        <v>22.42</v>
      </c>
      <c r="I12" s="97">
        <v>1550</v>
      </c>
      <c r="J12" s="90">
        <f t="shared" si="4"/>
        <v>1030.75</v>
      </c>
      <c r="K12" s="98"/>
    </row>
    <row r="13" spans="1:11" ht="25.05" customHeight="1" x14ac:dyDescent="0.25">
      <c r="A13" s="87">
        <v>44906</v>
      </c>
      <c r="B13" s="88" t="s">
        <v>24</v>
      </c>
      <c r="C13" s="89">
        <v>30100010</v>
      </c>
      <c r="D13" s="89" t="s">
        <v>25</v>
      </c>
      <c r="E13" s="89">
        <v>388</v>
      </c>
      <c r="F13" s="89">
        <v>5</v>
      </c>
      <c r="G13" s="90">
        <f t="shared" si="3"/>
        <v>1.94</v>
      </c>
      <c r="H13" s="89">
        <v>22.68</v>
      </c>
      <c r="I13" s="97">
        <v>1400</v>
      </c>
      <c r="J13" s="90">
        <f t="shared" si="4"/>
        <v>2716</v>
      </c>
      <c r="K13" s="98"/>
    </row>
    <row r="14" spans="1:11" ht="25.05" customHeight="1" x14ac:dyDescent="0.25">
      <c r="A14" s="87">
        <v>44906</v>
      </c>
      <c r="B14" s="88" t="s">
        <v>24</v>
      </c>
      <c r="C14" s="89">
        <v>30100012</v>
      </c>
      <c r="D14" s="89" t="s">
        <v>26</v>
      </c>
      <c r="E14" s="89">
        <v>200</v>
      </c>
      <c r="F14" s="89">
        <v>5</v>
      </c>
      <c r="G14" s="90">
        <f t="shared" si="3"/>
        <v>1</v>
      </c>
      <c r="H14" s="89">
        <v>22.68</v>
      </c>
      <c r="I14" s="97">
        <v>1400</v>
      </c>
      <c r="J14" s="90">
        <f t="shared" si="4"/>
        <v>1400</v>
      </c>
      <c r="K14" s="98"/>
    </row>
    <row r="15" spans="1:11" ht="25.05" customHeight="1" x14ac:dyDescent="0.25">
      <c r="A15" s="87">
        <v>44906</v>
      </c>
      <c r="B15" s="88" t="s">
        <v>24</v>
      </c>
      <c r="C15" s="89">
        <v>30100013</v>
      </c>
      <c r="D15" s="89" t="s">
        <v>27</v>
      </c>
      <c r="E15" s="89">
        <v>192</v>
      </c>
      <c r="F15" s="89">
        <v>5</v>
      </c>
      <c r="G15" s="90">
        <f t="shared" si="3"/>
        <v>0.96</v>
      </c>
      <c r="H15" s="89">
        <v>22.68</v>
      </c>
      <c r="I15" s="97">
        <v>1400</v>
      </c>
      <c r="J15" s="90">
        <f t="shared" si="4"/>
        <v>1344</v>
      </c>
      <c r="K15" s="98"/>
    </row>
    <row r="16" spans="1:11" ht="25.05" customHeight="1" x14ac:dyDescent="0.25">
      <c r="A16" s="87">
        <v>44906</v>
      </c>
      <c r="B16" s="88" t="s">
        <v>24</v>
      </c>
      <c r="C16" s="89">
        <v>30100014</v>
      </c>
      <c r="D16" s="89" t="s">
        <v>28</v>
      </c>
      <c r="E16" s="89">
        <v>338</v>
      </c>
      <c r="F16" s="89">
        <v>5</v>
      </c>
      <c r="G16" s="90">
        <f t="shared" si="3"/>
        <v>1.69</v>
      </c>
      <c r="H16" s="89">
        <v>22.68</v>
      </c>
      <c r="I16" s="97">
        <v>1400</v>
      </c>
      <c r="J16" s="90">
        <f t="shared" si="4"/>
        <v>2366</v>
      </c>
      <c r="K16" s="98"/>
    </row>
    <row r="17" spans="1:13" ht="25.05" customHeight="1" x14ac:dyDescent="0.25">
      <c r="A17" s="87">
        <v>44906</v>
      </c>
      <c r="B17" s="88" t="s">
        <v>24</v>
      </c>
      <c r="C17" s="89">
        <v>30700016</v>
      </c>
      <c r="D17" s="89" t="s">
        <v>35</v>
      </c>
      <c r="E17" s="89">
        <v>400</v>
      </c>
      <c r="F17" s="89">
        <v>8.1</v>
      </c>
      <c r="G17" s="90">
        <f t="shared" si="3"/>
        <v>3.24</v>
      </c>
      <c r="H17" s="89">
        <v>70.709999999999994</v>
      </c>
      <c r="I17" s="97">
        <v>1550</v>
      </c>
      <c r="J17" s="90">
        <f t="shared" si="4"/>
        <v>5022</v>
      </c>
      <c r="K17" s="98"/>
    </row>
    <row r="18" spans="1:13" ht="25.05" customHeight="1" x14ac:dyDescent="0.25">
      <c r="A18" s="87">
        <v>44906</v>
      </c>
      <c r="B18" s="88" t="s">
        <v>24</v>
      </c>
      <c r="C18" s="89">
        <v>30700017</v>
      </c>
      <c r="D18" s="89" t="s">
        <v>36</v>
      </c>
      <c r="E18" s="89">
        <v>320</v>
      </c>
      <c r="F18" s="89">
        <v>5</v>
      </c>
      <c r="G18" s="90">
        <f t="shared" si="3"/>
        <v>1.6</v>
      </c>
      <c r="H18" s="89">
        <v>42.3</v>
      </c>
      <c r="I18" s="97">
        <v>1550</v>
      </c>
      <c r="J18" s="90">
        <f t="shared" si="4"/>
        <v>2480</v>
      </c>
      <c r="K18" s="98"/>
    </row>
    <row r="19" spans="1:13" s="81" customFormat="1" ht="25.05" customHeight="1" x14ac:dyDescent="0.25">
      <c r="A19" s="91" t="s">
        <v>37</v>
      </c>
      <c r="B19" s="92" t="s">
        <v>24</v>
      </c>
      <c r="C19" s="93"/>
      <c r="D19" s="93"/>
      <c r="E19" s="93">
        <f t="shared" ref="E19:J19" si="5">SUM(E9:E18)</f>
        <v>3102</v>
      </c>
      <c r="F19" s="93"/>
      <c r="G19" s="94">
        <f t="shared" si="5"/>
        <v>16.75</v>
      </c>
      <c r="H19" s="93"/>
      <c r="I19" s="97"/>
      <c r="J19" s="94">
        <f t="shared" si="5"/>
        <v>25124</v>
      </c>
      <c r="K19" s="99"/>
    </row>
    <row r="20" spans="1:13" s="5" customFormat="1" ht="25.05" customHeight="1" x14ac:dyDescent="0.25">
      <c r="A20" s="87">
        <v>44908</v>
      </c>
      <c r="B20" s="88" t="s">
        <v>24</v>
      </c>
      <c r="C20" s="89">
        <v>30100007</v>
      </c>
      <c r="D20" s="89" t="s">
        <v>31</v>
      </c>
      <c r="E20" s="89">
        <v>97</v>
      </c>
      <c r="F20" s="89">
        <v>5</v>
      </c>
      <c r="G20" s="90">
        <f t="shared" ref="G20:G27" si="6">E20*F20/1000</f>
        <v>0.48499999999999999</v>
      </c>
      <c r="H20" s="89">
        <v>30.12</v>
      </c>
      <c r="I20" s="97">
        <v>1550</v>
      </c>
      <c r="J20" s="90">
        <f t="shared" ref="J20:J27" si="7">ROUND(I20*G20,2)</f>
        <v>751.75</v>
      </c>
      <c r="K20" s="88">
        <v>20221205</v>
      </c>
    </row>
    <row r="21" spans="1:13" s="5" customFormat="1" ht="25.05" customHeight="1" x14ac:dyDescent="0.25">
      <c r="A21" s="87">
        <v>44908</v>
      </c>
      <c r="B21" s="88" t="s">
        <v>24</v>
      </c>
      <c r="C21" s="89">
        <v>30200002</v>
      </c>
      <c r="D21" s="89" t="s">
        <v>32</v>
      </c>
      <c r="E21" s="89">
        <f>220+44</f>
        <v>264</v>
      </c>
      <c r="F21" s="89">
        <v>5</v>
      </c>
      <c r="G21" s="90">
        <f t="shared" si="6"/>
        <v>1.32</v>
      </c>
      <c r="H21" s="89">
        <v>30.96</v>
      </c>
      <c r="I21" s="97">
        <v>1550</v>
      </c>
      <c r="J21" s="90">
        <f t="shared" si="7"/>
        <v>2046</v>
      </c>
      <c r="K21" s="100" t="s">
        <v>38</v>
      </c>
    </row>
    <row r="22" spans="1:13" s="5" customFormat="1" ht="25.05" customHeight="1" x14ac:dyDescent="0.25">
      <c r="A22" s="87">
        <v>44908</v>
      </c>
      <c r="B22" s="88" t="s">
        <v>24</v>
      </c>
      <c r="C22" s="89">
        <v>30100012</v>
      </c>
      <c r="D22" s="89" t="s">
        <v>26</v>
      </c>
      <c r="E22" s="89">
        <v>80</v>
      </c>
      <c r="F22" s="89">
        <v>5</v>
      </c>
      <c r="G22" s="90">
        <f t="shared" si="6"/>
        <v>0.4</v>
      </c>
      <c r="H22" s="89">
        <v>22.68</v>
      </c>
      <c r="I22" s="97">
        <v>1400</v>
      </c>
      <c r="J22" s="90">
        <f t="shared" si="7"/>
        <v>560</v>
      </c>
      <c r="K22" s="88">
        <v>20221210</v>
      </c>
    </row>
    <row r="23" spans="1:13" s="5" customFormat="1" ht="25.05" customHeight="1" x14ac:dyDescent="0.25">
      <c r="A23" s="87">
        <v>44908</v>
      </c>
      <c r="B23" s="88" t="s">
        <v>24</v>
      </c>
      <c r="C23" s="89">
        <v>30100013</v>
      </c>
      <c r="D23" s="89" t="s">
        <v>27</v>
      </c>
      <c r="E23" s="89">
        <v>261</v>
      </c>
      <c r="F23" s="89">
        <v>5</v>
      </c>
      <c r="G23" s="90">
        <f t="shared" si="6"/>
        <v>1.3049999999999999</v>
      </c>
      <c r="H23" s="89">
        <v>22.68</v>
      </c>
      <c r="I23" s="97">
        <v>1400</v>
      </c>
      <c r="J23" s="90">
        <f t="shared" si="7"/>
        <v>1827</v>
      </c>
      <c r="K23" s="88">
        <v>20221201</v>
      </c>
    </row>
    <row r="24" spans="1:13" s="5" customFormat="1" ht="25.05" customHeight="1" x14ac:dyDescent="0.25">
      <c r="A24" s="87">
        <v>44908</v>
      </c>
      <c r="B24" s="88" t="s">
        <v>24</v>
      </c>
      <c r="C24" s="89">
        <v>30700016</v>
      </c>
      <c r="D24" s="89" t="s">
        <v>35</v>
      </c>
      <c r="E24" s="89">
        <f>156+64</f>
        <v>220</v>
      </c>
      <c r="F24" s="89">
        <v>8.1</v>
      </c>
      <c r="G24" s="90">
        <f t="shared" si="6"/>
        <v>1.782</v>
      </c>
      <c r="H24" s="89">
        <v>70.709999999999994</v>
      </c>
      <c r="I24" s="97">
        <v>1550</v>
      </c>
      <c r="J24" s="90">
        <f t="shared" si="7"/>
        <v>2762.1</v>
      </c>
      <c r="K24" s="100" t="s">
        <v>39</v>
      </c>
    </row>
    <row r="25" spans="1:13" s="5" customFormat="1" ht="25.05" customHeight="1" x14ac:dyDescent="0.25">
      <c r="A25" s="87">
        <v>44908</v>
      </c>
      <c r="B25" s="88" t="s">
        <v>24</v>
      </c>
      <c r="C25" s="89">
        <v>30700017</v>
      </c>
      <c r="D25" s="89" t="s">
        <v>36</v>
      </c>
      <c r="E25" s="89">
        <v>148</v>
      </c>
      <c r="F25" s="89">
        <v>5</v>
      </c>
      <c r="G25" s="90">
        <f t="shared" si="6"/>
        <v>0.74</v>
      </c>
      <c r="H25" s="89">
        <v>42.3</v>
      </c>
      <c r="I25" s="97">
        <v>1550</v>
      </c>
      <c r="J25" s="90">
        <f t="shared" si="7"/>
        <v>1147</v>
      </c>
      <c r="K25" s="88">
        <v>20221208</v>
      </c>
    </row>
    <row r="26" spans="1:13" s="5" customFormat="1" ht="25.05" customHeight="1" x14ac:dyDescent="0.25">
      <c r="A26" s="87">
        <v>44908</v>
      </c>
      <c r="B26" s="88" t="s">
        <v>24</v>
      </c>
      <c r="C26" s="89">
        <v>30100030</v>
      </c>
      <c r="D26" s="89" t="s">
        <v>29</v>
      </c>
      <c r="E26" s="89">
        <v>382</v>
      </c>
      <c r="F26" s="89">
        <v>5</v>
      </c>
      <c r="G26" s="90">
        <f t="shared" si="6"/>
        <v>1.91</v>
      </c>
      <c r="H26" s="89">
        <v>27.09</v>
      </c>
      <c r="I26" s="97">
        <v>1550</v>
      </c>
      <c r="J26" s="90">
        <f t="shared" si="7"/>
        <v>2960.5</v>
      </c>
      <c r="K26" s="88">
        <v>20221205</v>
      </c>
    </row>
    <row r="27" spans="1:13" s="5" customFormat="1" ht="25.05" customHeight="1" x14ac:dyDescent="0.25">
      <c r="A27" s="87">
        <v>44908</v>
      </c>
      <c r="B27" s="88" t="s">
        <v>24</v>
      </c>
      <c r="C27" s="89">
        <v>30101119</v>
      </c>
      <c r="D27" s="89" t="s">
        <v>40</v>
      </c>
      <c r="E27" s="89">
        <v>262</v>
      </c>
      <c r="F27" s="89">
        <v>5</v>
      </c>
      <c r="G27" s="90">
        <f t="shared" si="6"/>
        <v>1.31</v>
      </c>
      <c r="H27" s="89">
        <v>27.25</v>
      </c>
      <c r="I27" s="97">
        <v>1550</v>
      </c>
      <c r="J27" s="90">
        <f t="shared" si="7"/>
        <v>2030.5</v>
      </c>
      <c r="K27" s="88">
        <v>20221208</v>
      </c>
    </row>
    <row r="28" spans="1:13" s="34" customFormat="1" ht="25.05" customHeight="1" x14ac:dyDescent="0.25">
      <c r="A28" s="93" t="s">
        <v>41</v>
      </c>
      <c r="B28" s="92" t="s">
        <v>24</v>
      </c>
      <c r="C28" s="93"/>
      <c r="D28" s="93"/>
      <c r="E28" s="93">
        <f t="shared" ref="E28:J28" si="8">SUM(E20:E27)</f>
        <v>1714</v>
      </c>
      <c r="F28" s="93"/>
      <c r="G28" s="94">
        <f t="shared" si="8"/>
        <v>9.2520000000000007</v>
      </c>
      <c r="H28" s="93"/>
      <c r="I28" s="93"/>
      <c r="J28" s="94">
        <f t="shared" si="8"/>
        <v>14084.85</v>
      </c>
      <c r="K28" s="92"/>
    </row>
    <row r="29" spans="1:13" s="5" customFormat="1" ht="25.05" customHeight="1" x14ac:dyDescent="0.25">
      <c r="A29" s="87">
        <v>44909</v>
      </c>
      <c r="B29" s="88" t="s">
        <v>24</v>
      </c>
      <c r="C29" s="89">
        <v>30200002</v>
      </c>
      <c r="D29" s="89" t="s">
        <v>32</v>
      </c>
      <c r="E29" s="89">
        <v>171</v>
      </c>
      <c r="F29" s="89">
        <v>5</v>
      </c>
      <c r="G29" s="90">
        <f t="shared" ref="G29:G33" si="9">E29*F29/1000</f>
        <v>0.85499999999999998</v>
      </c>
      <c r="H29" s="89">
        <v>101</v>
      </c>
      <c r="I29" s="97">
        <v>1550</v>
      </c>
      <c r="J29" s="90">
        <f t="shared" ref="J29:J33" si="10">ROUND(I29*G29,2)</f>
        <v>1325.25</v>
      </c>
      <c r="K29" s="88">
        <v>20221215</v>
      </c>
    </row>
    <row r="30" spans="1:13" s="5" customFormat="1" ht="25.05" customHeight="1" x14ac:dyDescent="0.25">
      <c r="A30" s="87">
        <v>44909</v>
      </c>
      <c r="B30" s="88" t="s">
        <v>24</v>
      </c>
      <c r="C30" s="89">
        <v>30100010</v>
      </c>
      <c r="D30" s="89" t="s">
        <v>25</v>
      </c>
      <c r="E30" s="89">
        <v>194</v>
      </c>
      <c r="F30" s="89">
        <v>5</v>
      </c>
      <c r="G30" s="90">
        <f t="shared" si="9"/>
        <v>0.97</v>
      </c>
      <c r="H30" s="89">
        <v>101</v>
      </c>
      <c r="I30" s="97">
        <v>1400</v>
      </c>
      <c r="J30" s="90">
        <f t="shared" si="10"/>
        <v>1358</v>
      </c>
      <c r="K30" s="88">
        <v>20221215</v>
      </c>
    </row>
    <row r="31" spans="1:13" s="5" customFormat="1" ht="25.05" customHeight="1" x14ac:dyDescent="0.25">
      <c r="A31" s="87">
        <v>44909</v>
      </c>
      <c r="B31" s="88" t="s">
        <v>24</v>
      </c>
      <c r="C31" s="89">
        <v>30100012</v>
      </c>
      <c r="D31" s="89" t="s">
        <v>26</v>
      </c>
      <c r="E31" s="89">
        <f>45+161</f>
        <v>206</v>
      </c>
      <c r="F31" s="89">
        <v>5</v>
      </c>
      <c r="G31" s="90">
        <f t="shared" si="9"/>
        <v>1.03</v>
      </c>
      <c r="H31" s="89">
        <v>101</v>
      </c>
      <c r="I31" s="97">
        <v>1400</v>
      </c>
      <c r="J31" s="90">
        <f t="shared" si="10"/>
        <v>1442</v>
      </c>
      <c r="K31" s="100" t="s">
        <v>42</v>
      </c>
      <c r="L31" s="101"/>
      <c r="M31" s="101"/>
    </row>
    <row r="32" spans="1:13" s="5" customFormat="1" ht="25.05" customHeight="1" x14ac:dyDescent="0.25">
      <c r="A32" s="87">
        <v>44909</v>
      </c>
      <c r="B32" s="88" t="s">
        <v>24</v>
      </c>
      <c r="C32" s="89">
        <v>30100013</v>
      </c>
      <c r="D32" s="89" t="s">
        <v>27</v>
      </c>
      <c r="E32" s="89">
        <v>100</v>
      </c>
      <c r="F32" s="89">
        <v>5</v>
      </c>
      <c r="G32" s="90">
        <f t="shared" si="9"/>
        <v>0.5</v>
      </c>
      <c r="H32" s="89">
        <v>101</v>
      </c>
      <c r="I32" s="97">
        <v>1400</v>
      </c>
      <c r="J32" s="90">
        <f t="shared" si="10"/>
        <v>700</v>
      </c>
      <c r="K32" s="88">
        <v>20221215</v>
      </c>
    </row>
    <row r="33" spans="1:11" s="5" customFormat="1" ht="25.05" customHeight="1" x14ac:dyDescent="0.25">
      <c r="A33" s="87">
        <v>44909</v>
      </c>
      <c r="B33" s="88" t="s">
        <v>24</v>
      </c>
      <c r="C33" s="89">
        <v>30100014</v>
      </c>
      <c r="D33" s="89" t="s">
        <v>28</v>
      </c>
      <c r="E33" s="89">
        <v>129</v>
      </c>
      <c r="F33" s="89">
        <v>5</v>
      </c>
      <c r="G33" s="90">
        <f t="shared" si="9"/>
        <v>0.64500000000000002</v>
      </c>
      <c r="H33" s="89">
        <v>101</v>
      </c>
      <c r="I33" s="97">
        <v>1400</v>
      </c>
      <c r="J33" s="90">
        <f t="shared" si="10"/>
        <v>903</v>
      </c>
      <c r="K33" s="88">
        <v>20221215</v>
      </c>
    </row>
    <row r="34" spans="1:11" s="34" customFormat="1" ht="25.05" customHeight="1" x14ac:dyDescent="0.25">
      <c r="A34" s="91" t="s">
        <v>43</v>
      </c>
      <c r="B34" s="92" t="s">
        <v>24</v>
      </c>
      <c r="C34" s="93"/>
      <c r="D34" s="93"/>
      <c r="E34" s="93">
        <f t="shared" ref="E34:J34" si="11">SUM(E29:E33)</f>
        <v>800</v>
      </c>
      <c r="F34" s="93"/>
      <c r="G34" s="94">
        <f t="shared" si="11"/>
        <v>4</v>
      </c>
      <c r="H34" s="93"/>
      <c r="I34" s="93"/>
      <c r="J34" s="94">
        <f t="shared" si="11"/>
        <v>5728.25</v>
      </c>
      <c r="K34" s="92"/>
    </row>
    <row r="35" spans="1:11" s="5" customFormat="1" ht="25.05" customHeight="1" x14ac:dyDescent="0.25">
      <c r="A35" s="87">
        <v>44910</v>
      </c>
      <c r="B35" s="88" t="s">
        <v>24</v>
      </c>
      <c r="C35" s="89">
        <v>30200002</v>
      </c>
      <c r="D35" s="89" t="s">
        <v>32</v>
      </c>
      <c r="E35" s="89">
        <v>950</v>
      </c>
      <c r="F35" s="89">
        <v>5</v>
      </c>
      <c r="G35" s="90">
        <f t="shared" ref="G35:G40" si="12">E35*F35/1000</f>
        <v>4.75</v>
      </c>
      <c r="H35" s="89">
        <v>101</v>
      </c>
      <c r="I35" s="97">
        <v>1550</v>
      </c>
      <c r="J35" s="90">
        <f t="shared" ref="J35:J40" si="13">ROUND(I35*G35,2)</f>
        <v>7362.5</v>
      </c>
      <c r="K35" s="88">
        <v>20221215</v>
      </c>
    </row>
    <row r="36" spans="1:11" s="5" customFormat="1" ht="25.05" customHeight="1" x14ac:dyDescent="0.25">
      <c r="A36" s="87">
        <v>44910</v>
      </c>
      <c r="B36" s="88" t="s">
        <v>24</v>
      </c>
      <c r="C36" s="89">
        <v>30100010</v>
      </c>
      <c r="D36" s="89" t="s">
        <v>25</v>
      </c>
      <c r="E36" s="89">
        <v>201</v>
      </c>
      <c r="F36" s="89">
        <v>5</v>
      </c>
      <c r="G36" s="90">
        <f t="shared" si="12"/>
        <v>1.0049999999999999</v>
      </c>
      <c r="H36" s="89">
        <v>101</v>
      </c>
      <c r="I36" s="97">
        <v>1400</v>
      </c>
      <c r="J36" s="90">
        <f t="shared" si="13"/>
        <v>1407</v>
      </c>
      <c r="K36" s="88">
        <v>20221215</v>
      </c>
    </row>
    <row r="37" spans="1:11" s="5" customFormat="1" ht="25.05" customHeight="1" x14ac:dyDescent="0.25">
      <c r="A37" s="87">
        <v>44910</v>
      </c>
      <c r="B37" s="88" t="s">
        <v>24</v>
      </c>
      <c r="C37" s="89">
        <v>30100012</v>
      </c>
      <c r="D37" s="89" t="s">
        <v>26</v>
      </c>
      <c r="E37" s="89">
        <v>359</v>
      </c>
      <c r="F37" s="89">
        <v>5</v>
      </c>
      <c r="G37" s="90">
        <f t="shared" si="12"/>
        <v>1.7949999999999999</v>
      </c>
      <c r="H37" s="89">
        <v>101</v>
      </c>
      <c r="I37" s="97">
        <v>1400</v>
      </c>
      <c r="J37" s="90">
        <f t="shared" si="13"/>
        <v>2513</v>
      </c>
      <c r="K37" s="88">
        <v>20221215</v>
      </c>
    </row>
    <row r="38" spans="1:11" s="5" customFormat="1" ht="25.05" customHeight="1" x14ac:dyDescent="0.25">
      <c r="A38" s="87">
        <v>44910</v>
      </c>
      <c r="B38" s="88" t="s">
        <v>24</v>
      </c>
      <c r="C38" s="89">
        <v>30100013</v>
      </c>
      <c r="D38" s="89" t="s">
        <v>27</v>
      </c>
      <c r="E38" s="89">
        <v>100</v>
      </c>
      <c r="F38" s="89">
        <v>5</v>
      </c>
      <c r="G38" s="90">
        <f t="shared" si="12"/>
        <v>0.5</v>
      </c>
      <c r="H38" s="89">
        <v>101</v>
      </c>
      <c r="I38" s="97">
        <v>1400</v>
      </c>
      <c r="J38" s="90">
        <f t="shared" si="13"/>
        <v>700</v>
      </c>
      <c r="K38" s="88">
        <v>20221215</v>
      </c>
    </row>
    <row r="39" spans="1:11" s="5" customFormat="1" ht="25.05" customHeight="1" x14ac:dyDescent="0.25">
      <c r="A39" s="87">
        <v>44910</v>
      </c>
      <c r="B39" s="88" t="s">
        <v>24</v>
      </c>
      <c r="C39" s="89">
        <v>30100014</v>
      </c>
      <c r="D39" s="89" t="s">
        <v>28</v>
      </c>
      <c r="E39" s="89">
        <v>259</v>
      </c>
      <c r="F39" s="89">
        <v>5</v>
      </c>
      <c r="G39" s="90">
        <f t="shared" si="12"/>
        <v>1.2949999999999999</v>
      </c>
      <c r="H39" s="89">
        <v>101</v>
      </c>
      <c r="I39" s="97">
        <v>1400</v>
      </c>
      <c r="J39" s="90">
        <f t="shared" si="13"/>
        <v>1813</v>
      </c>
      <c r="K39" s="88">
        <v>20221215</v>
      </c>
    </row>
    <row r="40" spans="1:11" s="5" customFormat="1" ht="25.05" customHeight="1" x14ac:dyDescent="0.25">
      <c r="A40" s="87">
        <v>44910</v>
      </c>
      <c r="B40" s="88" t="s">
        <v>24</v>
      </c>
      <c r="C40" s="89">
        <v>30700017</v>
      </c>
      <c r="D40" s="89" t="s">
        <v>36</v>
      </c>
      <c r="E40" s="89">
        <v>259</v>
      </c>
      <c r="F40" s="89">
        <v>5</v>
      </c>
      <c r="G40" s="90">
        <f t="shared" si="12"/>
        <v>1.2949999999999999</v>
      </c>
      <c r="H40" s="89">
        <v>101</v>
      </c>
      <c r="I40" s="97">
        <v>1550</v>
      </c>
      <c r="J40" s="90">
        <f t="shared" si="13"/>
        <v>2007.25</v>
      </c>
      <c r="K40" s="100" t="s">
        <v>44</v>
      </c>
    </row>
    <row r="41" spans="1:11" s="34" customFormat="1" ht="25.05" customHeight="1" x14ac:dyDescent="0.25">
      <c r="A41" s="91" t="s">
        <v>45</v>
      </c>
      <c r="B41" s="92" t="s">
        <v>24</v>
      </c>
      <c r="C41" s="93"/>
      <c r="D41" s="93"/>
      <c r="E41" s="93">
        <f>SUM(E35:E40)</f>
        <v>2128</v>
      </c>
      <c r="F41" s="93"/>
      <c r="G41" s="94">
        <f>SUM(G35:G40)</f>
        <v>10.64</v>
      </c>
      <c r="H41" s="93"/>
      <c r="I41" s="93"/>
      <c r="J41" s="94">
        <f>SUM(J35:J40)</f>
        <v>15802.75</v>
      </c>
      <c r="K41" s="92"/>
    </row>
    <row r="42" spans="1:11" s="5" customFormat="1" ht="25.05" customHeight="1" x14ac:dyDescent="0.25">
      <c r="A42" s="87">
        <v>44911</v>
      </c>
      <c r="B42" s="88" t="s">
        <v>24</v>
      </c>
      <c r="C42" s="89">
        <v>30100010</v>
      </c>
      <c r="D42" s="89" t="s">
        <v>25</v>
      </c>
      <c r="E42" s="89">
        <v>590</v>
      </c>
      <c r="F42" s="89">
        <v>5</v>
      </c>
      <c r="G42" s="90">
        <f t="shared" ref="G42:G46" si="14">E42*F42/1000</f>
        <v>2.95</v>
      </c>
      <c r="H42" s="89">
        <v>101</v>
      </c>
      <c r="I42" s="97">
        <v>1400</v>
      </c>
      <c r="J42" s="90">
        <f t="shared" ref="J42:J46" si="15">ROUND(I42*G42,2)</f>
        <v>4130</v>
      </c>
      <c r="K42" s="100" t="s">
        <v>46</v>
      </c>
    </row>
    <row r="43" spans="1:11" s="5" customFormat="1" ht="25.05" customHeight="1" x14ac:dyDescent="0.25">
      <c r="A43" s="87">
        <v>44911</v>
      </c>
      <c r="B43" s="88" t="s">
        <v>24</v>
      </c>
      <c r="C43" s="89">
        <v>30100012</v>
      </c>
      <c r="D43" s="89" t="s">
        <v>26</v>
      </c>
      <c r="E43" s="89">
        <v>300</v>
      </c>
      <c r="F43" s="89">
        <v>5</v>
      </c>
      <c r="G43" s="90">
        <f t="shared" si="14"/>
        <v>1.5</v>
      </c>
      <c r="H43" s="89">
        <v>101</v>
      </c>
      <c r="I43" s="97">
        <v>1400</v>
      </c>
      <c r="J43" s="90">
        <f t="shared" si="15"/>
        <v>2100</v>
      </c>
      <c r="K43" s="100">
        <v>20221216</v>
      </c>
    </row>
    <row r="44" spans="1:11" s="5" customFormat="1" ht="25.05" customHeight="1" x14ac:dyDescent="0.25">
      <c r="A44" s="87">
        <v>44911</v>
      </c>
      <c r="B44" s="88" t="s">
        <v>24</v>
      </c>
      <c r="C44" s="89">
        <v>30100013</v>
      </c>
      <c r="D44" s="89" t="s">
        <v>27</v>
      </c>
      <c r="E44" s="89">
        <v>600</v>
      </c>
      <c r="F44" s="89">
        <v>5</v>
      </c>
      <c r="G44" s="90">
        <f t="shared" si="14"/>
        <v>3</v>
      </c>
      <c r="H44" s="89">
        <v>101</v>
      </c>
      <c r="I44" s="97">
        <v>1400</v>
      </c>
      <c r="J44" s="90">
        <f t="shared" si="15"/>
        <v>4200</v>
      </c>
      <c r="K44" s="100" t="s">
        <v>47</v>
      </c>
    </row>
    <row r="45" spans="1:11" s="5" customFormat="1" ht="25.05" customHeight="1" x14ac:dyDescent="0.25">
      <c r="A45" s="87">
        <v>44911</v>
      </c>
      <c r="B45" s="88" t="s">
        <v>24</v>
      </c>
      <c r="C45" s="89">
        <v>30100014</v>
      </c>
      <c r="D45" s="89" t="s">
        <v>28</v>
      </c>
      <c r="E45" s="89">
        <v>338</v>
      </c>
      <c r="F45" s="89">
        <v>5</v>
      </c>
      <c r="G45" s="90">
        <f t="shared" si="14"/>
        <v>1.69</v>
      </c>
      <c r="H45" s="89">
        <v>101</v>
      </c>
      <c r="I45" s="97">
        <v>1400</v>
      </c>
      <c r="J45" s="90">
        <f t="shared" si="15"/>
        <v>2366</v>
      </c>
      <c r="K45" s="100">
        <v>20221216</v>
      </c>
    </row>
    <row r="46" spans="1:11" s="5" customFormat="1" ht="25.05" customHeight="1" x14ac:dyDescent="0.25">
      <c r="A46" s="87">
        <v>44911</v>
      </c>
      <c r="B46" s="88" t="s">
        <v>24</v>
      </c>
      <c r="C46" s="89">
        <v>30700017</v>
      </c>
      <c r="D46" s="89" t="s">
        <v>36</v>
      </c>
      <c r="E46" s="89">
        <v>200</v>
      </c>
      <c r="F46" s="89">
        <v>5</v>
      </c>
      <c r="G46" s="90">
        <f t="shared" si="14"/>
        <v>1</v>
      </c>
      <c r="H46" s="89">
        <v>101</v>
      </c>
      <c r="I46" s="97">
        <v>1550</v>
      </c>
      <c r="J46" s="90">
        <f t="shared" si="15"/>
        <v>1550</v>
      </c>
      <c r="K46" s="100">
        <v>20221215</v>
      </c>
    </row>
    <row r="47" spans="1:11" s="34" customFormat="1" ht="25.05" customHeight="1" x14ac:dyDescent="0.25">
      <c r="A47" s="91" t="s">
        <v>48</v>
      </c>
      <c r="B47" s="92" t="s">
        <v>24</v>
      </c>
      <c r="C47" s="93"/>
      <c r="D47" s="93"/>
      <c r="E47" s="93">
        <f>SUM(E42:E46)</f>
        <v>2028</v>
      </c>
      <c r="F47" s="93"/>
      <c r="G47" s="94">
        <f>SUM(G42:G46)</f>
        <v>10.14</v>
      </c>
      <c r="H47" s="93"/>
      <c r="I47" s="93"/>
      <c r="J47" s="94">
        <f>SUM(J42:J46)</f>
        <v>14346</v>
      </c>
      <c r="K47" s="95"/>
    </row>
    <row r="48" spans="1:11" s="5" customFormat="1" ht="25.05" customHeight="1" x14ac:dyDescent="0.25">
      <c r="A48" s="87">
        <v>44912</v>
      </c>
      <c r="B48" s="88" t="s">
        <v>24</v>
      </c>
      <c r="C48" s="89">
        <v>30200006</v>
      </c>
      <c r="D48" s="89" t="s">
        <v>49</v>
      </c>
      <c r="E48" s="89">
        <v>167</v>
      </c>
      <c r="F48" s="89">
        <v>5</v>
      </c>
      <c r="G48" s="90">
        <f t="shared" ref="G48:G52" si="16">E48*F48/1000</f>
        <v>0.83499999999999996</v>
      </c>
      <c r="H48" s="89">
        <v>101</v>
      </c>
      <c r="I48" s="97">
        <v>1550</v>
      </c>
      <c r="J48" s="90">
        <f t="shared" ref="J48:J52" si="17">ROUND(I48*G48,2)</f>
        <v>1294.25</v>
      </c>
      <c r="K48" s="100" t="s">
        <v>50</v>
      </c>
    </row>
    <row r="49" spans="1:11" s="5" customFormat="1" ht="25.05" customHeight="1" x14ac:dyDescent="0.25">
      <c r="A49" s="112">
        <v>44912</v>
      </c>
      <c r="B49" s="113" t="s">
        <v>24</v>
      </c>
      <c r="C49" s="114">
        <v>30200001</v>
      </c>
      <c r="D49" s="114" t="s">
        <v>51</v>
      </c>
      <c r="E49" s="114">
        <v>396</v>
      </c>
      <c r="F49" s="114">
        <v>5</v>
      </c>
      <c r="G49" s="115">
        <f t="shared" si="16"/>
        <v>1.98</v>
      </c>
      <c r="H49" s="114">
        <v>101</v>
      </c>
      <c r="I49" s="114">
        <v>1550</v>
      </c>
      <c r="J49" s="115">
        <f t="shared" si="17"/>
        <v>3069</v>
      </c>
      <c r="K49" s="125" t="s">
        <v>52</v>
      </c>
    </row>
    <row r="50" spans="1:11" s="5" customFormat="1" ht="25.05" customHeight="1" x14ac:dyDescent="0.25">
      <c r="A50" s="87">
        <v>44912</v>
      </c>
      <c r="B50" s="88" t="s">
        <v>24</v>
      </c>
      <c r="C50" s="89">
        <v>30100048</v>
      </c>
      <c r="D50" s="89" t="s">
        <v>53</v>
      </c>
      <c r="E50" s="89">
        <v>1123</v>
      </c>
      <c r="F50" s="89">
        <v>5</v>
      </c>
      <c r="G50" s="90">
        <f t="shared" si="16"/>
        <v>5.6150000000000002</v>
      </c>
      <c r="H50" s="89">
        <v>101</v>
      </c>
      <c r="I50" s="97">
        <v>1550</v>
      </c>
      <c r="J50" s="90">
        <f t="shared" si="17"/>
        <v>8703.25</v>
      </c>
      <c r="K50" s="100">
        <v>20221217</v>
      </c>
    </row>
    <row r="51" spans="1:11" s="5" customFormat="1" ht="25.05" customHeight="1" x14ac:dyDescent="0.25">
      <c r="A51" s="87">
        <v>44912</v>
      </c>
      <c r="B51" s="88" t="s">
        <v>24</v>
      </c>
      <c r="C51" s="89">
        <v>30100012</v>
      </c>
      <c r="D51" s="89" t="s">
        <v>26</v>
      </c>
      <c r="E51" s="89">
        <v>287</v>
      </c>
      <c r="F51" s="89">
        <v>5</v>
      </c>
      <c r="G51" s="90">
        <f t="shared" si="16"/>
        <v>1.4350000000000001</v>
      </c>
      <c r="H51" s="89">
        <v>101</v>
      </c>
      <c r="I51" s="97">
        <v>1400</v>
      </c>
      <c r="J51" s="90">
        <f t="shared" si="17"/>
        <v>2009</v>
      </c>
      <c r="K51" s="100">
        <v>20221215</v>
      </c>
    </row>
    <row r="52" spans="1:11" s="5" customFormat="1" ht="25.05" customHeight="1" x14ac:dyDescent="0.25">
      <c r="A52" s="87">
        <v>44912</v>
      </c>
      <c r="B52" s="88" t="s">
        <v>24</v>
      </c>
      <c r="C52" s="89">
        <v>30700017</v>
      </c>
      <c r="D52" s="89" t="s">
        <v>36</v>
      </c>
      <c r="E52" s="89">
        <v>63</v>
      </c>
      <c r="F52" s="89">
        <v>5</v>
      </c>
      <c r="G52" s="90">
        <f t="shared" si="16"/>
        <v>0.315</v>
      </c>
      <c r="H52" s="89">
        <v>101</v>
      </c>
      <c r="I52" s="97">
        <v>1550</v>
      </c>
      <c r="J52" s="90">
        <f t="shared" si="17"/>
        <v>488.25</v>
      </c>
      <c r="K52" s="100">
        <v>20221215</v>
      </c>
    </row>
    <row r="53" spans="1:11" s="34" customFormat="1" ht="25.05" customHeight="1" x14ac:dyDescent="0.25">
      <c r="A53" s="91" t="s">
        <v>54</v>
      </c>
      <c r="B53" s="92" t="s">
        <v>24</v>
      </c>
      <c r="C53" s="93"/>
      <c r="D53" s="93"/>
      <c r="E53" s="93">
        <f>SUM(E48:E52)</f>
        <v>2036</v>
      </c>
      <c r="F53" s="93"/>
      <c r="G53" s="94">
        <f>SUM(G48:G52)</f>
        <v>10.18</v>
      </c>
      <c r="H53" s="93"/>
      <c r="I53" s="93"/>
      <c r="J53" s="94">
        <f>SUM(J48:J52)</f>
        <v>15563.75</v>
      </c>
      <c r="K53" s="95"/>
    </row>
    <row r="54" spans="1:11" ht="25.05" customHeight="1" x14ac:dyDescent="0.25">
      <c r="A54" s="116">
        <v>44856</v>
      </c>
      <c r="B54" s="88" t="s">
        <v>24</v>
      </c>
      <c r="C54" s="89">
        <v>30100007</v>
      </c>
      <c r="D54" s="89" t="s">
        <v>31</v>
      </c>
      <c r="E54" s="109">
        <v>340</v>
      </c>
      <c r="F54" s="109">
        <v>5</v>
      </c>
      <c r="G54" s="90">
        <f t="shared" ref="G54:G61" si="18">E54*F54/1000</f>
        <v>1.7</v>
      </c>
      <c r="H54" s="89">
        <v>101</v>
      </c>
      <c r="I54" s="97">
        <v>1550</v>
      </c>
      <c r="J54" s="90">
        <f t="shared" ref="J54:J61" si="19">ROUND(I54*G54,2)</f>
        <v>2635</v>
      </c>
      <c r="K54" s="98"/>
    </row>
    <row r="55" spans="1:11" ht="25.05" customHeight="1" x14ac:dyDescent="0.25">
      <c r="A55" s="116">
        <v>44856</v>
      </c>
      <c r="B55" s="88" t="s">
        <v>24</v>
      </c>
      <c r="C55" s="89">
        <v>30200002</v>
      </c>
      <c r="D55" s="89" t="s">
        <v>32</v>
      </c>
      <c r="E55" s="109">
        <v>146</v>
      </c>
      <c r="F55" s="109">
        <v>5</v>
      </c>
      <c r="G55" s="90">
        <f t="shared" si="18"/>
        <v>0.73</v>
      </c>
      <c r="H55" s="89">
        <v>101</v>
      </c>
      <c r="I55" s="97">
        <v>1550</v>
      </c>
      <c r="J55" s="90">
        <f t="shared" si="19"/>
        <v>1131.5</v>
      </c>
      <c r="K55" s="98"/>
    </row>
    <row r="56" spans="1:11" ht="25.05" customHeight="1" x14ac:dyDescent="0.25">
      <c r="A56" s="116">
        <v>44856</v>
      </c>
      <c r="B56" s="88" t="s">
        <v>24</v>
      </c>
      <c r="C56" s="89">
        <v>30700016</v>
      </c>
      <c r="D56" s="89" t="s">
        <v>35</v>
      </c>
      <c r="E56" s="109">
        <v>200</v>
      </c>
      <c r="F56" s="89">
        <v>8.1</v>
      </c>
      <c r="G56" s="90">
        <f t="shared" si="18"/>
        <v>1.62</v>
      </c>
      <c r="H56" s="89">
        <v>101</v>
      </c>
      <c r="I56" s="97">
        <v>1550</v>
      </c>
      <c r="J56" s="90">
        <f t="shared" si="19"/>
        <v>2511</v>
      </c>
      <c r="K56" s="98"/>
    </row>
    <row r="57" spans="1:11" ht="25.05" customHeight="1" x14ac:dyDescent="0.25">
      <c r="A57" s="116">
        <v>44856</v>
      </c>
      <c r="B57" s="88" t="s">
        <v>24</v>
      </c>
      <c r="C57" s="89">
        <v>30700017</v>
      </c>
      <c r="D57" s="89" t="s">
        <v>36</v>
      </c>
      <c r="E57" s="109">
        <v>202</v>
      </c>
      <c r="F57" s="89">
        <v>5</v>
      </c>
      <c r="G57" s="90">
        <f t="shared" si="18"/>
        <v>1.01</v>
      </c>
      <c r="H57" s="89">
        <v>101</v>
      </c>
      <c r="I57" s="97">
        <v>1550</v>
      </c>
      <c r="J57" s="90">
        <f t="shared" si="19"/>
        <v>1565.5</v>
      </c>
      <c r="K57" s="98"/>
    </row>
    <row r="58" spans="1:11" ht="25.05" customHeight="1" x14ac:dyDescent="0.25">
      <c r="A58" s="116">
        <v>44856</v>
      </c>
      <c r="B58" s="88" t="s">
        <v>24</v>
      </c>
      <c r="C58" s="89">
        <v>30100012</v>
      </c>
      <c r="D58" s="89" t="s">
        <v>26</v>
      </c>
      <c r="E58" s="109">
        <v>236</v>
      </c>
      <c r="F58" s="109">
        <v>5</v>
      </c>
      <c r="G58" s="90">
        <f t="shared" si="18"/>
        <v>1.18</v>
      </c>
      <c r="H58" s="89">
        <v>101</v>
      </c>
      <c r="I58" s="97">
        <v>1400</v>
      </c>
      <c r="J58" s="90">
        <f t="shared" si="19"/>
        <v>1652</v>
      </c>
      <c r="K58" s="98"/>
    </row>
    <row r="59" spans="1:11" ht="25.05" customHeight="1" x14ac:dyDescent="0.25">
      <c r="A59" s="116">
        <v>44856</v>
      </c>
      <c r="B59" s="88" t="s">
        <v>24</v>
      </c>
      <c r="C59" s="89">
        <v>30100014</v>
      </c>
      <c r="D59" s="89" t="s">
        <v>28</v>
      </c>
      <c r="E59" s="109">
        <v>62</v>
      </c>
      <c r="F59" s="109">
        <v>5</v>
      </c>
      <c r="G59" s="90">
        <f t="shared" si="18"/>
        <v>0.31</v>
      </c>
      <c r="H59" s="89">
        <v>101</v>
      </c>
      <c r="I59" s="97">
        <v>1400</v>
      </c>
      <c r="J59" s="90">
        <f t="shared" si="19"/>
        <v>434</v>
      </c>
      <c r="K59" s="98"/>
    </row>
    <row r="60" spans="1:11" ht="25.05" customHeight="1" x14ac:dyDescent="0.25">
      <c r="A60" s="116">
        <v>44856</v>
      </c>
      <c r="B60" s="117" t="s">
        <v>24</v>
      </c>
      <c r="C60" s="118">
        <v>30100013</v>
      </c>
      <c r="D60" s="118" t="s">
        <v>27</v>
      </c>
      <c r="E60" s="119">
        <v>120</v>
      </c>
      <c r="F60" s="119">
        <v>5</v>
      </c>
      <c r="G60" s="120">
        <f t="shared" si="18"/>
        <v>0.6</v>
      </c>
      <c r="H60" s="118">
        <v>101</v>
      </c>
      <c r="I60" s="97">
        <v>1400</v>
      </c>
      <c r="J60" s="120">
        <f t="shared" si="19"/>
        <v>840</v>
      </c>
      <c r="K60" s="105"/>
    </row>
    <row r="61" spans="1:11" ht="25.05" customHeight="1" x14ac:dyDescent="0.25">
      <c r="A61" s="121">
        <v>44856</v>
      </c>
      <c r="B61" s="88" t="s">
        <v>24</v>
      </c>
      <c r="C61" s="89">
        <v>30100010</v>
      </c>
      <c r="D61" s="89" t="s">
        <v>25</v>
      </c>
      <c r="E61" s="109">
        <v>62</v>
      </c>
      <c r="F61" s="109">
        <v>5</v>
      </c>
      <c r="G61" s="90">
        <f t="shared" si="18"/>
        <v>0.31</v>
      </c>
      <c r="H61" s="89">
        <v>101</v>
      </c>
      <c r="I61" s="97">
        <v>1400</v>
      </c>
      <c r="J61" s="90">
        <f t="shared" si="19"/>
        <v>434</v>
      </c>
      <c r="K61" s="98"/>
    </row>
    <row r="62" spans="1:11" s="81" customFormat="1" ht="25.05" customHeight="1" x14ac:dyDescent="0.25">
      <c r="A62" s="122" t="s">
        <v>55</v>
      </c>
      <c r="B62" s="123"/>
      <c r="C62" s="123"/>
      <c r="D62" s="123"/>
      <c r="E62" s="123">
        <f>SUM(E54:E61)</f>
        <v>1368</v>
      </c>
      <c r="F62" s="123"/>
      <c r="G62" s="123">
        <f>SUM(G54:G61)</f>
        <v>7.4599999999999982</v>
      </c>
      <c r="H62" s="123"/>
      <c r="I62" s="123"/>
      <c r="J62" s="123">
        <f>SUM(J54:J61)</f>
        <v>11203</v>
      </c>
      <c r="K62" s="99"/>
    </row>
    <row r="63" spans="1:11" s="81" customFormat="1" ht="25.05" customHeight="1" x14ac:dyDescent="0.25">
      <c r="A63" s="123" t="s">
        <v>56</v>
      </c>
      <c r="B63" s="123"/>
      <c r="C63" s="93"/>
      <c r="D63" s="93"/>
      <c r="E63" s="123">
        <f>E62+E53+E47+E41+E34+E28+E19+E8</f>
        <v>16061</v>
      </c>
      <c r="F63" s="123"/>
      <c r="G63" s="124"/>
      <c r="H63" s="123"/>
      <c r="I63" s="123"/>
      <c r="J63" s="123">
        <f>J62+J53+J47+J41+J34+J28+J19+J8</f>
        <v>122122.6</v>
      </c>
      <c r="K63" s="99"/>
    </row>
    <row r="64" spans="1:11" x14ac:dyDescent="0.25">
      <c r="C64" s="5"/>
      <c r="D64" s="5"/>
    </row>
    <row r="65" spans="3:10" x14ac:dyDescent="0.25">
      <c r="C65" t="s">
        <v>57</v>
      </c>
      <c r="G65" s="82" t="s">
        <v>58</v>
      </c>
    </row>
    <row r="70" spans="3:10" x14ac:dyDescent="0.25">
      <c r="J70" s="82">
        <f>+J63-J62</f>
        <v>110919.6</v>
      </c>
    </row>
    <row r="72" spans="3:10" x14ac:dyDescent="0.25">
      <c r="J72" s="82">
        <f>+J70</f>
        <v>110919.6</v>
      </c>
    </row>
  </sheetData>
  <autoFilter ref="A2:K63" xr:uid="{00000000-0009-0000-0000-000001000000}"/>
  <mergeCells count="1">
    <mergeCell ref="A1:K1"/>
  </mergeCells>
  <phoneticPr fontId="34" type="noConversion"/>
  <pageMargins left="0.75138888888888899" right="0.75138888888888899" top="0.62986111111111098" bottom="0.35416666666666702" header="0.5" footer="0.23611111111111099"/>
  <pageSetup paperSize="9" scale="66" fitToHeight="0" orientation="portrait"/>
  <headerFooter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4"/>
  <sheetViews>
    <sheetView workbookViewId="0">
      <selection activeCell="B9" sqref="B9"/>
    </sheetView>
  </sheetViews>
  <sheetFormatPr defaultColWidth="8.88671875" defaultRowHeight="14.4" x14ac:dyDescent="0.25"/>
  <cols>
    <col min="1" max="1" width="9.6640625"/>
    <col min="2" max="2" width="51.21875" customWidth="1"/>
    <col min="9" max="9" width="11.6640625"/>
    <col min="10" max="10" width="8.77734375" customWidth="1"/>
    <col min="13" max="13" width="11.6640625"/>
    <col min="16" max="16" width="11.6640625"/>
    <col min="23" max="23" width="9.21875"/>
  </cols>
  <sheetData>
    <row r="1" spans="1:23" x14ac:dyDescent="0.25">
      <c r="A1" t="s">
        <v>59</v>
      </c>
      <c r="D1" s="134" t="s">
        <v>60</v>
      </c>
      <c r="E1" s="134"/>
      <c r="F1" s="134"/>
      <c r="G1" s="134"/>
      <c r="H1" s="134"/>
      <c r="I1" s="134"/>
      <c r="J1" s="135" t="s">
        <v>61</v>
      </c>
      <c r="K1" s="135"/>
      <c r="L1" s="135"/>
      <c r="M1" s="135"/>
      <c r="N1" s="135" t="s">
        <v>62</v>
      </c>
      <c r="O1" s="135" t="s">
        <v>62</v>
      </c>
      <c r="P1" s="135"/>
      <c r="Q1" s="135" t="s">
        <v>63</v>
      </c>
      <c r="R1" s="135"/>
      <c r="S1" s="135" t="s">
        <v>64</v>
      </c>
      <c r="T1" s="135"/>
      <c r="U1" s="136" t="s">
        <v>65</v>
      </c>
      <c r="V1" s="137"/>
      <c r="W1" s="138"/>
    </row>
    <row r="2" spans="1:23" ht="43.2" x14ac:dyDescent="0.25">
      <c r="A2" s="98" t="s">
        <v>66</v>
      </c>
      <c r="B2" s="98" t="s">
        <v>67</v>
      </c>
      <c r="C2" s="98" t="s">
        <v>68</v>
      </c>
      <c r="D2" s="103" t="s">
        <v>69</v>
      </c>
      <c r="E2" s="103" t="s">
        <v>70</v>
      </c>
      <c r="F2" s="103" t="s">
        <v>71</v>
      </c>
      <c r="G2" s="103" t="s">
        <v>72</v>
      </c>
      <c r="H2" s="103" t="s">
        <v>73</v>
      </c>
      <c r="I2" s="98" t="s">
        <v>74</v>
      </c>
      <c r="J2" s="103" t="s">
        <v>75</v>
      </c>
      <c r="K2" s="103" t="s">
        <v>76</v>
      </c>
      <c r="L2" s="98" t="s">
        <v>77</v>
      </c>
      <c r="M2" s="98" t="s">
        <v>74</v>
      </c>
      <c r="N2" s="135"/>
      <c r="O2" s="98" t="s">
        <v>78</v>
      </c>
      <c r="P2" s="98" t="s">
        <v>74</v>
      </c>
      <c r="Q2" s="98" t="s">
        <v>78</v>
      </c>
      <c r="R2" s="98" t="s">
        <v>74</v>
      </c>
      <c r="S2" s="98" t="s">
        <v>78</v>
      </c>
      <c r="T2" s="98" t="s">
        <v>74</v>
      </c>
      <c r="U2" s="98" t="s">
        <v>17</v>
      </c>
      <c r="V2" s="98" t="s">
        <v>78</v>
      </c>
      <c r="W2" s="98" t="s">
        <v>74</v>
      </c>
    </row>
    <row r="3" spans="1:23" ht="21" customHeight="1" x14ac:dyDescent="0.25">
      <c r="A3" s="98">
        <v>30100007</v>
      </c>
      <c r="B3" s="98" t="s">
        <v>31</v>
      </c>
      <c r="C3" s="98">
        <v>146</v>
      </c>
      <c r="D3" s="98">
        <v>5</v>
      </c>
      <c r="E3" s="98">
        <f t="shared" ref="E3:E10" si="0">D3*C3/1000</f>
        <v>0.73</v>
      </c>
      <c r="F3" s="98">
        <v>214</v>
      </c>
      <c r="G3" s="98">
        <f t="shared" ref="G3:G10" si="1">F3*E3</f>
        <v>156.22</v>
      </c>
      <c r="H3" s="98">
        <v>3.28</v>
      </c>
      <c r="I3" s="106">
        <f t="shared" ref="I3:I10" si="2">G3*H3</f>
        <v>512.40159999999992</v>
      </c>
      <c r="J3" s="98">
        <v>25</v>
      </c>
      <c r="K3" s="98">
        <f t="shared" ref="K3:K10" si="3">J3*C3</f>
        <v>3650</v>
      </c>
      <c r="L3" s="98">
        <v>0.115</v>
      </c>
      <c r="M3" s="98">
        <f t="shared" ref="M3:M10" si="4">L3*K3</f>
        <v>419.75</v>
      </c>
      <c r="N3" s="98">
        <f t="shared" ref="N3:N10" si="5">C3</f>
        <v>146</v>
      </c>
      <c r="O3" s="98">
        <v>1.7</v>
      </c>
      <c r="P3" s="98">
        <f t="shared" ref="P3:P10" si="6">O3*N3</f>
        <v>248.2</v>
      </c>
      <c r="Q3" s="98">
        <v>0.1</v>
      </c>
      <c r="R3" s="98">
        <f>Q3*N3</f>
        <v>14.600000000000001</v>
      </c>
      <c r="S3" s="98">
        <v>0.15</v>
      </c>
      <c r="T3" s="98">
        <f>S3*N3</f>
        <v>21.9</v>
      </c>
      <c r="U3" s="98">
        <f>N3*40</f>
        <v>5840</v>
      </c>
      <c r="V3" s="98">
        <v>0.03</v>
      </c>
      <c r="W3" s="98">
        <f>V3*U3</f>
        <v>175.2</v>
      </c>
    </row>
    <row r="4" spans="1:23" ht="21" customHeight="1" x14ac:dyDescent="0.25">
      <c r="A4" s="98">
        <v>30200002</v>
      </c>
      <c r="B4" s="98" t="s">
        <v>32</v>
      </c>
      <c r="C4" s="98">
        <v>340</v>
      </c>
      <c r="D4" s="98">
        <v>5</v>
      </c>
      <c r="E4" s="98">
        <f t="shared" si="0"/>
        <v>1.7</v>
      </c>
      <c r="F4" s="98">
        <v>214</v>
      </c>
      <c r="G4" s="98">
        <f t="shared" si="1"/>
        <v>363.8</v>
      </c>
      <c r="H4" s="98">
        <v>3.28</v>
      </c>
      <c r="I4" s="106">
        <f t="shared" si="2"/>
        <v>1193.2639999999999</v>
      </c>
      <c r="J4" s="98">
        <v>25</v>
      </c>
      <c r="K4" s="98">
        <f t="shared" si="3"/>
        <v>8500</v>
      </c>
      <c r="L4" s="98">
        <v>0.115</v>
      </c>
      <c r="M4" s="98">
        <f t="shared" si="4"/>
        <v>977.5</v>
      </c>
      <c r="N4" s="98">
        <f t="shared" si="5"/>
        <v>340</v>
      </c>
      <c r="O4" s="98">
        <v>1.7</v>
      </c>
      <c r="P4" s="98">
        <f t="shared" si="6"/>
        <v>578</v>
      </c>
      <c r="Q4" s="98">
        <v>0.1</v>
      </c>
      <c r="R4" s="98">
        <f>Q4*N4</f>
        <v>34</v>
      </c>
      <c r="S4" s="98">
        <v>0.15</v>
      </c>
      <c r="T4" s="98">
        <f>S4*N4</f>
        <v>51</v>
      </c>
      <c r="U4" s="98">
        <f>N4*40</f>
        <v>13600</v>
      </c>
      <c r="V4" s="98">
        <v>0.03</v>
      </c>
      <c r="W4" s="98">
        <f>V4*U4</f>
        <v>408</v>
      </c>
    </row>
    <row r="5" spans="1:23" ht="21" customHeight="1" x14ac:dyDescent="0.25">
      <c r="A5" s="98">
        <v>30700016</v>
      </c>
      <c r="B5" s="110" t="s">
        <v>35</v>
      </c>
      <c r="C5" s="98">
        <v>200</v>
      </c>
      <c r="D5" s="98">
        <v>8.1</v>
      </c>
      <c r="E5" s="98">
        <f t="shared" si="0"/>
        <v>1.62</v>
      </c>
      <c r="F5" s="98">
        <v>214</v>
      </c>
      <c r="G5" s="98">
        <f t="shared" si="1"/>
        <v>346.68</v>
      </c>
      <c r="H5" s="98">
        <v>3.28</v>
      </c>
      <c r="I5" s="106">
        <f t="shared" si="2"/>
        <v>1137.1104</v>
      </c>
      <c r="J5" s="98">
        <v>288</v>
      </c>
      <c r="K5" s="98">
        <f t="shared" si="3"/>
        <v>57600</v>
      </c>
      <c r="L5" s="98">
        <v>2.0500000000000001E-2</v>
      </c>
      <c r="M5" s="98">
        <f t="shared" si="4"/>
        <v>1180.8</v>
      </c>
      <c r="N5" s="98">
        <f t="shared" si="5"/>
        <v>200</v>
      </c>
      <c r="O5" s="110">
        <v>3.7</v>
      </c>
      <c r="P5" s="98">
        <f t="shared" si="6"/>
        <v>740</v>
      </c>
      <c r="Q5" s="98"/>
      <c r="R5" s="98"/>
      <c r="S5" s="98"/>
      <c r="T5" s="98"/>
      <c r="U5" s="98"/>
      <c r="V5" s="98"/>
      <c r="W5" s="98"/>
    </row>
    <row r="6" spans="1:23" ht="21" customHeight="1" x14ac:dyDescent="0.25">
      <c r="A6" s="98">
        <v>30700017</v>
      </c>
      <c r="B6" s="110" t="s">
        <v>36</v>
      </c>
      <c r="C6" s="98">
        <v>202</v>
      </c>
      <c r="D6" s="98">
        <v>5</v>
      </c>
      <c r="E6" s="98">
        <f t="shared" si="0"/>
        <v>1.01</v>
      </c>
      <c r="F6" s="98">
        <v>214</v>
      </c>
      <c r="G6" s="98">
        <f t="shared" si="1"/>
        <v>216.14000000000001</v>
      </c>
      <c r="H6" s="98">
        <v>3.28</v>
      </c>
      <c r="I6" s="106">
        <f t="shared" si="2"/>
        <v>708.93920000000003</v>
      </c>
      <c r="J6" s="98">
        <v>180</v>
      </c>
      <c r="K6" s="98">
        <f t="shared" si="3"/>
        <v>36360</v>
      </c>
      <c r="L6" s="98">
        <v>2.0500000000000001E-2</v>
      </c>
      <c r="M6" s="98">
        <f t="shared" si="4"/>
        <v>745.38</v>
      </c>
      <c r="N6" s="98">
        <f t="shared" si="5"/>
        <v>202</v>
      </c>
      <c r="O6" s="110">
        <v>2.5</v>
      </c>
      <c r="P6" s="98">
        <f t="shared" si="6"/>
        <v>505</v>
      </c>
      <c r="Q6" s="98"/>
      <c r="R6" s="98"/>
      <c r="S6" s="98"/>
      <c r="T6" s="98"/>
      <c r="U6" s="98"/>
      <c r="V6" s="98"/>
      <c r="W6" s="98"/>
    </row>
    <row r="7" spans="1:23" ht="21" customHeight="1" x14ac:dyDescent="0.25">
      <c r="A7" s="98">
        <v>30100010</v>
      </c>
      <c r="B7" s="98" t="s">
        <v>25</v>
      </c>
      <c r="C7" s="98">
        <v>62</v>
      </c>
      <c r="D7" s="98">
        <v>5</v>
      </c>
      <c r="E7" s="98">
        <f t="shared" si="0"/>
        <v>0.31</v>
      </c>
      <c r="F7" s="98">
        <v>214</v>
      </c>
      <c r="G7" s="98">
        <f t="shared" si="1"/>
        <v>66.34</v>
      </c>
      <c r="H7" s="98">
        <v>3.28</v>
      </c>
      <c r="I7" s="106">
        <f t="shared" si="2"/>
        <v>217.59520000000001</v>
      </c>
      <c r="J7" s="98">
        <v>174</v>
      </c>
      <c r="K7" s="98">
        <f t="shared" si="3"/>
        <v>10788</v>
      </c>
      <c r="L7" s="98">
        <v>2.0500000000000001E-2</v>
      </c>
      <c r="M7" s="98">
        <f t="shared" si="4"/>
        <v>221.154</v>
      </c>
      <c r="N7" s="98">
        <f t="shared" si="5"/>
        <v>62</v>
      </c>
      <c r="O7" s="98">
        <v>1.65</v>
      </c>
      <c r="P7" s="98">
        <f t="shared" si="6"/>
        <v>102.3</v>
      </c>
      <c r="Q7" s="98"/>
      <c r="R7" s="98"/>
      <c r="S7" s="98"/>
      <c r="T7" s="98"/>
      <c r="U7" s="98"/>
      <c r="V7" s="98"/>
      <c r="W7" s="98"/>
    </row>
    <row r="8" spans="1:23" ht="21" customHeight="1" x14ac:dyDescent="0.25">
      <c r="A8" s="98">
        <v>30100012</v>
      </c>
      <c r="B8" s="98" t="s">
        <v>26</v>
      </c>
      <c r="C8" s="98">
        <v>236</v>
      </c>
      <c r="D8" s="98">
        <v>5</v>
      </c>
      <c r="E8" s="98">
        <f t="shared" si="0"/>
        <v>1.18</v>
      </c>
      <c r="F8" s="98">
        <v>214</v>
      </c>
      <c r="G8" s="98">
        <f t="shared" si="1"/>
        <v>252.51999999999998</v>
      </c>
      <c r="H8" s="98">
        <v>3.28</v>
      </c>
      <c r="I8" s="106">
        <f t="shared" si="2"/>
        <v>828.26559999999984</v>
      </c>
      <c r="J8" s="98">
        <v>174</v>
      </c>
      <c r="K8" s="98">
        <f t="shared" si="3"/>
        <v>41064</v>
      </c>
      <c r="L8" s="98">
        <v>2.0500000000000001E-2</v>
      </c>
      <c r="M8" s="98">
        <f t="shared" si="4"/>
        <v>841.81200000000001</v>
      </c>
      <c r="N8" s="98">
        <f t="shared" si="5"/>
        <v>236</v>
      </c>
      <c r="O8" s="98">
        <v>1.65</v>
      </c>
      <c r="P8" s="98">
        <f t="shared" si="6"/>
        <v>389.4</v>
      </c>
      <c r="Q8" s="98"/>
      <c r="R8" s="98"/>
      <c r="S8" s="98"/>
      <c r="T8" s="98"/>
      <c r="U8" s="98"/>
      <c r="V8" s="98"/>
      <c r="W8" s="98"/>
    </row>
    <row r="9" spans="1:23" ht="21" customHeight="1" x14ac:dyDescent="0.25">
      <c r="A9" s="98">
        <v>30100013</v>
      </c>
      <c r="B9" s="98" t="s">
        <v>27</v>
      </c>
      <c r="C9" s="98">
        <v>120</v>
      </c>
      <c r="D9" s="98">
        <v>5</v>
      </c>
      <c r="E9" s="98">
        <f t="shared" si="0"/>
        <v>0.6</v>
      </c>
      <c r="F9" s="98">
        <v>214</v>
      </c>
      <c r="G9" s="98">
        <f t="shared" si="1"/>
        <v>128.4</v>
      </c>
      <c r="H9" s="98">
        <v>3.28</v>
      </c>
      <c r="I9" s="106">
        <f t="shared" si="2"/>
        <v>421.15199999999999</v>
      </c>
      <c r="J9" s="98">
        <v>174</v>
      </c>
      <c r="K9" s="98">
        <f t="shared" si="3"/>
        <v>20880</v>
      </c>
      <c r="L9" s="98">
        <v>2.0500000000000001E-2</v>
      </c>
      <c r="M9" s="98">
        <f t="shared" si="4"/>
        <v>428.04</v>
      </c>
      <c r="N9" s="98">
        <f t="shared" si="5"/>
        <v>120</v>
      </c>
      <c r="O9" s="98">
        <v>1.65</v>
      </c>
      <c r="P9" s="98">
        <f t="shared" si="6"/>
        <v>198</v>
      </c>
      <c r="Q9" s="98"/>
      <c r="R9" s="98"/>
      <c r="S9" s="98"/>
      <c r="T9" s="98"/>
      <c r="U9" s="98"/>
      <c r="V9" s="98"/>
      <c r="W9" s="98"/>
    </row>
    <row r="10" spans="1:23" ht="21" customHeight="1" x14ac:dyDescent="0.25">
      <c r="A10" s="98">
        <v>30100014</v>
      </c>
      <c r="B10" s="98" t="s">
        <v>28</v>
      </c>
      <c r="C10" s="98">
        <v>62</v>
      </c>
      <c r="D10" s="98">
        <v>5</v>
      </c>
      <c r="E10" s="98">
        <f t="shared" si="0"/>
        <v>0.31</v>
      </c>
      <c r="F10" s="98">
        <v>214</v>
      </c>
      <c r="G10" s="98">
        <f t="shared" si="1"/>
        <v>66.34</v>
      </c>
      <c r="H10" s="98">
        <v>3.28</v>
      </c>
      <c r="I10" s="106">
        <f t="shared" si="2"/>
        <v>217.59520000000001</v>
      </c>
      <c r="J10" s="98">
        <v>174</v>
      </c>
      <c r="K10" s="98">
        <f t="shared" si="3"/>
        <v>10788</v>
      </c>
      <c r="L10" s="98">
        <v>2.0500000000000001E-2</v>
      </c>
      <c r="M10" s="98">
        <f t="shared" si="4"/>
        <v>221.154</v>
      </c>
      <c r="N10" s="98">
        <f t="shared" si="5"/>
        <v>62</v>
      </c>
      <c r="O10" s="98">
        <v>1.65</v>
      </c>
      <c r="P10" s="98">
        <f t="shared" si="6"/>
        <v>102.3</v>
      </c>
      <c r="Q10" s="98"/>
      <c r="R10" s="98"/>
      <c r="S10" s="98"/>
      <c r="T10" s="98"/>
      <c r="U10" s="98"/>
      <c r="V10" s="98"/>
      <c r="W10" s="98"/>
    </row>
    <row r="12" spans="1:23" x14ac:dyDescent="0.25">
      <c r="I12" s="111">
        <f>SUM(I3:I11)</f>
        <v>5236.3231999999998</v>
      </c>
      <c r="J12" s="111"/>
      <c r="K12" s="111"/>
      <c r="L12" s="111"/>
      <c r="M12" s="111">
        <f t="shared" ref="M12:R12" si="7">SUM(M3:M11)</f>
        <v>5035.59</v>
      </c>
      <c r="N12" s="111"/>
      <c r="O12" s="111"/>
      <c r="P12" s="111">
        <f t="shared" si="7"/>
        <v>2863.2000000000003</v>
      </c>
      <c r="Q12" s="111"/>
      <c r="R12" s="111">
        <f t="shared" si="7"/>
        <v>48.6</v>
      </c>
      <c r="S12" s="111"/>
      <c r="T12" s="111">
        <f>SUM(T3:T11)</f>
        <v>72.900000000000006</v>
      </c>
      <c r="U12" s="111"/>
      <c r="V12" s="111"/>
      <c r="W12" s="111">
        <f>SUM(W3:W11)</f>
        <v>583.20000000000005</v>
      </c>
    </row>
    <row r="14" spans="1:23" x14ac:dyDescent="0.25">
      <c r="I14">
        <f>+I12+M12+P12+R12+T12+W12</f>
        <v>13839.813200000001</v>
      </c>
    </row>
  </sheetData>
  <mergeCells count="7">
    <mergeCell ref="U1:W1"/>
    <mergeCell ref="N1:N2"/>
    <mergeCell ref="D1:I1"/>
    <mergeCell ref="J1:M1"/>
    <mergeCell ref="O1:P1"/>
    <mergeCell ref="Q1:R1"/>
    <mergeCell ref="S1:T1"/>
  </mergeCells>
  <phoneticPr fontId="34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3"/>
  <sheetViews>
    <sheetView workbookViewId="0">
      <pane xSplit="3" ySplit="2" topLeftCell="D3" activePane="bottomRight" state="frozen"/>
      <selection pane="topRight"/>
      <selection pane="bottomLeft"/>
      <selection pane="bottomRight" activeCell="P18" sqref="P18:V18"/>
    </sheetView>
  </sheetViews>
  <sheetFormatPr defaultColWidth="8.88671875" defaultRowHeight="14.4" x14ac:dyDescent="0.25"/>
  <cols>
    <col min="1" max="1" width="9.6640625" customWidth="1"/>
    <col min="2" max="2" width="50.6640625" customWidth="1"/>
    <col min="3" max="3" width="6.6640625" customWidth="1"/>
    <col min="4" max="4" width="8.88671875" customWidth="1"/>
    <col min="5" max="5" width="12.88671875" customWidth="1"/>
    <col min="6" max="6" width="8.88671875" customWidth="1"/>
    <col min="7" max="7" width="9.6640625" customWidth="1"/>
    <col min="8" max="8" width="12.88671875" customWidth="1"/>
    <col min="9" max="9" width="12.6640625" customWidth="1"/>
    <col min="10" max="10" width="12.88671875" customWidth="1"/>
    <col min="11" max="12" width="7.6640625" customWidth="1"/>
    <col min="13" max="13" width="10.6640625" customWidth="1"/>
    <col min="15" max="15" width="9.33203125" style="83" customWidth="1"/>
    <col min="16" max="16" width="8.6640625" style="83" customWidth="1"/>
    <col min="17" max="17" width="7.44140625" style="83" customWidth="1"/>
    <col min="18" max="18" width="6.6640625" style="83" customWidth="1"/>
    <col min="19" max="20" width="5.6640625" customWidth="1"/>
    <col min="21" max="21" width="8.88671875" customWidth="1"/>
    <col min="24" max="24" width="8.88671875" style="102"/>
  </cols>
  <sheetData>
    <row r="1" spans="1:26" ht="30" customHeight="1" x14ac:dyDescent="0.25">
      <c r="A1" s="135" t="s">
        <v>66</v>
      </c>
      <c r="B1" s="135" t="s">
        <v>67</v>
      </c>
      <c r="C1" s="135" t="s">
        <v>68</v>
      </c>
      <c r="D1" s="135" t="s">
        <v>60</v>
      </c>
      <c r="E1" s="135"/>
      <c r="F1" s="135"/>
      <c r="G1" s="135"/>
      <c r="H1" s="135"/>
      <c r="I1" s="135"/>
      <c r="J1" s="135" t="s">
        <v>61</v>
      </c>
      <c r="K1" s="135"/>
      <c r="L1" s="135"/>
      <c r="M1" s="135"/>
      <c r="N1" s="135" t="s">
        <v>62</v>
      </c>
      <c r="O1" s="135" t="s">
        <v>62</v>
      </c>
      <c r="P1" s="135"/>
      <c r="Q1" s="135" t="s">
        <v>63</v>
      </c>
      <c r="R1" s="135"/>
      <c r="S1" s="135" t="s">
        <v>64</v>
      </c>
      <c r="T1" s="135"/>
      <c r="U1" s="136" t="s">
        <v>65</v>
      </c>
      <c r="V1" s="137"/>
      <c r="W1" s="138"/>
      <c r="X1" s="107" t="s">
        <v>79</v>
      </c>
    </row>
    <row r="2" spans="1:26" ht="30" customHeight="1" x14ac:dyDescent="0.25">
      <c r="A2" s="135"/>
      <c r="B2" s="135"/>
      <c r="C2" s="135"/>
      <c r="D2" s="103" t="s">
        <v>69</v>
      </c>
      <c r="E2" s="103" t="s">
        <v>80</v>
      </c>
      <c r="F2" s="103" t="s">
        <v>71</v>
      </c>
      <c r="G2" s="103" t="s">
        <v>72</v>
      </c>
      <c r="H2" s="103" t="s">
        <v>73</v>
      </c>
      <c r="I2" s="98" t="s">
        <v>74</v>
      </c>
      <c r="J2" s="103" t="s">
        <v>75</v>
      </c>
      <c r="K2" s="103" t="s">
        <v>76</v>
      </c>
      <c r="L2" s="98" t="s">
        <v>77</v>
      </c>
      <c r="M2" s="98" t="s">
        <v>74</v>
      </c>
      <c r="N2" s="135"/>
      <c r="O2" s="98" t="s">
        <v>78</v>
      </c>
      <c r="P2" s="98" t="s">
        <v>74</v>
      </c>
      <c r="Q2" s="98" t="s">
        <v>78</v>
      </c>
      <c r="R2" s="98" t="s">
        <v>74</v>
      </c>
      <c r="S2" s="98" t="s">
        <v>78</v>
      </c>
      <c r="T2" s="98" t="s">
        <v>74</v>
      </c>
      <c r="U2" s="98" t="s">
        <v>17</v>
      </c>
      <c r="V2" s="98" t="s">
        <v>78</v>
      </c>
      <c r="W2" s="98" t="s">
        <v>74</v>
      </c>
      <c r="X2" s="108" t="s">
        <v>74</v>
      </c>
    </row>
    <row r="3" spans="1:26" ht="22.05" customHeight="1" x14ac:dyDescent="0.25">
      <c r="A3" s="98">
        <v>30100007</v>
      </c>
      <c r="B3" s="98" t="s">
        <v>31</v>
      </c>
      <c r="C3" s="98">
        <v>727</v>
      </c>
      <c r="D3" s="98">
        <v>5</v>
      </c>
      <c r="E3" s="98">
        <f t="shared" ref="E3:E17" si="0">C3*D3/1000</f>
        <v>3.6349999999999998</v>
      </c>
      <c r="F3" s="98">
        <v>190</v>
      </c>
      <c r="G3" s="98">
        <f t="shared" ref="G3:G16" si="1">F3*E3</f>
        <v>690.65</v>
      </c>
      <c r="H3" s="98">
        <v>3.28</v>
      </c>
      <c r="I3" s="142">
        <f>SUM(G3:G4)*H3</f>
        <v>7712.0999999999995</v>
      </c>
      <c r="J3" s="98">
        <v>25</v>
      </c>
      <c r="K3" s="98">
        <f t="shared" ref="K3:K16" si="2">J3*C3</f>
        <v>18175</v>
      </c>
      <c r="L3" s="135">
        <f>184/1600</f>
        <v>0.115</v>
      </c>
      <c r="M3" s="135">
        <f>SUM(K3:K4)*L3</f>
        <v>7115.625</v>
      </c>
      <c r="N3" s="98">
        <f t="shared" ref="N3:N16" si="3">C3</f>
        <v>727</v>
      </c>
      <c r="O3" s="135">
        <v>1.7</v>
      </c>
      <c r="P3" s="135">
        <f t="shared" ref="P3:T3" si="4">SUM($N$3:$N$4)*O3</f>
        <v>4207.5</v>
      </c>
      <c r="Q3" s="135">
        <v>0.1</v>
      </c>
      <c r="R3" s="135">
        <f t="shared" si="4"/>
        <v>247.5</v>
      </c>
      <c r="S3" s="135">
        <v>0.15</v>
      </c>
      <c r="T3" s="135">
        <f t="shared" si="4"/>
        <v>371.25</v>
      </c>
      <c r="U3" s="135">
        <f>SUM(N3:N4)*30</f>
        <v>74250</v>
      </c>
      <c r="V3" s="134">
        <v>0.03</v>
      </c>
      <c r="W3" s="134">
        <f>U3*V3</f>
        <v>2227.5</v>
      </c>
      <c r="X3" s="107">
        <v>108</v>
      </c>
      <c r="Y3">
        <f>SUMIF('加工费合计 1219'!$C:$C,A3,'加工费合计 1219'!$E:$E)</f>
        <v>1067</v>
      </c>
      <c r="Z3">
        <f t="shared" ref="Z3:Z16" si="5">Y3-C3</f>
        <v>340</v>
      </c>
    </row>
    <row r="4" spans="1:26" ht="22.05" customHeight="1" x14ac:dyDescent="0.25">
      <c r="A4" s="98">
        <v>30200002</v>
      </c>
      <c r="B4" s="98" t="s">
        <v>32</v>
      </c>
      <c r="C4" s="98">
        <v>1748</v>
      </c>
      <c r="D4" s="98">
        <v>5</v>
      </c>
      <c r="E4" s="98">
        <f t="shared" si="0"/>
        <v>8.74</v>
      </c>
      <c r="F4" s="98">
        <v>190</v>
      </c>
      <c r="G4" s="98">
        <f t="shared" si="1"/>
        <v>1660.6000000000001</v>
      </c>
      <c r="H4" s="98">
        <v>3.28</v>
      </c>
      <c r="I4" s="142"/>
      <c r="J4" s="98">
        <v>25</v>
      </c>
      <c r="K4" s="98">
        <f t="shared" si="2"/>
        <v>43700</v>
      </c>
      <c r="L4" s="135"/>
      <c r="M4" s="135"/>
      <c r="N4" s="98">
        <f t="shared" si="3"/>
        <v>1748</v>
      </c>
      <c r="O4" s="135"/>
      <c r="P4" s="135"/>
      <c r="Q4" s="135"/>
      <c r="R4" s="135"/>
      <c r="S4" s="135"/>
      <c r="T4" s="135"/>
      <c r="U4" s="135"/>
      <c r="V4" s="144"/>
      <c r="W4" s="144"/>
      <c r="X4" s="107"/>
      <c r="Y4">
        <f>SUMIF('加工费合计 1219'!$C:$C,A4,'加工费合计 1219'!$E:$E)</f>
        <v>1894</v>
      </c>
      <c r="Z4">
        <f t="shared" si="5"/>
        <v>146</v>
      </c>
    </row>
    <row r="5" spans="1:26" ht="22.05" customHeight="1" x14ac:dyDescent="0.25">
      <c r="A5" s="98">
        <v>30101119</v>
      </c>
      <c r="B5" s="98" t="s">
        <v>40</v>
      </c>
      <c r="C5" s="98">
        <v>262</v>
      </c>
      <c r="D5" s="98">
        <v>5</v>
      </c>
      <c r="E5" s="98">
        <f t="shared" si="0"/>
        <v>1.31</v>
      </c>
      <c r="F5" s="98">
        <v>190</v>
      </c>
      <c r="G5" s="98">
        <f t="shared" si="1"/>
        <v>248.9</v>
      </c>
      <c r="H5" s="98">
        <v>3.28</v>
      </c>
      <c r="I5" s="142">
        <f>SUM(G5:G6)*H5</f>
        <v>2318.3040000000001</v>
      </c>
      <c r="J5" s="98">
        <v>153</v>
      </c>
      <c r="K5" s="98">
        <f t="shared" si="2"/>
        <v>40086</v>
      </c>
      <c r="L5" s="135">
        <f>180/8000</f>
        <v>2.2499999999999999E-2</v>
      </c>
      <c r="M5" s="135">
        <f>SUM(K5:K6)*L5</f>
        <v>2561.2199999999998</v>
      </c>
      <c r="N5" s="98">
        <f t="shared" si="3"/>
        <v>262</v>
      </c>
      <c r="O5" s="135">
        <v>1.56</v>
      </c>
      <c r="P5" s="135">
        <f t="shared" ref="P5:T5" si="6">SUM($N$5:$N$6)*O5</f>
        <v>1160.6400000000001</v>
      </c>
      <c r="Q5" s="135"/>
      <c r="R5" s="135">
        <f t="shared" si="6"/>
        <v>0</v>
      </c>
      <c r="S5" s="135"/>
      <c r="T5" s="135">
        <f t="shared" si="6"/>
        <v>0</v>
      </c>
      <c r="U5" s="98"/>
      <c r="V5" s="109"/>
      <c r="W5" s="109"/>
      <c r="X5" s="107"/>
      <c r="Y5">
        <f>SUMIF('加工费合计 1219'!$C:$C,A5,'加工费合计 1219'!$E:$E)</f>
        <v>262</v>
      </c>
      <c r="Z5">
        <f t="shared" si="5"/>
        <v>0</v>
      </c>
    </row>
    <row r="6" spans="1:26" ht="22.05" customHeight="1" x14ac:dyDescent="0.25">
      <c r="A6" s="98">
        <v>30100030</v>
      </c>
      <c r="B6" s="98" t="s">
        <v>29</v>
      </c>
      <c r="C6" s="98">
        <v>482</v>
      </c>
      <c r="D6" s="98">
        <v>5</v>
      </c>
      <c r="E6" s="98">
        <f t="shared" si="0"/>
        <v>2.41</v>
      </c>
      <c r="F6" s="98">
        <v>190</v>
      </c>
      <c r="G6" s="98">
        <f t="shared" si="1"/>
        <v>457.90000000000003</v>
      </c>
      <c r="H6" s="98">
        <v>3.28</v>
      </c>
      <c r="I6" s="142"/>
      <c r="J6" s="98">
        <v>153</v>
      </c>
      <c r="K6" s="98">
        <f t="shared" si="2"/>
        <v>73746</v>
      </c>
      <c r="L6" s="135"/>
      <c r="M6" s="135"/>
      <c r="N6" s="98">
        <f t="shared" si="3"/>
        <v>482</v>
      </c>
      <c r="O6" s="135"/>
      <c r="P6" s="135"/>
      <c r="Q6" s="135"/>
      <c r="R6" s="135"/>
      <c r="S6" s="135"/>
      <c r="T6" s="135"/>
      <c r="U6" s="98"/>
      <c r="V6" s="109"/>
      <c r="W6" s="109"/>
      <c r="X6" s="107"/>
      <c r="Y6">
        <f>SUMIF('加工费合计 1219'!$C:$C,A6,'加工费合计 1219'!$E:$E)</f>
        <v>482</v>
      </c>
      <c r="Z6">
        <f t="shared" si="5"/>
        <v>0</v>
      </c>
    </row>
    <row r="7" spans="1:26" ht="22.05" customHeight="1" x14ac:dyDescent="0.25">
      <c r="A7" s="98">
        <v>30100047</v>
      </c>
      <c r="B7" s="98" t="s">
        <v>33</v>
      </c>
      <c r="C7" s="98">
        <v>138</v>
      </c>
      <c r="D7" s="98">
        <v>5</v>
      </c>
      <c r="E7" s="98">
        <f t="shared" si="0"/>
        <v>0.69</v>
      </c>
      <c r="F7" s="98">
        <v>190</v>
      </c>
      <c r="G7" s="98">
        <f t="shared" si="1"/>
        <v>131.1</v>
      </c>
      <c r="H7" s="98">
        <v>3.28</v>
      </c>
      <c r="I7" s="142">
        <f>SUM(G7:G9)*H7</f>
        <v>4343.7040000000006</v>
      </c>
      <c r="J7" s="98">
        <v>102</v>
      </c>
      <c r="K7" s="98">
        <f t="shared" si="2"/>
        <v>14076</v>
      </c>
      <c r="L7" s="135">
        <v>3.2000000000000001E-2</v>
      </c>
      <c r="M7" s="135">
        <f>SUM(K7:K9)*L7</f>
        <v>4550.0160000000005</v>
      </c>
      <c r="N7" s="98">
        <f t="shared" si="3"/>
        <v>138</v>
      </c>
      <c r="O7" s="135">
        <v>1.55</v>
      </c>
      <c r="P7" s="135">
        <f t="shared" ref="P7:T7" si="7">SUM($N$7:$N$9)*O7</f>
        <v>2160.7000000000003</v>
      </c>
      <c r="Q7" s="135"/>
      <c r="R7" s="135">
        <f t="shared" si="7"/>
        <v>0</v>
      </c>
      <c r="S7" s="135"/>
      <c r="T7" s="135">
        <f t="shared" si="7"/>
        <v>0</v>
      </c>
      <c r="U7" s="98"/>
      <c r="V7" s="109"/>
      <c r="W7" s="109"/>
      <c r="X7" s="107"/>
      <c r="Y7">
        <f>SUMIF('加工费合计 1219'!$C:$C,A7,'加工费合计 1219'!$E:$E)</f>
        <v>138</v>
      </c>
      <c r="Z7">
        <f t="shared" si="5"/>
        <v>0</v>
      </c>
    </row>
    <row r="8" spans="1:26" ht="22.05" customHeight="1" x14ac:dyDescent="0.25">
      <c r="A8" s="98">
        <v>30100064</v>
      </c>
      <c r="B8" s="98" t="s">
        <v>34</v>
      </c>
      <c r="C8" s="98">
        <v>133</v>
      </c>
      <c r="D8" s="98">
        <v>5</v>
      </c>
      <c r="E8" s="98">
        <f t="shared" si="0"/>
        <v>0.66500000000000004</v>
      </c>
      <c r="F8" s="98">
        <v>190</v>
      </c>
      <c r="G8" s="98">
        <f t="shared" si="1"/>
        <v>126.35000000000001</v>
      </c>
      <c r="H8" s="98">
        <v>3.28</v>
      </c>
      <c r="I8" s="142"/>
      <c r="J8" s="98">
        <v>102</v>
      </c>
      <c r="K8" s="98">
        <f t="shared" si="2"/>
        <v>13566</v>
      </c>
      <c r="L8" s="135"/>
      <c r="M8" s="135"/>
      <c r="N8" s="98">
        <f t="shared" si="3"/>
        <v>133</v>
      </c>
      <c r="O8" s="135"/>
      <c r="P8" s="135"/>
      <c r="Q8" s="135"/>
      <c r="R8" s="135"/>
      <c r="S8" s="135"/>
      <c r="T8" s="135"/>
      <c r="U8" s="98"/>
      <c r="V8" s="109"/>
      <c r="W8" s="109"/>
      <c r="X8" s="107"/>
      <c r="Y8">
        <f>SUMIF('加工费合计 1219'!$C:$C,A8,'加工费合计 1219'!$E:$E)</f>
        <v>133</v>
      </c>
      <c r="Z8">
        <f t="shared" si="5"/>
        <v>0</v>
      </c>
    </row>
    <row r="9" spans="1:26" ht="22.05" customHeight="1" x14ac:dyDescent="0.25">
      <c r="A9" s="98">
        <v>30100048</v>
      </c>
      <c r="B9" s="98" t="s">
        <v>53</v>
      </c>
      <c r="C9" s="98">
        <v>1123</v>
      </c>
      <c r="D9" s="98">
        <v>5</v>
      </c>
      <c r="E9" s="98">
        <f t="shared" si="0"/>
        <v>5.6150000000000002</v>
      </c>
      <c r="F9" s="98">
        <v>190</v>
      </c>
      <c r="G9" s="98">
        <f t="shared" si="1"/>
        <v>1066.8500000000001</v>
      </c>
      <c r="H9" s="98">
        <v>3.28</v>
      </c>
      <c r="I9" s="142"/>
      <c r="J9" s="98">
        <v>102</v>
      </c>
      <c r="K9" s="98">
        <f t="shared" si="2"/>
        <v>114546</v>
      </c>
      <c r="L9" s="135"/>
      <c r="M9" s="135"/>
      <c r="N9" s="98">
        <f t="shared" si="3"/>
        <v>1123</v>
      </c>
      <c r="O9" s="135"/>
      <c r="P9" s="135"/>
      <c r="Q9" s="135"/>
      <c r="R9" s="135"/>
      <c r="S9" s="135"/>
      <c r="T9" s="135"/>
      <c r="U9" s="98"/>
      <c r="V9" s="109"/>
      <c r="W9" s="109"/>
      <c r="X9" s="107"/>
      <c r="Y9">
        <f>SUMIF('加工费合计 1219'!$C:$C,A9,'加工费合计 1219'!$E:$E)</f>
        <v>1123</v>
      </c>
      <c r="Z9">
        <f t="shared" si="5"/>
        <v>0</v>
      </c>
    </row>
    <row r="10" spans="1:26" ht="22.05" customHeight="1" x14ac:dyDescent="0.25">
      <c r="A10" s="98">
        <v>30200006</v>
      </c>
      <c r="B10" s="98" t="s">
        <v>49</v>
      </c>
      <c r="C10" s="98">
        <v>167</v>
      </c>
      <c r="D10" s="98">
        <v>5</v>
      </c>
      <c r="E10" s="98">
        <f t="shared" si="0"/>
        <v>0.83499999999999996</v>
      </c>
      <c r="F10" s="98">
        <v>190</v>
      </c>
      <c r="G10" s="98">
        <f t="shared" si="1"/>
        <v>158.65</v>
      </c>
      <c r="H10" s="98">
        <v>3.28</v>
      </c>
      <c r="I10" s="104">
        <f>H10*G10</f>
        <v>520.37199999999996</v>
      </c>
      <c r="J10" s="98">
        <v>48</v>
      </c>
      <c r="K10" s="98">
        <f t="shared" si="2"/>
        <v>8016</v>
      </c>
      <c r="L10" s="98">
        <v>5.0999999999999997E-2</v>
      </c>
      <c r="M10" s="98">
        <f>L10*K10</f>
        <v>408.81599999999997</v>
      </c>
      <c r="N10" s="98">
        <f t="shared" si="3"/>
        <v>167</v>
      </c>
      <c r="O10" s="98">
        <v>1.55</v>
      </c>
      <c r="P10" s="98">
        <f>O10*N10</f>
        <v>258.85000000000002</v>
      </c>
      <c r="Q10" s="98">
        <v>0.1</v>
      </c>
      <c r="R10" s="98">
        <f>Q10*N10</f>
        <v>16.7</v>
      </c>
      <c r="S10" s="98">
        <v>0.26</v>
      </c>
      <c r="T10" s="98">
        <f>S10*N10</f>
        <v>43.42</v>
      </c>
      <c r="U10" s="98">
        <f>N10*50</f>
        <v>8350</v>
      </c>
      <c r="V10" s="98">
        <v>0.03</v>
      </c>
      <c r="W10" s="98">
        <f>U10*V10</f>
        <v>250.5</v>
      </c>
      <c r="X10" s="107"/>
      <c r="Y10">
        <f>SUMIF('加工费合计 1219'!$C:$C,A10,'加工费合计 1219'!$E:$E)</f>
        <v>167</v>
      </c>
      <c r="Z10">
        <f t="shared" si="5"/>
        <v>0</v>
      </c>
    </row>
    <row r="11" spans="1:26" ht="22.05" customHeight="1" x14ac:dyDescent="0.25">
      <c r="A11" s="98">
        <v>30100010</v>
      </c>
      <c r="B11" s="98" t="s">
        <v>25</v>
      </c>
      <c r="C11" s="98">
        <v>1790</v>
      </c>
      <c r="D11" s="98">
        <v>5</v>
      </c>
      <c r="E11" s="98">
        <f t="shared" si="0"/>
        <v>8.9499999999999993</v>
      </c>
      <c r="F11" s="98">
        <v>170</v>
      </c>
      <c r="G11" s="98">
        <f t="shared" si="1"/>
        <v>1521.4999999999998</v>
      </c>
      <c r="H11" s="98">
        <v>3.28</v>
      </c>
      <c r="I11" s="142">
        <f>SUM(G11:G16)*H11</f>
        <v>27605.103199999994</v>
      </c>
      <c r="J11" s="98">
        <v>174</v>
      </c>
      <c r="K11" s="98">
        <f t="shared" si="2"/>
        <v>311460</v>
      </c>
      <c r="L11" s="135">
        <v>2.0500000000000001E-2</v>
      </c>
      <c r="M11" s="135">
        <f>SUM(K11:K16)*L11</f>
        <v>35517.849000000002</v>
      </c>
      <c r="N11" s="98">
        <f t="shared" si="3"/>
        <v>1790</v>
      </c>
      <c r="O11" s="134">
        <v>1.65</v>
      </c>
      <c r="P11" s="134">
        <f>SUM($N$11:$N$14)*O11</f>
        <v>13046.55</v>
      </c>
      <c r="Q11" s="135"/>
      <c r="R11" s="109">
        <f>SUM($N$11:$N$16)*Q11</f>
        <v>0</v>
      </c>
      <c r="S11" s="134"/>
      <c r="T11" s="135">
        <f>SUM($N$11:$N$16)*S11</f>
        <v>0</v>
      </c>
      <c r="U11" s="98"/>
      <c r="V11" s="109"/>
      <c r="W11" s="109"/>
      <c r="X11" s="107"/>
      <c r="Y11">
        <f>SUMIF('加工费合计 1219'!$C:$C,A11,'加工费合计 1219'!$E:$E)</f>
        <v>1852</v>
      </c>
      <c r="Z11">
        <f t="shared" si="5"/>
        <v>62</v>
      </c>
    </row>
    <row r="12" spans="1:26" ht="22.05" customHeight="1" x14ac:dyDescent="0.25">
      <c r="A12" s="98">
        <v>30100012</v>
      </c>
      <c r="B12" s="98" t="s">
        <v>26</v>
      </c>
      <c r="C12" s="98">
        <v>2201</v>
      </c>
      <c r="D12" s="98">
        <v>5</v>
      </c>
      <c r="E12" s="98">
        <f t="shared" si="0"/>
        <v>11.005000000000001</v>
      </c>
      <c r="F12" s="98">
        <v>170</v>
      </c>
      <c r="G12" s="98">
        <f t="shared" si="1"/>
        <v>1870.8500000000001</v>
      </c>
      <c r="H12" s="98">
        <v>3.28</v>
      </c>
      <c r="I12" s="142"/>
      <c r="J12" s="98">
        <v>174</v>
      </c>
      <c r="K12" s="98">
        <f t="shared" si="2"/>
        <v>382974</v>
      </c>
      <c r="L12" s="135"/>
      <c r="M12" s="135"/>
      <c r="N12" s="98">
        <f t="shared" si="3"/>
        <v>2201</v>
      </c>
      <c r="O12" s="143"/>
      <c r="P12" s="143"/>
      <c r="Q12" s="135"/>
      <c r="R12" s="109"/>
      <c r="S12" s="143"/>
      <c r="T12" s="135"/>
      <c r="U12" s="98"/>
      <c r="V12" s="109"/>
      <c r="W12" s="109"/>
      <c r="X12" s="107"/>
      <c r="Y12">
        <f>SUMIF('加工费合计 1219'!$C:$C,A12,'加工费合计 1219'!$E:$E)</f>
        <v>2437</v>
      </c>
      <c r="Z12">
        <f t="shared" si="5"/>
        <v>236</v>
      </c>
    </row>
    <row r="13" spans="1:26" ht="22.05" customHeight="1" x14ac:dyDescent="0.25">
      <c r="A13" s="98">
        <v>30100013</v>
      </c>
      <c r="B13" s="98" t="s">
        <v>27</v>
      </c>
      <c r="C13" s="98">
        <v>2204</v>
      </c>
      <c r="D13" s="98">
        <v>5</v>
      </c>
      <c r="E13" s="98">
        <f t="shared" si="0"/>
        <v>11.02</v>
      </c>
      <c r="F13" s="98">
        <v>170</v>
      </c>
      <c r="G13" s="98">
        <f t="shared" si="1"/>
        <v>1873.3999999999999</v>
      </c>
      <c r="H13" s="98">
        <v>3.28</v>
      </c>
      <c r="I13" s="142"/>
      <c r="J13" s="98">
        <v>174</v>
      </c>
      <c r="K13" s="98">
        <f t="shared" si="2"/>
        <v>383496</v>
      </c>
      <c r="L13" s="135"/>
      <c r="M13" s="135"/>
      <c r="N13" s="98">
        <f t="shared" si="3"/>
        <v>2204</v>
      </c>
      <c r="O13" s="143"/>
      <c r="P13" s="143"/>
      <c r="Q13" s="135"/>
      <c r="R13" s="109"/>
      <c r="S13" s="143"/>
      <c r="T13" s="135"/>
      <c r="U13" s="98"/>
      <c r="V13" s="109"/>
      <c r="W13" s="109"/>
      <c r="X13" s="107"/>
      <c r="Y13">
        <f>SUMIF('加工费合计 1219'!$C:$C,A13,'加工费合计 1219'!$E:$E)</f>
        <v>2324</v>
      </c>
      <c r="Z13">
        <f t="shared" si="5"/>
        <v>120</v>
      </c>
    </row>
    <row r="14" spans="1:26" ht="22.05" customHeight="1" x14ac:dyDescent="0.25">
      <c r="A14" s="98">
        <v>30100014</v>
      </c>
      <c r="B14" s="98" t="s">
        <v>28</v>
      </c>
      <c r="C14" s="98">
        <v>1712</v>
      </c>
      <c r="D14" s="98">
        <v>5</v>
      </c>
      <c r="E14" s="98">
        <f t="shared" si="0"/>
        <v>8.56</v>
      </c>
      <c r="F14" s="98">
        <v>170</v>
      </c>
      <c r="G14" s="98">
        <f t="shared" si="1"/>
        <v>1455.2</v>
      </c>
      <c r="H14" s="98">
        <v>3.28</v>
      </c>
      <c r="I14" s="142"/>
      <c r="J14" s="98">
        <v>174</v>
      </c>
      <c r="K14" s="98">
        <f t="shared" si="2"/>
        <v>297888</v>
      </c>
      <c r="L14" s="135"/>
      <c r="M14" s="135"/>
      <c r="N14" s="98">
        <f t="shared" si="3"/>
        <v>1712</v>
      </c>
      <c r="O14" s="143"/>
      <c r="P14" s="144"/>
      <c r="Q14" s="135"/>
      <c r="R14" s="109"/>
      <c r="S14" s="143"/>
      <c r="T14" s="135"/>
      <c r="U14" s="98"/>
      <c r="V14" s="109"/>
      <c r="W14" s="109"/>
      <c r="X14" s="107"/>
      <c r="Y14">
        <f>SUMIF('加工费合计 1219'!$C:$C,A14,'加工费合计 1219'!$E:$E)</f>
        <v>1774</v>
      </c>
      <c r="Z14">
        <f t="shared" si="5"/>
        <v>62</v>
      </c>
    </row>
    <row r="15" spans="1:26" ht="22.05" customHeight="1" x14ac:dyDescent="0.25">
      <c r="A15" s="98">
        <v>30700016</v>
      </c>
      <c r="B15" s="98" t="s">
        <v>35</v>
      </c>
      <c r="C15" s="98">
        <v>620</v>
      </c>
      <c r="D15" s="98">
        <f>675*12/1000</f>
        <v>8.1</v>
      </c>
      <c r="E15" s="98">
        <f t="shared" si="0"/>
        <v>5.0220000000000002</v>
      </c>
      <c r="F15" s="98">
        <v>170</v>
      </c>
      <c r="G15" s="98">
        <f t="shared" si="1"/>
        <v>853.74</v>
      </c>
      <c r="H15" s="98">
        <v>3.28</v>
      </c>
      <c r="I15" s="142"/>
      <c r="J15" s="98">
        <f>24*12</f>
        <v>288</v>
      </c>
      <c r="K15" s="98">
        <f t="shared" si="2"/>
        <v>178560</v>
      </c>
      <c r="L15" s="135"/>
      <c r="M15" s="135"/>
      <c r="N15" s="98">
        <f t="shared" si="3"/>
        <v>620</v>
      </c>
      <c r="O15" s="98">
        <v>3.7</v>
      </c>
      <c r="P15" s="98">
        <f>N15*O15</f>
        <v>2294</v>
      </c>
      <c r="Q15" s="109"/>
      <c r="R15" s="109"/>
      <c r="S15" s="143"/>
      <c r="T15" s="135"/>
      <c r="U15" s="98"/>
      <c r="V15" s="109"/>
      <c r="W15" s="109"/>
      <c r="X15" s="107"/>
      <c r="Y15">
        <f>SUMIF('加工费合计 1219'!$C:$C,A15,'加工费合计 1219'!$E:$E)</f>
        <v>820</v>
      </c>
      <c r="Z15">
        <f t="shared" si="5"/>
        <v>200</v>
      </c>
    </row>
    <row r="16" spans="1:26" ht="22.05" customHeight="1" x14ac:dyDescent="0.25">
      <c r="A16" s="98">
        <v>30700017</v>
      </c>
      <c r="B16" s="98" t="s">
        <v>36</v>
      </c>
      <c r="C16" s="98">
        <v>990</v>
      </c>
      <c r="D16" s="98">
        <v>5</v>
      </c>
      <c r="E16" s="98">
        <f t="shared" si="0"/>
        <v>4.95</v>
      </c>
      <c r="F16" s="98">
        <v>170</v>
      </c>
      <c r="G16" s="98">
        <f t="shared" si="1"/>
        <v>841.5</v>
      </c>
      <c r="H16" s="98">
        <v>3.28</v>
      </c>
      <c r="I16" s="142"/>
      <c r="J16" s="98">
        <f>15*12</f>
        <v>180</v>
      </c>
      <c r="K16" s="98">
        <f t="shared" si="2"/>
        <v>178200</v>
      </c>
      <c r="L16" s="135"/>
      <c r="M16" s="135"/>
      <c r="N16" s="98">
        <f t="shared" si="3"/>
        <v>990</v>
      </c>
      <c r="O16" s="98">
        <v>2.5</v>
      </c>
      <c r="P16" s="98">
        <f>N16*O16</f>
        <v>2475</v>
      </c>
      <c r="Q16" s="109"/>
      <c r="R16" s="109"/>
      <c r="S16" s="144"/>
      <c r="T16" s="135"/>
      <c r="U16" s="98"/>
      <c r="V16" s="109"/>
      <c r="W16" s="109"/>
      <c r="X16" s="107"/>
      <c r="Y16">
        <f>SUMIF('加工费合计 1219'!$C:$C,A16,'加工费合计 1219'!$E:$E)</f>
        <v>1192</v>
      </c>
      <c r="Z16">
        <f t="shared" si="5"/>
        <v>202</v>
      </c>
    </row>
    <row r="17" spans="1:24" ht="22.05" customHeight="1" x14ac:dyDescent="0.25">
      <c r="A17" s="135" t="s">
        <v>56</v>
      </c>
      <c r="B17" s="135"/>
      <c r="C17" s="98">
        <f>SUM(C3:C16)</f>
        <v>14297</v>
      </c>
      <c r="D17" s="98">
        <v>5</v>
      </c>
      <c r="E17" s="98">
        <f t="shared" si="0"/>
        <v>71.484999999999999</v>
      </c>
      <c r="F17" s="98"/>
      <c r="G17" s="98">
        <f>SUM(G3:G16)/1000</f>
        <v>12.957190000000001</v>
      </c>
      <c r="H17" s="98">
        <v>3280</v>
      </c>
      <c r="I17" s="104">
        <f>H17*G17</f>
        <v>42499.583200000001</v>
      </c>
      <c r="J17" s="98"/>
      <c r="K17" s="98"/>
      <c r="L17" s="98"/>
      <c r="M17" s="98">
        <f t="shared" ref="M17:R17" si="8">SUM(M3:M16)</f>
        <v>50153.526000000005</v>
      </c>
      <c r="N17" s="98"/>
      <c r="O17" s="98"/>
      <c r="P17" s="98">
        <f t="shared" si="8"/>
        <v>25603.239999999998</v>
      </c>
      <c r="Q17" s="98"/>
      <c r="R17" s="98">
        <f t="shared" si="8"/>
        <v>264.2</v>
      </c>
      <c r="S17" s="109"/>
      <c r="T17" s="98">
        <f t="shared" ref="T17:X17" si="9">SUM(T3:T16)</f>
        <v>414.67</v>
      </c>
      <c r="U17" s="109"/>
      <c r="V17" s="109"/>
      <c r="W17" s="98">
        <f t="shared" si="9"/>
        <v>2478</v>
      </c>
      <c r="X17" s="108">
        <f t="shared" si="9"/>
        <v>108</v>
      </c>
    </row>
    <row r="18" spans="1:24" ht="28.2" x14ac:dyDescent="0.25">
      <c r="H18" s="139"/>
      <c r="I18" s="139"/>
      <c r="J18" s="140" t="s">
        <v>81</v>
      </c>
      <c r="K18" s="140"/>
      <c r="L18" s="140"/>
      <c r="M18" s="140"/>
      <c r="N18" s="140"/>
      <c r="O18" s="140"/>
      <c r="P18" s="141">
        <f>SUM(I17:X17)</f>
        <v>121521.21919999999</v>
      </c>
      <c r="Q18" s="141"/>
      <c r="R18" s="141"/>
      <c r="S18" s="141"/>
      <c r="T18" s="141"/>
      <c r="U18" s="141"/>
      <c r="V18" s="141"/>
    </row>
    <row r="19" spans="1:24" x14ac:dyDescent="0.25">
      <c r="H19">
        <f>+E17*H16</f>
        <v>234.4708</v>
      </c>
    </row>
    <row r="22" spans="1:24" x14ac:dyDescent="0.25">
      <c r="I22">
        <f>+I19+M17</f>
        <v>50153.526000000005</v>
      </c>
    </row>
    <row r="23" spans="1:24" x14ac:dyDescent="0.25">
      <c r="C23">
        <f>+C17*8</f>
        <v>114376</v>
      </c>
    </row>
  </sheetData>
  <mergeCells count="52">
    <mergeCell ref="U3:U4"/>
    <mergeCell ref="V3:V4"/>
    <mergeCell ref="W3:W4"/>
    <mergeCell ref="S3:S4"/>
    <mergeCell ref="S5:S6"/>
    <mergeCell ref="S7:S9"/>
    <mergeCell ref="S11:S16"/>
    <mergeCell ref="T3:T4"/>
    <mergeCell ref="T5:T6"/>
    <mergeCell ref="T7:T9"/>
    <mergeCell ref="T11:T16"/>
    <mergeCell ref="Q3:Q4"/>
    <mergeCell ref="Q5:Q6"/>
    <mergeCell ref="Q7:Q9"/>
    <mergeCell ref="Q11:Q14"/>
    <mergeCell ref="R3:R4"/>
    <mergeCell ref="R5:R6"/>
    <mergeCell ref="R7:R9"/>
    <mergeCell ref="O3:O4"/>
    <mergeCell ref="O5:O6"/>
    <mergeCell ref="O7:O9"/>
    <mergeCell ref="O11:O14"/>
    <mergeCell ref="P3:P4"/>
    <mergeCell ref="P5:P6"/>
    <mergeCell ref="P7:P9"/>
    <mergeCell ref="P11:P14"/>
    <mergeCell ref="M3:M4"/>
    <mergeCell ref="M5:M6"/>
    <mergeCell ref="M7:M9"/>
    <mergeCell ref="M11:M16"/>
    <mergeCell ref="N1:N2"/>
    <mergeCell ref="U1:W1"/>
    <mergeCell ref="A17:B17"/>
    <mergeCell ref="H18:I18"/>
    <mergeCell ref="J18:O18"/>
    <mergeCell ref="P18:V18"/>
    <mergeCell ref="A1:A2"/>
    <mergeCell ref="B1:B2"/>
    <mergeCell ref="C1:C2"/>
    <mergeCell ref="I3:I4"/>
    <mergeCell ref="I5:I6"/>
    <mergeCell ref="I7:I9"/>
    <mergeCell ref="I11:I16"/>
    <mergeCell ref="L3:L4"/>
    <mergeCell ref="L5:L6"/>
    <mergeCell ref="L7:L9"/>
    <mergeCell ref="L11:L16"/>
    <mergeCell ref="D1:I1"/>
    <mergeCell ref="J1:M1"/>
    <mergeCell ref="O1:P1"/>
    <mergeCell ref="Q1:R1"/>
    <mergeCell ref="S1:T1"/>
  </mergeCells>
  <phoneticPr fontId="34" type="noConversion"/>
  <pageMargins left="0.75" right="0.75" top="1" bottom="1" header="0.5" footer="0.5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3"/>
  <sheetViews>
    <sheetView workbookViewId="0">
      <pane ySplit="1" topLeftCell="A24" activePane="bottomLeft" state="frozen"/>
      <selection pane="bottomLeft" activeCell="B9" sqref="B9"/>
    </sheetView>
  </sheetViews>
  <sheetFormatPr defaultColWidth="9" defaultRowHeight="14.4" x14ac:dyDescent="0.25"/>
  <cols>
    <col min="1" max="1" width="10.109375"/>
    <col min="4" max="4" width="32.33203125" customWidth="1"/>
    <col min="7" max="7" width="9.33203125" style="82"/>
    <col min="9" max="9" width="11.109375" style="1"/>
    <col min="10" max="10" width="14.88671875" style="82" customWidth="1"/>
    <col min="11" max="11" width="16.21875" style="83" customWidth="1"/>
  </cols>
  <sheetData>
    <row r="1" spans="1:11" s="80" customFormat="1" ht="25.05" customHeight="1" x14ac:dyDescent="0.25">
      <c r="A1" s="84" t="s">
        <v>13</v>
      </c>
      <c r="B1" s="85" t="s">
        <v>14</v>
      </c>
      <c r="C1" s="85" t="s">
        <v>15</v>
      </c>
      <c r="D1" s="85" t="s">
        <v>16</v>
      </c>
      <c r="E1" s="85" t="s">
        <v>17</v>
      </c>
      <c r="F1" s="85" t="s">
        <v>18</v>
      </c>
      <c r="G1" s="86" t="s">
        <v>19</v>
      </c>
      <c r="H1" s="85" t="s">
        <v>20</v>
      </c>
      <c r="I1" s="95" t="s">
        <v>21</v>
      </c>
      <c r="J1" s="96" t="s">
        <v>22</v>
      </c>
      <c r="K1" s="85" t="s">
        <v>23</v>
      </c>
    </row>
    <row r="2" spans="1:11" ht="25.05" customHeight="1" x14ac:dyDescent="0.25">
      <c r="A2" s="87">
        <v>44901</v>
      </c>
      <c r="B2" s="88" t="s">
        <v>82</v>
      </c>
      <c r="C2" s="89">
        <v>30100010</v>
      </c>
      <c r="D2" s="89" t="s">
        <v>25</v>
      </c>
      <c r="E2" s="89">
        <v>417</v>
      </c>
      <c r="F2" s="89">
        <v>5</v>
      </c>
      <c r="G2" s="90">
        <f t="shared" ref="G2:G6" si="0">E2*F2/1000</f>
        <v>2.085</v>
      </c>
      <c r="H2" s="89">
        <v>22.68</v>
      </c>
      <c r="I2" s="97">
        <v>1400</v>
      </c>
      <c r="J2" s="90">
        <f t="shared" ref="J2:J6" si="1">ROUND(I2*G2,2)</f>
        <v>2919</v>
      </c>
      <c r="K2" s="98"/>
    </row>
    <row r="3" spans="1:11" ht="25.05" customHeight="1" x14ac:dyDescent="0.25">
      <c r="A3" s="87">
        <v>44901</v>
      </c>
      <c r="B3" s="88" t="s">
        <v>82</v>
      </c>
      <c r="C3" s="89">
        <v>30100012</v>
      </c>
      <c r="D3" s="89" t="s">
        <v>26</v>
      </c>
      <c r="E3" s="89">
        <v>769</v>
      </c>
      <c r="F3" s="89">
        <v>5</v>
      </c>
      <c r="G3" s="90">
        <f t="shared" si="0"/>
        <v>3.8450000000000002</v>
      </c>
      <c r="H3" s="89">
        <v>22.68</v>
      </c>
      <c r="I3" s="97">
        <v>1400</v>
      </c>
      <c r="J3" s="90">
        <f t="shared" si="1"/>
        <v>5383</v>
      </c>
      <c r="K3" s="98"/>
    </row>
    <row r="4" spans="1:11" ht="25.05" customHeight="1" x14ac:dyDescent="0.25">
      <c r="A4" s="87">
        <v>44901</v>
      </c>
      <c r="B4" s="88" t="s">
        <v>82</v>
      </c>
      <c r="C4" s="89">
        <v>30100013</v>
      </c>
      <c r="D4" s="89" t="s">
        <v>27</v>
      </c>
      <c r="E4" s="89">
        <v>951</v>
      </c>
      <c r="F4" s="89">
        <v>5</v>
      </c>
      <c r="G4" s="90">
        <f t="shared" si="0"/>
        <v>4.7549999999999999</v>
      </c>
      <c r="H4" s="89">
        <v>22.68</v>
      </c>
      <c r="I4" s="97">
        <v>1400</v>
      </c>
      <c r="J4" s="90">
        <f t="shared" si="1"/>
        <v>6657</v>
      </c>
      <c r="K4" s="98"/>
    </row>
    <row r="5" spans="1:11" ht="25.05" customHeight="1" x14ac:dyDescent="0.25">
      <c r="A5" s="87">
        <v>44901</v>
      </c>
      <c r="B5" s="88" t="s">
        <v>82</v>
      </c>
      <c r="C5" s="89">
        <v>30100014</v>
      </c>
      <c r="D5" s="89" t="s">
        <v>28</v>
      </c>
      <c r="E5" s="89">
        <v>648</v>
      </c>
      <c r="F5" s="89">
        <v>5</v>
      </c>
      <c r="G5" s="90">
        <f t="shared" si="0"/>
        <v>3.24</v>
      </c>
      <c r="H5" s="89">
        <v>22.68</v>
      </c>
      <c r="I5" s="97">
        <v>1400</v>
      </c>
      <c r="J5" s="90">
        <f t="shared" si="1"/>
        <v>4536</v>
      </c>
      <c r="K5" s="98"/>
    </row>
    <row r="6" spans="1:11" ht="25.05" customHeight="1" x14ac:dyDescent="0.25">
      <c r="A6" s="87">
        <v>44901</v>
      </c>
      <c r="B6" s="88" t="s">
        <v>82</v>
      </c>
      <c r="C6" s="89">
        <v>30100030</v>
      </c>
      <c r="D6" s="89" t="s">
        <v>29</v>
      </c>
      <c r="E6" s="89">
        <v>100</v>
      </c>
      <c r="F6" s="89">
        <v>5</v>
      </c>
      <c r="G6" s="90">
        <f t="shared" si="0"/>
        <v>0.5</v>
      </c>
      <c r="H6" s="89">
        <v>27.09</v>
      </c>
      <c r="I6" s="97">
        <v>1550</v>
      </c>
      <c r="J6" s="90">
        <f t="shared" si="1"/>
        <v>775</v>
      </c>
      <c r="K6" s="98"/>
    </row>
    <row r="7" spans="1:11" s="81" customFormat="1" ht="25.05" customHeight="1" x14ac:dyDescent="0.25">
      <c r="A7" s="91" t="s">
        <v>30</v>
      </c>
      <c r="B7" s="92"/>
      <c r="C7" s="93"/>
      <c r="D7" s="93"/>
      <c r="E7" s="93">
        <f t="shared" ref="E7:J7" si="2">SUM(E2:E6)</f>
        <v>2885</v>
      </c>
      <c r="F7" s="93"/>
      <c r="G7" s="94">
        <f t="shared" si="2"/>
        <v>14.424999999999999</v>
      </c>
      <c r="H7" s="93"/>
      <c r="I7" s="97"/>
      <c r="J7" s="94">
        <f t="shared" si="2"/>
        <v>20270</v>
      </c>
      <c r="K7" s="99"/>
    </row>
    <row r="8" spans="1:11" ht="25.05" customHeight="1" x14ac:dyDescent="0.25">
      <c r="A8" s="87">
        <v>44906</v>
      </c>
      <c r="B8" s="88" t="s">
        <v>83</v>
      </c>
      <c r="C8" s="89">
        <v>30100007</v>
      </c>
      <c r="D8" s="89" t="s">
        <v>31</v>
      </c>
      <c r="E8" s="89">
        <v>630</v>
      </c>
      <c r="F8" s="89">
        <v>5</v>
      </c>
      <c r="G8" s="90">
        <f t="shared" ref="G8:G17" si="3">E8*F8/1000</f>
        <v>3.15</v>
      </c>
      <c r="H8" s="89">
        <v>30.12</v>
      </c>
      <c r="I8" s="97">
        <v>1550</v>
      </c>
      <c r="J8" s="90">
        <f t="shared" ref="J8:J17" si="4">ROUND(I8*G8,2)</f>
        <v>4882.5</v>
      </c>
      <c r="K8" s="98"/>
    </row>
    <row r="9" spans="1:11" ht="25.05" customHeight="1" x14ac:dyDescent="0.25">
      <c r="A9" s="87">
        <v>44906</v>
      </c>
      <c r="B9" s="88" t="s">
        <v>83</v>
      </c>
      <c r="C9" s="89">
        <v>30200002</v>
      </c>
      <c r="D9" s="89" t="s">
        <v>32</v>
      </c>
      <c r="E9" s="89">
        <v>363</v>
      </c>
      <c r="F9" s="89">
        <v>5</v>
      </c>
      <c r="G9" s="90">
        <f t="shared" si="3"/>
        <v>1.8149999999999999</v>
      </c>
      <c r="H9" s="89">
        <v>30.96</v>
      </c>
      <c r="I9" s="97">
        <v>1550</v>
      </c>
      <c r="J9" s="90">
        <f t="shared" si="4"/>
        <v>2813.25</v>
      </c>
      <c r="K9" s="98"/>
    </row>
    <row r="10" spans="1:11" ht="25.05" customHeight="1" x14ac:dyDescent="0.25">
      <c r="A10" s="87">
        <v>44906</v>
      </c>
      <c r="B10" s="88" t="s">
        <v>83</v>
      </c>
      <c r="C10" s="89">
        <v>30100047</v>
      </c>
      <c r="D10" s="89" t="s">
        <v>33</v>
      </c>
      <c r="E10" s="89">
        <v>138</v>
      </c>
      <c r="F10" s="89">
        <v>5</v>
      </c>
      <c r="G10" s="90">
        <f t="shared" si="3"/>
        <v>0.69</v>
      </c>
      <c r="H10" s="89">
        <v>30.56</v>
      </c>
      <c r="I10" s="97">
        <v>1550</v>
      </c>
      <c r="J10" s="90">
        <f t="shared" si="4"/>
        <v>1069.5</v>
      </c>
      <c r="K10" s="98"/>
    </row>
    <row r="11" spans="1:11" ht="25.05" customHeight="1" x14ac:dyDescent="0.25">
      <c r="A11" s="87">
        <v>44906</v>
      </c>
      <c r="B11" s="88" t="s">
        <v>83</v>
      </c>
      <c r="C11" s="89">
        <v>30100064</v>
      </c>
      <c r="D11" s="89" t="s">
        <v>34</v>
      </c>
      <c r="E11" s="89">
        <v>133</v>
      </c>
      <c r="F11" s="89">
        <v>5</v>
      </c>
      <c r="G11" s="90">
        <f t="shared" si="3"/>
        <v>0.66500000000000004</v>
      </c>
      <c r="H11" s="89">
        <v>22.42</v>
      </c>
      <c r="I11" s="97">
        <v>1550</v>
      </c>
      <c r="J11" s="90">
        <f t="shared" si="4"/>
        <v>1030.75</v>
      </c>
      <c r="K11" s="98"/>
    </row>
    <row r="12" spans="1:11" ht="25.05" customHeight="1" x14ac:dyDescent="0.25">
      <c r="A12" s="87">
        <v>44906</v>
      </c>
      <c r="B12" s="88" t="s">
        <v>83</v>
      </c>
      <c r="C12" s="89">
        <v>30100010</v>
      </c>
      <c r="D12" s="89" t="s">
        <v>25</v>
      </c>
      <c r="E12" s="89">
        <v>388</v>
      </c>
      <c r="F12" s="89">
        <v>5</v>
      </c>
      <c r="G12" s="90">
        <f t="shared" si="3"/>
        <v>1.94</v>
      </c>
      <c r="H12" s="89">
        <v>22.68</v>
      </c>
      <c r="I12" s="97">
        <v>1400</v>
      </c>
      <c r="J12" s="90">
        <f t="shared" si="4"/>
        <v>2716</v>
      </c>
      <c r="K12" s="98"/>
    </row>
    <row r="13" spans="1:11" ht="25.05" customHeight="1" x14ac:dyDescent="0.25">
      <c r="A13" s="87">
        <v>44906</v>
      </c>
      <c r="B13" s="88" t="s">
        <v>83</v>
      </c>
      <c r="C13" s="89">
        <v>30100012</v>
      </c>
      <c r="D13" s="89" t="s">
        <v>26</v>
      </c>
      <c r="E13" s="89">
        <v>200</v>
      </c>
      <c r="F13" s="89">
        <v>5</v>
      </c>
      <c r="G13" s="90">
        <f t="shared" si="3"/>
        <v>1</v>
      </c>
      <c r="H13" s="89">
        <v>22.68</v>
      </c>
      <c r="I13" s="97">
        <v>1400</v>
      </c>
      <c r="J13" s="90">
        <f t="shared" si="4"/>
        <v>1400</v>
      </c>
      <c r="K13" s="98"/>
    </row>
    <row r="14" spans="1:11" ht="25.05" customHeight="1" x14ac:dyDescent="0.25">
      <c r="A14" s="87">
        <v>44906</v>
      </c>
      <c r="B14" s="88" t="s">
        <v>83</v>
      </c>
      <c r="C14" s="89">
        <v>30100013</v>
      </c>
      <c r="D14" s="89" t="s">
        <v>27</v>
      </c>
      <c r="E14" s="89">
        <v>192</v>
      </c>
      <c r="F14" s="89">
        <v>5</v>
      </c>
      <c r="G14" s="90">
        <f t="shared" si="3"/>
        <v>0.96</v>
      </c>
      <c r="H14" s="89">
        <v>22.68</v>
      </c>
      <c r="I14" s="97">
        <v>1400</v>
      </c>
      <c r="J14" s="90">
        <f t="shared" si="4"/>
        <v>1344</v>
      </c>
      <c r="K14" s="98"/>
    </row>
    <row r="15" spans="1:11" ht="25.05" customHeight="1" x14ac:dyDescent="0.25">
      <c r="A15" s="87">
        <v>44906</v>
      </c>
      <c r="B15" s="88" t="s">
        <v>83</v>
      </c>
      <c r="C15" s="89">
        <v>30100014</v>
      </c>
      <c r="D15" s="89" t="s">
        <v>28</v>
      </c>
      <c r="E15" s="89">
        <v>338</v>
      </c>
      <c r="F15" s="89">
        <v>5</v>
      </c>
      <c r="G15" s="90">
        <f t="shared" si="3"/>
        <v>1.69</v>
      </c>
      <c r="H15" s="89">
        <v>22.68</v>
      </c>
      <c r="I15" s="97">
        <v>1400</v>
      </c>
      <c r="J15" s="90">
        <f t="shared" si="4"/>
        <v>2366</v>
      </c>
      <c r="K15" s="98"/>
    </row>
    <row r="16" spans="1:11" ht="25.05" customHeight="1" x14ac:dyDescent="0.25">
      <c r="A16" s="87">
        <v>44906</v>
      </c>
      <c r="B16" s="88" t="s">
        <v>83</v>
      </c>
      <c r="C16" s="89">
        <v>30700016</v>
      </c>
      <c r="D16" s="89" t="s">
        <v>35</v>
      </c>
      <c r="E16" s="89">
        <v>400</v>
      </c>
      <c r="F16" s="89">
        <f>592*12/1000</f>
        <v>7.1040000000000001</v>
      </c>
      <c r="G16" s="90">
        <f t="shared" si="3"/>
        <v>2.8416000000000001</v>
      </c>
      <c r="H16" s="89">
        <v>70.709999999999994</v>
      </c>
      <c r="I16" s="97">
        <v>1550</v>
      </c>
      <c r="J16" s="90">
        <f t="shared" si="4"/>
        <v>4404.4799999999996</v>
      </c>
      <c r="K16" s="98"/>
    </row>
    <row r="17" spans="1:13" ht="25.05" customHeight="1" x14ac:dyDescent="0.25">
      <c r="A17" s="87">
        <v>44906</v>
      </c>
      <c r="B17" s="88" t="s">
        <v>83</v>
      </c>
      <c r="C17" s="89">
        <v>30700017</v>
      </c>
      <c r="D17" s="89" t="s">
        <v>36</v>
      </c>
      <c r="E17" s="89">
        <v>320</v>
      </c>
      <c r="F17" s="89">
        <f>370*12/1000</f>
        <v>4.4400000000000004</v>
      </c>
      <c r="G17" s="90">
        <f t="shared" si="3"/>
        <v>1.4208000000000003</v>
      </c>
      <c r="H17" s="89">
        <v>42.3</v>
      </c>
      <c r="I17" s="97">
        <v>1550</v>
      </c>
      <c r="J17" s="90">
        <f t="shared" si="4"/>
        <v>2202.2399999999998</v>
      </c>
      <c r="K17" s="98"/>
    </row>
    <row r="18" spans="1:13" s="81" customFormat="1" ht="25.05" customHeight="1" x14ac:dyDescent="0.25">
      <c r="A18" s="91" t="s">
        <v>37</v>
      </c>
      <c r="B18" s="92"/>
      <c r="C18" s="93"/>
      <c r="D18" s="93"/>
      <c r="E18" s="93">
        <f t="shared" ref="E18:J18" si="5">SUM(E8:E17)</f>
        <v>3102</v>
      </c>
      <c r="F18" s="93"/>
      <c r="G18" s="94">
        <f t="shared" si="5"/>
        <v>16.1724</v>
      </c>
      <c r="H18" s="93"/>
      <c r="I18" s="97"/>
      <c r="J18" s="94">
        <f t="shared" si="5"/>
        <v>24228.720000000001</v>
      </c>
      <c r="K18" s="99"/>
    </row>
    <row r="19" spans="1:13" s="5" customFormat="1" ht="25.05" customHeight="1" x14ac:dyDescent="0.25">
      <c r="A19" s="87">
        <v>44908</v>
      </c>
      <c r="B19" s="88" t="s">
        <v>83</v>
      </c>
      <c r="C19" s="89">
        <v>30100007</v>
      </c>
      <c r="D19" s="89" t="s">
        <v>31</v>
      </c>
      <c r="E19" s="89">
        <v>97</v>
      </c>
      <c r="F19" s="89">
        <v>5</v>
      </c>
      <c r="G19" s="90">
        <f t="shared" ref="G19:G26" si="6">E19*F19/1000</f>
        <v>0.48499999999999999</v>
      </c>
      <c r="H19" s="89">
        <v>30.12</v>
      </c>
      <c r="I19" s="97">
        <v>1550</v>
      </c>
      <c r="J19" s="90">
        <f t="shared" ref="J19:J26" si="7">ROUND(I19*G19,2)</f>
        <v>751.75</v>
      </c>
      <c r="K19" s="88">
        <v>20221205</v>
      </c>
    </row>
    <row r="20" spans="1:13" s="5" customFormat="1" ht="25.05" customHeight="1" x14ac:dyDescent="0.25">
      <c r="A20" s="87">
        <v>44908</v>
      </c>
      <c r="B20" s="88" t="s">
        <v>83</v>
      </c>
      <c r="C20" s="89">
        <v>30200002</v>
      </c>
      <c r="D20" s="89" t="s">
        <v>32</v>
      </c>
      <c r="E20" s="89">
        <f>220+44</f>
        <v>264</v>
      </c>
      <c r="F20" s="89">
        <v>5</v>
      </c>
      <c r="G20" s="90">
        <f t="shared" si="6"/>
        <v>1.32</v>
      </c>
      <c r="H20" s="89">
        <v>30.96</v>
      </c>
      <c r="I20" s="97">
        <v>1550</v>
      </c>
      <c r="J20" s="90">
        <f t="shared" si="7"/>
        <v>2046</v>
      </c>
      <c r="K20" s="100" t="s">
        <v>38</v>
      </c>
    </row>
    <row r="21" spans="1:13" s="5" customFormat="1" ht="25.05" customHeight="1" x14ac:dyDescent="0.25">
      <c r="A21" s="87">
        <v>44908</v>
      </c>
      <c r="B21" s="88" t="s">
        <v>83</v>
      </c>
      <c r="C21" s="89">
        <v>30100012</v>
      </c>
      <c r="D21" s="89" t="s">
        <v>26</v>
      </c>
      <c r="E21" s="89">
        <v>80</v>
      </c>
      <c r="F21" s="89">
        <v>5</v>
      </c>
      <c r="G21" s="90">
        <f t="shared" si="6"/>
        <v>0.4</v>
      </c>
      <c r="H21" s="89">
        <v>22.68</v>
      </c>
      <c r="I21" s="97">
        <v>1400</v>
      </c>
      <c r="J21" s="90">
        <f t="shared" si="7"/>
        <v>560</v>
      </c>
      <c r="K21" s="88">
        <v>20221210</v>
      </c>
    </row>
    <row r="22" spans="1:13" s="5" customFormat="1" ht="25.05" customHeight="1" x14ac:dyDescent="0.25">
      <c r="A22" s="87">
        <v>44908</v>
      </c>
      <c r="B22" s="88" t="s">
        <v>83</v>
      </c>
      <c r="C22" s="89">
        <v>30100013</v>
      </c>
      <c r="D22" s="89" t="s">
        <v>27</v>
      </c>
      <c r="E22" s="89">
        <v>261</v>
      </c>
      <c r="F22" s="89">
        <v>5</v>
      </c>
      <c r="G22" s="90">
        <f t="shared" si="6"/>
        <v>1.3049999999999999</v>
      </c>
      <c r="H22" s="89">
        <v>22.68</v>
      </c>
      <c r="I22" s="97">
        <v>1400</v>
      </c>
      <c r="J22" s="90">
        <f t="shared" si="7"/>
        <v>1827</v>
      </c>
      <c r="K22" s="88">
        <v>20221201</v>
      </c>
    </row>
    <row r="23" spans="1:13" s="5" customFormat="1" ht="25.05" customHeight="1" x14ac:dyDescent="0.25">
      <c r="A23" s="87">
        <v>44908</v>
      </c>
      <c r="B23" s="88" t="s">
        <v>83</v>
      </c>
      <c r="C23" s="89">
        <v>30700016</v>
      </c>
      <c r="D23" s="89" t="s">
        <v>35</v>
      </c>
      <c r="E23" s="89">
        <f>156+64</f>
        <v>220</v>
      </c>
      <c r="F23" s="89">
        <f>592*12/1000</f>
        <v>7.1040000000000001</v>
      </c>
      <c r="G23" s="90">
        <f t="shared" si="6"/>
        <v>1.56288</v>
      </c>
      <c r="H23" s="89">
        <v>70.709999999999994</v>
      </c>
      <c r="I23" s="97">
        <v>1550</v>
      </c>
      <c r="J23" s="90">
        <f t="shared" si="7"/>
        <v>2422.46</v>
      </c>
      <c r="K23" s="100" t="s">
        <v>39</v>
      </c>
    </row>
    <row r="24" spans="1:13" s="5" customFormat="1" ht="25.05" customHeight="1" x14ac:dyDescent="0.25">
      <c r="A24" s="87">
        <v>44908</v>
      </c>
      <c r="B24" s="88" t="s">
        <v>83</v>
      </c>
      <c r="C24" s="89">
        <v>30700017</v>
      </c>
      <c r="D24" s="89" t="s">
        <v>36</v>
      </c>
      <c r="E24" s="89">
        <v>148</v>
      </c>
      <c r="F24" s="89">
        <f>370*12/1000</f>
        <v>4.4400000000000004</v>
      </c>
      <c r="G24" s="90">
        <f t="shared" si="6"/>
        <v>0.65712000000000004</v>
      </c>
      <c r="H24" s="89">
        <v>42.3</v>
      </c>
      <c r="I24" s="97">
        <v>1550</v>
      </c>
      <c r="J24" s="90">
        <f t="shared" si="7"/>
        <v>1018.54</v>
      </c>
      <c r="K24" s="88">
        <v>20221208</v>
      </c>
    </row>
    <row r="25" spans="1:13" s="5" customFormat="1" ht="25.05" customHeight="1" x14ac:dyDescent="0.25">
      <c r="A25" s="87">
        <v>44908</v>
      </c>
      <c r="B25" s="88" t="s">
        <v>83</v>
      </c>
      <c r="C25" s="89">
        <v>30100030</v>
      </c>
      <c r="D25" s="89" t="s">
        <v>29</v>
      </c>
      <c r="E25" s="89">
        <v>382</v>
      </c>
      <c r="F25" s="89">
        <v>5</v>
      </c>
      <c r="G25" s="90">
        <f t="shared" si="6"/>
        <v>1.91</v>
      </c>
      <c r="H25" s="89">
        <v>27.09</v>
      </c>
      <c r="I25" s="97">
        <v>1550</v>
      </c>
      <c r="J25" s="90">
        <f t="shared" si="7"/>
        <v>2960.5</v>
      </c>
      <c r="K25" s="88">
        <v>20221205</v>
      </c>
    </row>
    <row r="26" spans="1:13" s="5" customFormat="1" ht="25.05" customHeight="1" x14ac:dyDescent="0.25">
      <c r="A26" s="87">
        <v>44908</v>
      </c>
      <c r="B26" s="88" t="s">
        <v>83</v>
      </c>
      <c r="C26" s="89">
        <v>30101119</v>
      </c>
      <c r="D26" s="89" t="s">
        <v>40</v>
      </c>
      <c r="E26" s="89">
        <v>262</v>
      </c>
      <c r="F26" s="89">
        <v>5</v>
      </c>
      <c r="G26" s="90">
        <f t="shared" si="6"/>
        <v>1.31</v>
      </c>
      <c r="H26" s="89">
        <v>27.25</v>
      </c>
      <c r="I26" s="97">
        <v>1550</v>
      </c>
      <c r="J26" s="90">
        <f t="shared" si="7"/>
        <v>2030.5</v>
      </c>
      <c r="K26" s="88">
        <v>20221208</v>
      </c>
    </row>
    <row r="27" spans="1:13" s="34" customFormat="1" ht="25.05" customHeight="1" x14ac:dyDescent="0.25">
      <c r="A27" s="93" t="s">
        <v>41</v>
      </c>
      <c r="B27" s="93"/>
      <c r="C27" s="93"/>
      <c r="D27" s="93"/>
      <c r="E27" s="93">
        <f t="shared" ref="E27:J27" si="8">SUM(E19:E26)</f>
        <v>1714</v>
      </c>
      <c r="F27" s="93"/>
      <c r="G27" s="94">
        <f t="shared" si="8"/>
        <v>8.9499999999999993</v>
      </c>
      <c r="H27" s="93"/>
      <c r="I27" s="93"/>
      <c r="J27" s="94">
        <f t="shared" si="8"/>
        <v>13616.75</v>
      </c>
      <c r="K27" s="92"/>
    </row>
    <row r="28" spans="1:13" s="5" customFormat="1" ht="25.05" customHeight="1" x14ac:dyDescent="0.25">
      <c r="A28" s="87">
        <v>44909</v>
      </c>
      <c r="B28" s="88" t="s">
        <v>24</v>
      </c>
      <c r="C28" s="89">
        <v>30200002</v>
      </c>
      <c r="D28" s="89" t="s">
        <v>32</v>
      </c>
      <c r="E28" s="89">
        <v>171</v>
      </c>
      <c r="F28" s="89">
        <v>5</v>
      </c>
      <c r="G28" s="90">
        <f t="shared" ref="G28:G32" si="9">E28*F28/1000</f>
        <v>0.85499999999999998</v>
      </c>
      <c r="H28" s="89">
        <v>101</v>
      </c>
      <c r="I28" s="97">
        <v>1550</v>
      </c>
      <c r="J28" s="90">
        <f t="shared" ref="J28:J32" si="10">ROUND(I28*G28,2)</f>
        <v>1325.25</v>
      </c>
      <c r="K28" s="88">
        <v>20221215</v>
      </c>
    </row>
    <row r="29" spans="1:13" s="5" customFormat="1" ht="25.05" customHeight="1" x14ac:dyDescent="0.25">
      <c r="A29" s="87">
        <v>44909</v>
      </c>
      <c r="B29" s="88" t="s">
        <v>24</v>
      </c>
      <c r="C29" s="89">
        <v>30100010</v>
      </c>
      <c r="D29" s="89" t="s">
        <v>25</v>
      </c>
      <c r="E29" s="89">
        <v>194</v>
      </c>
      <c r="F29" s="89">
        <v>5</v>
      </c>
      <c r="G29" s="90">
        <f t="shared" si="9"/>
        <v>0.97</v>
      </c>
      <c r="H29" s="89">
        <v>101</v>
      </c>
      <c r="I29" s="97">
        <v>1400</v>
      </c>
      <c r="J29" s="90">
        <f t="shared" si="10"/>
        <v>1358</v>
      </c>
      <c r="K29" s="88">
        <v>20221215</v>
      </c>
    </row>
    <row r="30" spans="1:13" s="5" customFormat="1" ht="25.05" customHeight="1" x14ac:dyDescent="0.25">
      <c r="A30" s="87">
        <v>44909</v>
      </c>
      <c r="B30" s="88" t="s">
        <v>24</v>
      </c>
      <c r="C30" s="89">
        <v>30100012</v>
      </c>
      <c r="D30" s="89" t="s">
        <v>26</v>
      </c>
      <c r="E30" s="89">
        <f>45+161</f>
        <v>206</v>
      </c>
      <c r="F30" s="89">
        <v>5</v>
      </c>
      <c r="G30" s="90">
        <f t="shared" si="9"/>
        <v>1.03</v>
      </c>
      <c r="H30" s="89">
        <v>101</v>
      </c>
      <c r="I30" s="97">
        <v>1400</v>
      </c>
      <c r="J30" s="90">
        <f t="shared" si="10"/>
        <v>1442</v>
      </c>
      <c r="K30" s="100" t="s">
        <v>42</v>
      </c>
      <c r="L30" s="101"/>
      <c r="M30" s="101"/>
    </row>
    <row r="31" spans="1:13" s="5" customFormat="1" ht="25.05" customHeight="1" x14ac:dyDescent="0.25">
      <c r="A31" s="87">
        <v>44909</v>
      </c>
      <c r="B31" s="88" t="s">
        <v>24</v>
      </c>
      <c r="C31" s="89">
        <v>30100013</v>
      </c>
      <c r="D31" s="89" t="s">
        <v>27</v>
      </c>
      <c r="E31" s="89">
        <v>100</v>
      </c>
      <c r="F31" s="89">
        <v>5</v>
      </c>
      <c r="G31" s="90">
        <f t="shared" si="9"/>
        <v>0.5</v>
      </c>
      <c r="H31" s="89">
        <v>101</v>
      </c>
      <c r="I31" s="97">
        <v>1400</v>
      </c>
      <c r="J31" s="90">
        <f t="shared" si="10"/>
        <v>700</v>
      </c>
      <c r="K31" s="88">
        <v>20221215</v>
      </c>
    </row>
    <row r="32" spans="1:13" s="5" customFormat="1" ht="25.05" customHeight="1" x14ac:dyDescent="0.25">
      <c r="A32" s="87">
        <v>44909</v>
      </c>
      <c r="B32" s="88" t="s">
        <v>24</v>
      </c>
      <c r="C32" s="89">
        <v>30100014</v>
      </c>
      <c r="D32" s="89" t="s">
        <v>28</v>
      </c>
      <c r="E32" s="89">
        <v>129</v>
      </c>
      <c r="F32" s="89">
        <v>5</v>
      </c>
      <c r="G32" s="90">
        <f t="shared" si="9"/>
        <v>0.64500000000000002</v>
      </c>
      <c r="H32" s="89">
        <v>101</v>
      </c>
      <c r="I32" s="97">
        <v>1400</v>
      </c>
      <c r="J32" s="90">
        <f t="shared" si="10"/>
        <v>903</v>
      </c>
      <c r="K32" s="88">
        <v>20221215</v>
      </c>
    </row>
    <row r="33" spans="1:11" s="34" customFormat="1" ht="25.05" customHeight="1" x14ac:dyDescent="0.25">
      <c r="A33" s="91" t="s">
        <v>43</v>
      </c>
      <c r="B33" s="92" t="s">
        <v>24</v>
      </c>
      <c r="C33" s="93"/>
      <c r="D33" s="93"/>
      <c r="E33" s="93">
        <f t="shared" ref="E33:J33" si="11">SUM(E28:E32)</f>
        <v>800</v>
      </c>
      <c r="F33" s="93"/>
      <c r="G33" s="94">
        <f t="shared" si="11"/>
        <v>4</v>
      </c>
      <c r="H33" s="93"/>
      <c r="I33" s="93"/>
      <c r="J33" s="94">
        <f t="shared" si="11"/>
        <v>5728.25</v>
      </c>
      <c r="K33" s="92"/>
    </row>
    <row r="34" spans="1:11" s="5" customFormat="1" ht="25.05" customHeight="1" x14ac:dyDescent="0.25">
      <c r="A34" s="87">
        <v>44910</v>
      </c>
      <c r="B34" s="88" t="s">
        <v>24</v>
      </c>
      <c r="C34" s="89">
        <v>30200002</v>
      </c>
      <c r="D34" s="89" t="s">
        <v>32</v>
      </c>
      <c r="E34" s="89">
        <v>950</v>
      </c>
      <c r="F34" s="89">
        <v>5</v>
      </c>
      <c r="G34" s="90">
        <f t="shared" ref="G34:G39" si="12">E34*F34/1000</f>
        <v>4.75</v>
      </c>
      <c r="H34" s="89">
        <v>101</v>
      </c>
      <c r="I34" s="97">
        <v>1550</v>
      </c>
      <c r="J34" s="90">
        <f t="shared" ref="J34:J39" si="13">ROUND(I34*G34,2)</f>
        <v>7362.5</v>
      </c>
      <c r="K34" s="88">
        <v>20221215</v>
      </c>
    </row>
    <row r="35" spans="1:11" s="5" customFormat="1" ht="25.05" customHeight="1" x14ac:dyDescent="0.25">
      <c r="A35" s="87">
        <v>44910</v>
      </c>
      <c r="B35" s="88" t="s">
        <v>24</v>
      </c>
      <c r="C35" s="89">
        <v>30100010</v>
      </c>
      <c r="D35" s="89" t="s">
        <v>25</v>
      </c>
      <c r="E35" s="89">
        <v>201</v>
      </c>
      <c r="F35" s="89">
        <v>5</v>
      </c>
      <c r="G35" s="90">
        <f t="shared" si="12"/>
        <v>1.0049999999999999</v>
      </c>
      <c r="H35" s="89">
        <v>101</v>
      </c>
      <c r="I35" s="97">
        <v>1400</v>
      </c>
      <c r="J35" s="90">
        <f t="shared" si="13"/>
        <v>1407</v>
      </c>
      <c r="K35" s="88">
        <v>20221215</v>
      </c>
    </row>
    <row r="36" spans="1:11" s="5" customFormat="1" ht="25.05" customHeight="1" x14ac:dyDescent="0.25">
      <c r="A36" s="87">
        <v>44910</v>
      </c>
      <c r="B36" s="88" t="s">
        <v>24</v>
      </c>
      <c r="C36" s="89">
        <v>30100012</v>
      </c>
      <c r="D36" s="89" t="s">
        <v>26</v>
      </c>
      <c r="E36" s="89">
        <v>359</v>
      </c>
      <c r="F36" s="89">
        <v>5</v>
      </c>
      <c r="G36" s="90">
        <f t="shared" si="12"/>
        <v>1.7949999999999999</v>
      </c>
      <c r="H36" s="89">
        <v>101</v>
      </c>
      <c r="I36" s="97">
        <v>1400</v>
      </c>
      <c r="J36" s="90">
        <f t="shared" si="13"/>
        <v>2513</v>
      </c>
      <c r="K36" s="88">
        <v>20221215</v>
      </c>
    </row>
    <row r="37" spans="1:11" s="5" customFormat="1" ht="25.05" customHeight="1" x14ac:dyDescent="0.25">
      <c r="A37" s="87">
        <v>44910</v>
      </c>
      <c r="B37" s="88" t="s">
        <v>24</v>
      </c>
      <c r="C37" s="89">
        <v>30100013</v>
      </c>
      <c r="D37" s="89" t="s">
        <v>27</v>
      </c>
      <c r="E37" s="89">
        <v>100</v>
      </c>
      <c r="F37" s="89">
        <v>5</v>
      </c>
      <c r="G37" s="90">
        <f t="shared" si="12"/>
        <v>0.5</v>
      </c>
      <c r="H37" s="89">
        <v>101</v>
      </c>
      <c r="I37" s="97">
        <v>1400</v>
      </c>
      <c r="J37" s="90">
        <f t="shared" si="13"/>
        <v>700</v>
      </c>
      <c r="K37" s="88">
        <v>20221215</v>
      </c>
    </row>
    <row r="38" spans="1:11" s="5" customFormat="1" ht="25.05" customHeight="1" x14ac:dyDescent="0.25">
      <c r="A38" s="87">
        <v>44910</v>
      </c>
      <c r="B38" s="88" t="s">
        <v>24</v>
      </c>
      <c r="C38" s="89">
        <v>30100014</v>
      </c>
      <c r="D38" s="89" t="s">
        <v>28</v>
      </c>
      <c r="E38" s="89">
        <v>259</v>
      </c>
      <c r="F38" s="89">
        <v>5</v>
      </c>
      <c r="G38" s="90">
        <f t="shared" si="12"/>
        <v>1.2949999999999999</v>
      </c>
      <c r="H38" s="89">
        <v>101</v>
      </c>
      <c r="I38" s="97">
        <v>1400</v>
      </c>
      <c r="J38" s="90">
        <f t="shared" si="13"/>
        <v>1813</v>
      </c>
      <c r="K38" s="88">
        <v>20221215</v>
      </c>
    </row>
    <row r="39" spans="1:11" s="5" customFormat="1" ht="25.05" customHeight="1" x14ac:dyDescent="0.25">
      <c r="A39" s="87">
        <v>44910</v>
      </c>
      <c r="B39" s="88" t="s">
        <v>24</v>
      </c>
      <c r="C39" s="89">
        <v>30700017</v>
      </c>
      <c r="D39" s="89" t="s">
        <v>36</v>
      </c>
      <c r="E39" s="89">
        <v>259</v>
      </c>
      <c r="F39" s="89">
        <f>370*12/1000</f>
        <v>4.4400000000000004</v>
      </c>
      <c r="G39" s="90">
        <f t="shared" si="12"/>
        <v>1.1499600000000001</v>
      </c>
      <c r="H39" s="89">
        <v>101</v>
      </c>
      <c r="I39" s="97">
        <v>1550</v>
      </c>
      <c r="J39" s="90">
        <f t="shared" si="13"/>
        <v>1782.44</v>
      </c>
      <c r="K39" s="100" t="s">
        <v>44</v>
      </c>
    </row>
    <row r="40" spans="1:11" s="34" customFormat="1" ht="25.05" customHeight="1" x14ac:dyDescent="0.25">
      <c r="A40" s="91" t="s">
        <v>45</v>
      </c>
      <c r="B40" s="92" t="s">
        <v>24</v>
      </c>
      <c r="C40" s="93"/>
      <c r="D40" s="93"/>
      <c r="E40" s="93">
        <f t="shared" ref="E40:J40" si="14">SUM(E34:E39)</f>
        <v>2128</v>
      </c>
      <c r="F40" s="93"/>
      <c r="G40" s="94">
        <f t="shared" si="14"/>
        <v>10.494960000000001</v>
      </c>
      <c r="H40" s="93"/>
      <c r="I40" s="93"/>
      <c r="J40" s="94">
        <f t="shared" si="14"/>
        <v>15577.94</v>
      </c>
      <c r="K40" s="92"/>
    </row>
    <row r="41" spans="1:11" s="34" customFormat="1" ht="25.05" customHeight="1" x14ac:dyDescent="0.25">
      <c r="A41" s="91"/>
      <c r="B41" s="92"/>
      <c r="C41" s="93"/>
      <c r="D41" s="93" t="s">
        <v>84</v>
      </c>
      <c r="E41" s="93">
        <f>E7+E18+E27+E33+E40</f>
        <v>10629</v>
      </c>
      <c r="F41" s="93"/>
      <c r="G41" s="94">
        <f>G7+G18+G27+G33+G40</f>
        <v>54.042359999999995</v>
      </c>
      <c r="H41" s="93"/>
      <c r="I41" s="93"/>
      <c r="J41" s="94">
        <f>J7+J18+J27+J33+J40</f>
        <v>79421.66</v>
      </c>
      <c r="K41" s="92"/>
    </row>
    <row r="42" spans="1:11" s="34" customFormat="1" ht="25.05" customHeight="1" x14ac:dyDescent="0.25">
      <c r="A42" s="91"/>
      <c r="B42" s="92"/>
      <c r="C42" s="93"/>
      <c r="D42" s="93" t="s">
        <v>85</v>
      </c>
      <c r="E42" s="93"/>
      <c r="F42" s="93"/>
      <c r="G42" s="94"/>
      <c r="H42" s="93"/>
      <c r="I42" s="93"/>
      <c r="J42" s="94">
        <f>J41*0.3</f>
        <v>23826.498</v>
      </c>
      <c r="K42" s="92"/>
    </row>
    <row r="43" spans="1:11" s="34" customFormat="1" ht="25.05" customHeight="1" x14ac:dyDescent="0.25">
      <c r="A43" s="91"/>
      <c r="B43" s="92"/>
      <c r="C43" s="93"/>
      <c r="D43" s="93" t="s">
        <v>86</v>
      </c>
      <c r="E43" s="93"/>
      <c r="F43" s="93"/>
      <c r="G43" s="94"/>
      <c r="H43" s="93"/>
      <c r="I43" s="93"/>
      <c r="J43" s="94">
        <f>J41-J42</f>
        <v>55595.162000000004</v>
      </c>
      <c r="K43" s="92"/>
    </row>
  </sheetData>
  <autoFilter ref="A1:K43" xr:uid="{00000000-0009-0000-0000-000004000000}"/>
  <phoneticPr fontId="34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1"/>
  <sheetViews>
    <sheetView workbookViewId="0">
      <pane xSplit="3" ySplit="2" topLeftCell="D14" activePane="bottomRight" state="frozen"/>
      <selection pane="topRight"/>
      <selection pane="bottomLeft"/>
      <selection pane="bottomRight" activeCell="B9" sqref="B9"/>
    </sheetView>
  </sheetViews>
  <sheetFormatPr defaultColWidth="9" defaultRowHeight="14.4" x14ac:dyDescent="0.25"/>
  <cols>
    <col min="6" max="6" width="12.88671875" customWidth="1"/>
    <col min="7" max="7" width="18.21875" customWidth="1"/>
    <col min="8" max="8" width="14" customWidth="1"/>
    <col min="9" max="9" width="12.33203125" customWidth="1"/>
    <col min="10" max="10" width="9" style="1"/>
    <col min="12" max="12" width="9" style="2"/>
    <col min="16" max="19" width="9" style="1"/>
    <col min="20" max="20" width="9" style="3"/>
    <col min="22" max="22" width="11.109375" style="4"/>
    <col min="23" max="23" width="12.6640625"/>
  </cols>
  <sheetData>
    <row r="1" spans="1:23" ht="25.2" x14ac:dyDescent="0.25">
      <c r="A1" s="146" t="s">
        <v>0</v>
      </c>
      <c r="B1" s="5"/>
      <c r="C1" s="148" t="s">
        <v>87</v>
      </c>
      <c r="D1" s="148" t="s">
        <v>88</v>
      </c>
      <c r="E1" s="155" t="s">
        <v>89</v>
      </c>
      <c r="F1" s="6" t="s">
        <v>90</v>
      </c>
      <c r="G1" s="7" t="s">
        <v>91</v>
      </c>
      <c r="H1" s="8" t="s">
        <v>92</v>
      </c>
      <c r="I1" s="8" t="s">
        <v>93</v>
      </c>
      <c r="J1" s="51" t="s">
        <v>94</v>
      </c>
      <c r="K1" s="8" t="s">
        <v>62</v>
      </c>
      <c r="L1" s="52" t="s">
        <v>95</v>
      </c>
      <c r="M1" s="53" t="s">
        <v>96</v>
      </c>
      <c r="N1" s="53" t="s">
        <v>65</v>
      </c>
      <c r="O1" s="53" t="s">
        <v>97</v>
      </c>
      <c r="P1" s="54" t="s">
        <v>98</v>
      </c>
      <c r="Q1" s="51" t="s">
        <v>99</v>
      </c>
      <c r="R1" s="63" t="s">
        <v>100</v>
      </c>
      <c r="S1" s="63" t="s">
        <v>101</v>
      </c>
      <c r="T1" s="64" t="s">
        <v>56</v>
      </c>
      <c r="U1" s="65" t="s">
        <v>102</v>
      </c>
      <c r="V1" s="66" t="s">
        <v>103</v>
      </c>
      <c r="W1" t="s">
        <v>22</v>
      </c>
    </row>
    <row r="2" spans="1:23" x14ac:dyDescent="0.25">
      <c r="A2" s="147"/>
      <c r="B2" s="5" t="s">
        <v>104</v>
      </c>
      <c r="C2" s="149"/>
      <c r="D2" s="154"/>
      <c r="E2" s="156"/>
      <c r="F2" s="13" t="s">
        <v>105</v>
      </c>
      <c r="G2" s="14" t="s">
        <v>106</v>
      </c>
      <c r="H2" s="14" t="s">
        <v>107</v>
      </c>
      <c r="I2" s="14" t="s">
        <v>106</v>
      </c>
      <c r="J2" s="55" t="s">
        <v>108</v>
      </c>
      <c r="K2" s="14" t="s">
        <v>108</v>
      </c>
      <c r="L2" s="56" t="s">
        <v>108</v>
      </c>
      <c r="M2" s="14" t="s">
        <v>108</v>
      </c>
      <c r="N2" s="14" t="s">
        <v>108</v>
      </c>
      <c r="O2" s="14" t="s">
        <v>108</v>
      </c>
      <c r="P2" s="55" t="s">
        <v>108</v>
      </c>
      <c r="Q2" s="55" t="s">
        <v>108</v>
      </c>
      <c r="R2" s="55" t="s">
        <v>108</v>
      </c>
      <c r="S2" s="55" t="s">
        <v>108</v>
      </c>
      <c r="T2" s="67"/>
      <c r="U2" s="68"/>
      <c r="V2" s="66"/>
    </row>
    <row r="3" spans="1:23" ht="49.2" x14ac:dyDescent="0.25">
      <c r="A3" s="15">
        <v>1</v>
      </c>
      <c r="B3" s="5">
        <v>30100010</v>
      </c>
      <c r="C3" s="16" t="s">
        <v>109</v>
      </c>
      <c r="D3" s="17" t="s">
        <v>110</v>
      </c>
      <c r="E3" s="18"/>
      <c r="F3" s="19">
        <v>1350</v>
      </c>
      <c r="G3" s="20">
        <v>7</v>
      </c>
      <c r="H3" s="20">
        <v>7.94368782680412</v>
      </c>
      <c r="I3" s="20">
        <v>3.83080808080808</v>
      </c>
      <c r="J3" s="40">
        <v>2.1011047979797999</v>
      </c>
      <c r="K3" s="20">
        <v>1.75</v>
      </c>
      <c r="L3" s="57">
        <v>0.1</v>
      </c>
      <c r="M3" s="20"/>
      <c r="N3" s="20"/>
      <c r="O3" s="20"/>
      <c r="P3" s="40"/>
      <c r="Q3" s="40"/>
      <c r="R3" s="40"/>
      <c r="S3" s="40"/>
      <c r="T3" s="69">
        <f t="shared" ref="T3:T39" si="0">G3+H3+I3+J3+K3+L3+M3+N3+O3+P3+Q3+R3+S3+0.2</f>
        <v>22.925600705592</v>
      </c>
      <c r="U3" s="68"/>
      <c r="V3" s="66">
        <f t="shared" ref="V3:V39" si="1">T3-J3-L3-P3-Q3-R3-S3</f>
        <v>20.724495907612198</v>
      </c>
      <c r="W3">
        <f>G3+I3+K3+N3+O3</f>
        <v>12.58080808080808</v>
      </c>
    </row>
    <row r="4" spans="1:23" x14ac:dyDescent="0.25">
      <c r="A4" s="9">
        <v>2</v>
      </c>
      <c r="B4" s="5">
        <v>30100012</v>
      </c>
      <c r="C4" s="10"/>
      <c r="D4" s="11"/>
      <c r="E4" s="12"/>
      <c r="F4" s="13"/>
      <c r="G4" s="20">
        <v>7</v>
      </c>
      <c r="H4" s="20">
        <v>7.94368782680412</v>
      </c>
      <c r="I4" s="20">
        <v>3.83080808080808</v>
      </c>
      <c r="J4" s="40">
        <v>2.1011047979797999</v>
      </c>
      <c r="K4" s="20">
        <v>1.75</v>
      </c>
      <c r="L4" s="57">
        <v>0.1</v>
      </c>
      <c r="M4" s="20"/>
      <c r="N4" s="20"/>
      <c r="O4" s="20"/>
      <c r="P4" s="40"/>
      <c r="Q4" s="40"/>
      <c r="R4" s="40"/>
      <c r="S4" s="40"/>
      <c r="T4" s="67">
        <f t="shared" si="0"/>
        <v>22.925600705592</v>
      </c>
      <c r="U4" s="68"/>
      <c r="V4" s="66">
        <f t="shared" si="1"/>
        <v>20.724495907612198</v>
      </c>
      <c r="W4">
        <f t="shared" ref="W4:W39" si="2">G4+I4+K4+N4+O4</f>
        <v>12.58080808080808</v>
      </c>
    </row>
    <row r="5" spans="1:23" x14ac:dyDescent="0.25">
      <c r="A5" s="9">
        <v>3</v>
      </c>
      <c r="B5" s="5">
        <v>30100013</v>
      </c>
      <c r="C5" s="10"/>
      <c r="D5" s="11"/>
      <c r="E5" s="12"/>
      <c r="F5" s="13"/>
      <c r="G5" s="20">
        <v>7</v>
      </c>
      <c r="H5" s="20">
        <v>7.94368782680412</v>
      </c>
      <c r="I5" s="20">
        <v>3.83080808080808</v>
      </c>
      <c r="J5" s="40">
        <v>2.1011047979797999</v>
      </c>
      <c r="K5" s="20">
        <v>1.75</v>
      </c>
      <c r="L5" s="57">
        <v>0.1</v>
      </c>
      <c r="M5" s="20"/>
      <c r="N5" s="20"/>
      <c r="O5" s="20"/>
      <c r="P5" s="40"/>
      <c r="Q5" s="40"/>
      <c r="R5" s="40"/>
      <c r="S5" s="40"/>
      <c r="T5" s="67">
        <f t="shared" si="0"/>
        <v>22.925600705592</v>
      </c>
      <c r="U5" s="68"/>
      <c r="V5" s="66">
        <f t="shared" si="1"/>
        <v>20.724495907612198</v>
      </c>
      <c r="W5">
        <f t="shared" si="2"/>
        <v>12.58080808080808</v>
      </c>
    </row>
    <row r="6" spans="1:23" x14ac:dyDescent="0.25">
      <c r="A6" s="9">
        <v>4</v>
      </c>
      <c r="B6" s="5">
        <v>30100014</v>
      </c>
      <c r="C6" s="10"/>
      <c r="D6" s="11"/>
      <c r="E6" s="12"/>
      <c r="F6" s="13"/>
      <c r="G6" s="20">
        <v>7</v>
      </c>
      <c r="H6" s="20">
        <v>7.94368782680412</v>
      </c>
      <c r="I6" s="20">
        <v>3.83080808080808</v>
      </c>
      <c r="J6" s="40">
        <v>2.1011047979797999</v>
      </c>
      <c r="K6" s="20">
        <v>1.75</v>
      </c>
      <c r="L6" s="57">
        <v>0.1</v>
      </c>
      <c r="M6" s="20"/>
      <c r="N6" s="20"/>
      <c r="O6" s="20"/>
      <c r="P6" s="40"/>
      <c r="Q6" s="40"/>
      <c r="R6" s="40"/>
      <c r="S6" s="40"/>
      <c r="T6" s="67">
        <f t="shared" si="0"/>
        <v>22.925600705592</v>
      </c>
      <c r="U6" s="68"/>
      <c r="V6" s="66">
        <f t="shared" si="1"/>
        <v>20.724495907612198</v>
      </c>
      <c r="W6">
        <f t="shared" si="2"/>
        <v>12.58080808080808</v>
      </c>
    </row>
    <row r="7" spans="1:23" ht="25.2" x14ac:dyDescent="0.25">
      <c r="A7" s="15">
        <v>5</v>
      </c>
      <c r="B7" s="5">
        <v>30100030</v>
      </c>
      <c r="C7" s="16" t="s">
        <v>111</v>
      </c>
      <c r="D7" s="21"/>
      <c r="E7" s="18" t="s">
        <v>112</v>
      </c>
      <c r="F7" s="19">
        <v>1450</v>
      </c>
      <c r="G7" s="20">
        <v>7.75</v>
      </c>
      <c r="H7" s="20">
        <v>13.024394484807701</v>
      </c>
      <c r="I7" s="20">
        <v>3.1363636363636398</v>
      </c>
      <c r="J7" s="40">
        <v>1.48414718614719</v>
      </c>
      <c r="K7" s="20">
        <v>1.9</v>
      </c>
      <c r="L7" s="57">
        <v>0.1</v>
      </c>
      <c r="M7" s="20">
        <v>0</v>
      </c>
      <c r="N7" s="20"/>
      <c r="O7" s="20"/>
      <c r="P7" s="40"/>
      <c r="Q7" s="40"/>
      <c r="R7" s="40"/>
      <c r="S7" s="40"/>
      <c r="T7" s="69">
        <f t="shared" si="0"/>
        <v>27.59490530731853</v>
      </c>
      <c r="U7" s="68"/>
      <c r="V7" s="66">
        <f t="shared" si="1"/>
        <v>26.010758121171339</v>
      </c>
      <c r="W7">
        <f t="shared" si="2"/>
        <v>12.786363636363641</v>
      </c>
    </row>
    <row r="8" spans="1:23" ht="25.2" x14ac:dyDescent="0.25">
      <c r="A8" s="15">
        <v>6</v>
      </c>
      <c r="B8" s="5">
        <v>30101119</v>
      </c>
      <c r="C8" s="16" t="s">
        <v>113</v>
      </c>
      <c r="D8" s="21"/>
      <c r="E8" s="18" t="s">
        <v>112</v>
      </c>
      <c r="F8" s="19">
        <v>1450</v>
      </c>
      <c r="G8" s="20">
        <v>7.75</v>
      </c>
      <c r="H8" s="20">
        <v>13.1818523669759</v>
      </c>
      <c r="I8" s="20">
        <v>3.1363636363636398</v>
      </c>
      <c r="J8" s="40">
        <v>1.48414718614719</v>
      </c>
      <c r="K8" s="20">
        <v>1.9</v>
      </c>
      <c r="L8" s="57">
        <v>0.1</v>
      </c>
      <c r="M8" s="20">
        <v>0</v>
      </c>
      <c r="N8" s="20"/>
      <c r="O8" s="20"/>
      <c r="P8" s="40"/>
      <c r="Q8" s="40"/>
      <c r="R8" s="40"/>
      <c r="S8" s="40"/>
      <c r="T8" s="69">
        <f t="shared" si="0"/>
        <v>27.752363189486729</v>
      </c>
      <c r="U8" s="68"/>
      <c r="V8" s="66">
        <f t="shared" si="1"/>
        <v>26.168216003339538</v>
      </c>
      <c r="W8">
        <f t="shared" si="2"/>
        <v>12.786363636363641</v>
      </c>
    </row>
    <row r="9" spans="1:23" x14ac:dyDescent="0.25">
      <c r="A9" s="15">
        <v>7</v>
      </c>
      <c r="B9" s="5">
        <v>30100048</v>
      </c>
      <c r="C9" s="150" t="s">
        <v>114</v>
      </c>
      <c r="D9" s="17" t="s">
        <v>115</v>
      </c>
      <c r="E9" s="18" t="s">
        <v>112</v>
      </c>
      <c r="F9" s="19">
        <v>1450</v>
      </c>
      <c r="G9" s="20">
        <v>7.75</v>
      </c>
      <c r="H9" s="20">
        <v>11.6905707360135</v>
      </c>
      <c r="I9" s="20">
        <v>3.3292929292929299</v>
      </c>
      <c r="J9" s="40">
        <v>1.7276949494949501</v>
      </c>
      <c r="K9" s="20">
        <v>1.9</v>
      </c>
      <c r="L9" s="57">
        <v>0.1</v>
      </c>
      <c r="M9" s="20"/>
      <c r="N9" s="20"/>
      <c r="O9" s="20"/>
      <c r="P9" s="40"/>
      <c r="Q9" s="40"/>
      <c r="R9" s="40"/>
      <c r="S9" s="40"/>
      <c r="T9" s="69">
        <f t="shared" si="0"/>
        <v>26.697558614801377</v>
      </c>
      <c r="U9" s="68"/>
      <c r="V9" s="66">
        <f t="shared" si="1"/>
        <v>24.869863665306426</v>
      </c>
      <c r="W9">
        <f t="shared" si="2"/>
        <v>12.97929292929293</v>
      </c>
    </row>
    <row r="10" spans="1:23" x14ac:dyDescent="0.25">
      <c r="A10" s="15">
        <v>8</v>
      </c>
      <c r="B10" s="5">
        <v>30100047</v>
      </c>
      <c r="C10" s="150"/>
      <c r="D10" s="17" t="s">
        <v>116</v>
      </c>
      <c r="E10" s="18" t="s">
        <v>112</v>
      </c>
      <c r="F10" s="19">
        <v>1450</v>
      </c>
      <c r="G10" s="20">
        <v>7.75</v>
      </c>
      <c r="H10" s="20">
        <v>16.054478188166399</v>
      </c>
      <c r="I10" s="20">
        <v>3.3292929292929299</v>
      </c>
      <c r="J10" s="40">
        <v>1.7276949494949501</v>
      </c>
      <c r="K10" s="20">
        <v>1.9</v>
      </c>
      <c r="L10" s="57">
        <v>0.1</v>
      </c>
      <c r="M10" s="20"/>
      <c r="N10" s="20"/>
      <c r="O10" s="20"/>
      <c r="P10" s="40"/>
      <c r="Q10" s="40"/>
      <c r="R10" s="40"/>
      <c r="S10" s="40"/>
      <c r="T10" s="69">
        <f t="shared" si="0"/>
        <v>31.061466066954278</v>
      </c>
      <c r="U10" s="68"/>
      <c r="V10" s="66">
        <f t="shared" si="1"/>
        <v>29.233771117459327</v>
      </c>
      <c r="W10">
        <f t="shared" si="2"/>
        <v>12.97929292929293</v>
      </c>
    </row>
    <row r="11" spans="1:23" x14ac:dyDescent="0.25">
      <c r="A11" s="15">
        <v>9</v>
      </c>
      <c r="B11" s="5">
        <v>30100064</v>
      </c>
      <c r="C11" s="150"/>
      <c r="D11" s="17" t="s">
        <v>117</v>
      </c>
      <c r="E11" s="18" t="s">
        <v>112</v>
      </c>
      <c r="F11" s="19">
        <v>1450</v>
      </c>
      <c r="G11" s="20">
        <v>7.75</v>
      </c>
      <c r="H11" s="20">
        <v>7.9113180037150403</v>
      </c>
      <c r="I11" s="20">
        <v>3.3292929292929299</v>
      </c>
      <c r="J11" s="40">
        <v>1.7276949494949501</v>
      </c>
      <c r="K11" s="20">
        <v>1.9</v>
      </c>
      <c r="L11" s="57">
        <v>0.1</v>
      </c>
      <c r="M11" s="20"/>
      <c r="N11" s="20"/>
      <c r="O11" s="20"/>
      <c r="P11" s="40"/>
      <c r="Q11" s="40"/>
      <c r="R11" s="40"/>
      <c r="S11" s="40"/>
      <c r="T11" s="69">
        <f t="shared" si="0"/>
        <v>22.918305882502921</v>
      </c>
      <c r="U11" s="70"/>
      <c r="V11" s="66">
        <f t="shared" si="1"/>
        <v>21.090610933007969</v>
      </c>
      <c r="W11">
        <f t="shared" si="2"/>
        <v>12.97929292929293</v>
      </c>
    </row>
    <row r="12" spans="1:23" ht="84" x14ac:dyDescent="0.25">
      <c r="A12" s="22">
        <v>10</v>
      </c>
      <c r="B12" s="23">
        <v>30200006</v>
      </c>
      <c r="C12" s="151" t="s">
        <v>118</v>
      </c>
      <c r="D12" s="25" t="s">
        <v>119</v>
      </c>
      <c r="E12" s="26" t="s">
        <v>112</v>
      </c>
      <c r="F12" s="27">
        <v>1450</v>
      </c>
      <c r="G12" s="28">
        <v>7.75</v>
      </c>
      <c r="H12" s="28">
        <v>18.652004449765599</v>
      </c>
      <c r="I12" s="28">
        <v>2.47272727272727</v>
      </c>
      <c r="J12" s="40">
        <v>1.3217575757575799</v>
      </c>
      <c r="K12" s="28">
        <v>2.2999999999999998</v>
      </c>
      <c r="L12" s="57">
        <v>0.1</v>
      </c>
      <c r="M12" s="28">
        <v>7.0707070707070704E-2</v>
      </c>
      <c r="N12" s="28">
        <v>0.42424242424242398</v>
      </c>
      <c r="O12" s="28"/>
      <c r="P12" s="40"/>
      <c r="Q12" s="40"/>
      <c r="R12" s="40"/>
      <c r="S12" s="40"/>
      <c r="T12" s="71">
        <f t="shared" si="0"/>
        <v>33.291438793199944</v>
      </c>
      <c r="U12" s="72" t="s">
        <v>120</v>
      </c>
      <c r="V12" s="66">
        <f t="shared" si="1"/>
        <v>31.869681217442363</v>
      </c>
      <c r="W12">
        <f t="shared" si="2"/>
        <v>12.946969696969694</v>
      </c>
    </row>
    <row r="13" spans="1:23" ht="72" x14ac:dyDescent="0.25">
      <c r="A13" s="22">
        <v>11</v>
      </c>
      <c r="B13" s="23">
        <v>30200005</v>
      </c>
      <c r="C13" s="151"/>
      <c r="D13" s="25" t="s">
        <v>121</v>
      </c>
      <c r="E13" s="26" t="s">
        <v>112</v>
      </c>
      <c r="F13" s="27">
        <v>1450</v>
      </c>
      <c r="G13" s="28">
        <v>7.75</v>
      </c>
      <c r="H13" s="28">
        <v>22.486144416404301</v>
      </c>
      <c r="I13" s="28">
        <v>2.47272727272727</v>
      </c>
      <c r="J13" s="40">
        <v>1.3217575757575799</v>
      </c>
      <c r="K13" s="28">
        <v>2.2999999999999998</v>
      </c>
      <c r="L13" s="57">
        <v>0.1</v>
      </c>
      <c r="M13" s="28">
        <v>7.0707070707070704E-2</v>
      </c>
      <c r="N13" s="28">
        <v>0.42424242424242398</v>
      </c>
      <c r="O13" s="28"/>
      <c r="P13" s="40"/>
      <c r="Q13" s="40"/>
      <c r="R13" s="40"/>
      <c r="S13" s="40"/>
      <c r="T13" s="71">
        <f t="shared" si="0"/>
        <v>37.125578759838646</v>
      </c>
      <c r="U13" s="72" t="s">
        <v>122</v>
      </c>
      <c r="V13" s="66">
        <f t="shared" si="1"/>
        <v>35.703821184081065</v>
      </c>
      <c r="W13">
        <f t="shared" si="2"/>
        <v>12.946969696969694</v>
      </c>
    </row>
    <row r="14" spans="1:23" ht="60" x14ac:dyDescent="0.25">
      <c r="A14" s="22">
        <v>12</v>
      </c>
      <c r="B14" s="23">
        <v>30200001</v>
      </c>
      <c r="C14" s="24" t="s">
        <v>123</v>
      </c>
      <c r="D14" s="25" t="s">
        <v>119</v>
      </c>
      <c r="E14" s="26" t="s">
        <v>112</v>
      </c>
      <c r="F14" s="27">
        <v>1450</v>
      </c>
      <c r="G14" s="28">
        <v>7.75</v>
      </c>
      <c r="H14" s="28">
        <v>15.397908234459599</v>
      </c>
      <c r="I14" s="28">
        <v>4.3816326530612297</v>
      </c>
      <c r="J14" s="40">
        <v>1.0463914141414099</v>
      </c>
      <c r="K14" s="28">
        <v>2.2999999999999998</v>
      </c>
      <c r="L14" s="57">
        <v>0.1</v>
      </c>
      <c r="M14" s="28">
        <v>7.0707070707070704E-2</v>
      </c>
      <c r="N14" s="28">
        <v>0.42424242424242398</v>
      </c>
      <c r="O14" s="28"/>
      <c r="P14" s="40"/>
      <c r="Q14" s="40"/>
      <c r="R14" s="40"/>
      <c r="S14" s="40"/>
      <c r="T14" s="71">
        <f t="shared" si="0"/>
        <v>31.670881796611738</v>
      </c>
      <c r="U14" s="72" t="s">
        <v>124</v>
      </c>
      <c r="V14" s="66">
        <f t="shared" si="1"/>
        <v>30.524490382470326</v>
      </c>
      <c r="W14">
        <f t="shared" si="2"/>
        <v>14.855875077303653</v>
      </c>
    </row>
    <row r="15" spans="1:23" ht="84" x14ac:dyDescent="0.25">
      <c r="A15" s="22">
        <v>13</v>
      </c>
      <c r="B15" s="23"/>
      <c r="C15" s="151" t="s">
        <v>125</v>
      </c>
      <c r="D15" s="25" t="s">
        <v>119</v>
      </c>
      <c r="E15" s="26" t="s">
        <v>112</v>
      </c>
      <c r="F15" s="27">
        <v>1450</v>
      </c>
      <c r="G15" s="28">
        <v>7.75</v>
      </c>
      <c r="H15" s="28">
        <v>18.472870427626901</v>
      </c>
      <c r="I15" s="28">
        <v>3.0202020202020199</v>
      </c>
      <c r="J15" s="40">
        <v>2.1011047979797999</v>
      </c>
      <c r="K15" s="28">
        <v>2.2999999999999998</v>
      </c>
      <c r="L15" s="57">
        <v>0.1</v>
      </c>
      <c r="M15" s="28">
        <v>0.1</v>
      </c>
      <c r="N15" s="28">
        <v>0.84848484848484895</v>
      </c>
      <c r="O15" s="28"/>
      <c r="P15" s="40"/>
      <c r="Q15" s="40"/>
      <c r="R15" s="40"/>
      <c r="S15" s="40"/>
      <c r="T15" s="71">
        <f t="shared" si="0"/>
        <v>34.892662094293577</v>
      </c>
      <c r="U15" s="72" t="s">
        <v>126</v>
      </c>
      <c r="V15" s="66">
        <f t="shared" si="1"/>
        <v>32.691557296313775</v>
      </c>
      <c r="W15">
        <f t="shared" si="2"/>
        <v>13.918686868686871</v>
      </c>
    </row>
    <row r="16" spans="1:23" ht="72" x14ac:dyDescent="0.25">
      <c r="A16" s="22">
        <v>14</v>
      </c>
      <c r="B16" s="23"/>
      <c r="C16" s="151"/>
      <c r="D16" s="25" t="s">
        <v>121</v>
      </c>
      <c r="E16" s="26" t="s">
        <v>112</v>
      </c>
      <c r="F16" s="27">
        <v>1450</v>
      </c>
      <c r="G16" s="28">
        <v>7.75</v>
      </c>
      <c r="H16" s="28">
        <v>15.6037755100886</v>
      </c>
      <c r="I16" s="28">
        <v>3.0202020202020199</v>
      </c>
      <c r="J16" s="40">
        <v>2.1011047979797999</v>
      </c>
      <c r="K16" s="28">
        <v>2.2999999999999998</v>
      </c>
      <c r="L16" s="57">
        <v>0.1</v>
      </c>
      <c r="M16" s="28">
        <v>0.1</v>
      </c>
      <c r="N16" s="28">
        <v>0.84848484848484895</v>
      </c>
      <c r="O16" s="28"/>
      <c r="P16" s="40"/>
      <c r="Q16" s="40"/>
      <c r="R16" s="40"/>
      <c r="S16" s="40"/>
      <c r="T16" s="71">
        <f t="shared" si="0"/>
        <v>32.023567176755272</v>
      </c>
      <c r="U16" s="72" t="s">
        <v>127</v>
      </c>
      <c r="V16" s="66">
        <f t="shared" si="1"/>
        <v>29.822462378775469</v>
      </c>
      <c r="W16">
        <f t="shared" si="2"/>
        <v>13.918686868686871</v>
      </c>
    </row>
    <row r="17" spans="1:23" ht="84" x14ac:dyDescent="0.25">
      <c r="A17" s="15">
        <v>15</v>
      </c>
      <c r="B17" s="29">
        <v>30200006</v>
      </c>
      <c r="C17" s="152" t="s">
        <v>128</v>
      </c>
      <c r="D17" s="30" t="s">
        <v>119</v>
      </c>
      <c r="E17" s="31" t="s">
        <v>112</v>
      </c>
      <c r="F17" s="32">
        <v>1450</v>
      </c>
      <c r="G17" s="33">
        <v>7.75</v>
      </c>
      <c r="H17" s="33">
        <v>15.6188985991956</v>
      </c>
      <c r="I17" s="33">
        <v>2.47272727272727</v>
      </c>
      <c r="J17" s="40">
        <v>1.3217575757575799</v>
      </c>
      <c r="K17" s="33">
        <v>2.2999999999999998</v>
      </c>
      <c r="L17" s="57">
        <v>0.1</v>
      </c>
      <c r="M17" s="33">
        <v>7.0707070707070704E-2</v>
      </c>
      <c r="N17" s="33">
        <v>0.42424242424242398</v>
      </c>
      <c r="O17" s="33"/>
      <c r="P17" s="40"/>
      <c r="Q17" s="40"/>
      <c r="R17" s="40"/>
      <c r="S17" s="40"/>
      <c r="T17" s="73">
        <f t="shared" si="0"/>
        <v>30.258332942629945</v>
      </c>
      <c r="U17" s="74" t="s">
        <v>129</v>
      </c>
      <c r="V17" s="66">
        <f t="shared" si="1"/>
        <v>28.836575366872363</v>
      </c>
      <c r="W17">
        <f t="shared" si="2"/>
        <v>12.946969696969694</v>
      </c>
    </row>
    <row r="18" spans="1:23" ht="108" x14ac:dyDescent="0.25">
      <c r="A18" s="15">
        <v>16</v>
      </c>
      <c r="B18" s="29">
        <v>30200005</v>
      </c>
      <c r="C18" s="152"/>
      <c r="D18" s="30" t="s">
        <v>121</v>
      </c>
      <c r="E18" s="31" t="s">
        <v>112</v>
      </c>
      <c r="F18" s="32">
        <v>1450</v>
      </c>
      <c r="G18" s="33">
        <v>7.75</v>
      </c>
      <c r="H18" s="33">
        <v>16.802293369400701</v>
      </c>
      <c r="I18" s="33">
        <v>2.47272727272727</v>
      </c>
      <c r="J18" s="40">
        <v>1.3217575757575799</v>
      </c>
      <c r="K18" s="33">
        <v>2.2999999999999998</v>
      </c>
      <c r="L18" s="57">
        <v>0.1</v>
      </c>
      <c r="M18" s="33">
        <v>7.0707070707070704E-2</v>
      </c>
      <c r="N18" s="33">
        <v>0.42424242424242398</v>
      </c>
      <c r="O18" s="33"/>
      <c r="P18" s="40"/>
      <c r="Q18" s="40"/>
      <c r="R18" s="40"/>
      <c r="S18" s="40"/>
      <c r="T18" s="73">
        <f t="shared" si="0"/>
        <v>31.441727712835046</v>
      </c>
      <c r="U18" s="74" t="s">
        <v>130</v>
      </c>
      <c r="V18" s="66">
        <f t="shared" si="1"/>
        <v>30.019970137077465</v>
      </c>
      <c r="W18">
        <f t="shared" si="2"/>
        <v>12.946969696969694</v>
      </c>
    </row>
    <row r="19" spans="1:23" ht="84" x14ac:dyDescent="0.25">
      <c r="A19" s="15">
        <v>17</v>
      </c>
      <c r="B19" s="29">
        <v>30200001</v>
      </c>
      <c r="C19" s="152" t="s">
        <v>131</v>
      </c>
      <c r="D19" s="30" t="s">
        <v>119</v>
      </c>
      <c r="E19" s="31"/>
      <c r="F19" s="32">
        <v>1450</v>
      </c>
      <c r="G19" s="33">
        <v>7.75</v>
      </c>
      <c r="H19" s="33">
        <v>13.8491833228003</v>
      </c>
      <c r="I19" s="33">
        <v>4.3816326530612297</v>
      </c>
      <c r="J19" s="40">
        <v>1.0463914141414099</v>
      </c>
      <c r="K19" s="33">
        <v>2.2999999999999998</v>
      </c>
      <c r="L19" s="57">
        <v>0.1</v>
      </c>
      <c r="M19" s="33">
        <v>7.0707070707070704E-2</v>
      </c>
      <c r="N19" s="33">
        <v>0.42424242424242398</v>
      </c>
      <c r="O19" s="33"/>
      <c r="P19" s="40"/>
      <c r="Q19" s="40"/>
      <c r="R19" s="40"/>
      <c r="S19" s="40"/>
      <c r="T19" s="73">
        <f t="shared" si="0"/>
        <v>30.122156884952439</v>
      </c>
      <c r="U19" s="74" t="s">
        <v>132</v>
      </c>
      <c r="V19" s="66">
        <f t="shared" si="1"/>
        <v>28.975765470811027</v>
      </c>
      <c r="W19">
        <f t="shared" si="2"/>
        <v>14.855875077303653</v>
      </c>
    </row>
    <row r="20" spans="1:23" ht="120" x14ac:dyDescent="0.25">
      <c r="A20" s="15">
        <v>18</v>
      </c>
      <c r="B20" s="34" t="s">
        <v>133</v>
      </c>
      <c r="C20" s="153"/>
      <c r="D20" s="35" t="s">
        <v>121</v>
      </c>
      <c r="E20" s="36" t="s">
        <v>112</v>
      </c>
      <c r="F20" s="37">
        <v>1450</v>
      </c>
      <c r="G20" s="38">
        <v>7.75</v>
      </c>
      <c r="H20" s="38">
        <v>14.6947944319774</v>
      </c>
      <c r="I20" s="38">
        <v>4.3816326530612297</v>
      </c>
      <c r="J20" s="58">
        <v>1.0463914141414099</v>
      </c>
      <c r="K20" s="38">
        <v>2.2999999999999998</v>
      </c>
      <c r="L20" s="59">
        <v>0.1</v>
      </c>
      <c r="M20" s="38">
        <v>7.0707070707070704E-2</v>
      </c>
      <c r="N20" s="38">
        <v>0.42424242424242398</v>
      </c>
      <c r="O20" s="38"/>
      <c r="P20" s="58"/>
      <c r="Q20" s="58"/>
      <c r="R20" s="58"/>
      <c r="S20" s="58"/>
      <c r="T20" s="75">
        <f t="shared" si="0"/>
        <v>30.967767994129538</v>
      </c>
      <c r="U20" s="76" t="s">
        <v>134</v>
      </c>
      <c r="V20" s="66">
        <f t="shared" si="1"/>
        <v>29.821376579988126</v>
      </c>
      <c r="W20">
        <f t="shared" si="2"/>
        <v>14.855875077303653</v>
      </c>
    </row>
    <row r="21" spans="1:23" ht="108" x14ac:dyDescent="0.25">
      <c r="A21" s="15">
        <v>19</v>
      </c>
      <c r="B21" s="29">
        <v>30200002</v>
      </c>
      <c r="C21" s="152" t="s">
        <v>135</v>
      </c>
      <c r="D21" s="30" t="s">
        <v>119</v>
      </c>
      <c r="E21" s="31" t="s">
        <v>112</v>
      </c>
      <c r="F21" s="32">
        <v>1450</v>
      </c>
      <c r="G21" s="33">
        <v>7.75</v>
      </c>
      <c r="H21" s="33">
        <v>16.108917785134</v>
      </c>
      <c r="I21" s="33">
        <v>3.0202020202020199</v>
      </c>
      <c r="J21" s="40">
        <v>1.06094444444444</v>
      </c>
      <c r="K21" s="33">
        <v>2.2999999999999998</v>
      </c>
      <c r="L21" s="57">
        <v>0.1</v>
      </c>
      <c r="M21" s="33">
        <v>7.0707070707070704E-2</v>
      </c>
      <c r="N21" s="33">
        <v>0.84848484848484895</v>
      </c>
      <c r="O21" s="33"/>
      <c r="P21" s="40"/>
      <c r="Q21" s="40"/>
      <c r="R21" s="40"/>
      <c r="S21" s="40"/>
      <c r="T21" s="73">
        <f t="shared" si="0"/>
        <v>31.459256168972381</v>
      </c>
      <c r="U21" s="74" t="s">
        <v>136</v>
      </c>
      <c r="V21" s="66">
        <f t="shared" si="1"/>
        <v>30.298311724527938</v>
      </c>
      <c r="W21">
        <f t="shared" si="2"/>
        <v>13.918686868686871</v>
      </c>
    </row>
    <row r="22" spans="1:23" ht="144" x14ac:dyDescent="0.25">
      <c r="A22" s="15">
        <v>20</v>
      </c>
      <c r="B22" s="29">
        <v>30100007</v>
      </c>
      <c r="C22" s="152"/>
      <c r="D22" s="30" t="s">
        <v>121</v>
      </c>
      <c r="E22" s="31" t="s">
        <v>112</v>
      </c>
      <c r="F22" s="32">
        <v>1450</v>
      </c>
      <c r="G22" s="33">
        <v>7.75</v>
      </c>
      <c r="H22" s="33">
        <v>15.2712129019679</v>
      </c>
      <c r="I22" s="33">
        <v>3.0202020202020199</v>
      </c>
      <c r="J22" s="40">
        <v>1.06094444444444</v>
      </c>
      <c r="K22" s="33">
        <v>2.2999999999999998</v>
      </c>
      <c r="L22" s="57">
        <v>0.1</v>
      </c>
      <c r="M22" s="33">
        <v>7.0707070707070704E-2</v>
      </c>
      <c r="N22" s="33">
        <v>0.84848484848484895</v>
      </c>
      <c r="O22" s="33"/>
      <c r="P22" s="40"/>
      <c r="Q22" s="40"/>
      <c r="R22" s="40"/>
      <c r="S22" s="40"/>
      <c r="T22" s="73">
        <f t="shared" si="0"/>
        <v>30.62155128580628</v>
      </c>
      <c r="U22" s="74" t="s">
        <v>137</v>
      </c>
      <c r="V22" s="66">
        <f t="shared" si="1"/>
        <v>29.460606841361837</v>
      </c>
      <c r="W22">
        <f t="shared" si="2"/>
        <v>13.918686868686871</v>
      </c>
    </row>
    <row r="23" spans="1:23" x14ac:dyDescent="0.25">
      <c r="A23" s="15">
        <v>21</v>
      </c>
      <c r="B23" s="5">
        <v>30101122</v>
      </c>
      <c r="C23" s="150" t="s">
        <v>138</v>
      </c>
      <c r="D23" s="17" t="s">
        <v>115</v>
      </c>
      <c r="E23" s="18" t="s">
        <v>139</v>
      </c>
      <c r="F23" s="19">
        <v>1450</v>
      </c>
      <c r="G23" s="20">
        <v>7.75</v>
      </c>
      <c r="H23" s="20">
        <v>11.1739560441154</v>
      </c>
      <c r="I23" s="20">
        <v>3.1363636363636398</v>
      </c>
      <c r="J23" s="40">
        <v>1.10175</v>
      </c>
      <c r="K23" s="20">
        <v>2.25</v>
      </c>
      <c r="L23" s="57">
        <v>0.1</v>
      </c>
      <c r="M23" s="20">
        <v>7.0707070707070704E-2</v>
      </c>
      <c r="N23" s="20">
        <v>0.84848484848484895</v>
      </c>
      <c r="O23" s="20"/>
      <c r="P23" s="40"/>
      <c r="Q23" s="40"/>
      <c r="R23" s="40"/>
      <c r="S23" s="40"/>
      <c r="T23" s="69">
        <f t="shared" si="0"/>
        <v>26.631261599670957</v>
      </c>
      <c r="U23" s="70"/>
      <c r="V23" s="66">
        <f t="shared" si="1"/>
        <v>25.429511599670956</v>
      </c>
      <c r="W23">
        <f t="shared" si="2"/>
        <v>13.98484848484849</v>
      </c>
    </row>
    <row r="24" spans="1:23" x14ac:dyDescent="0.25">
      <c r="A24" s="15">
        <v>22</v>
      </c>
      <c r="B24" s="5">
        <v>30101123</v>
      </c>
      <c r="C24" s="150"/>
      <c r="D24" s="17" t="s">
        <v>117</v>
      </c>
      <c r="E24" s="18" t="s">
        <v>139</v>
      </c>
      <c r="F24" s="19">
        <v>1450</v>
      </c>
      <c r="G24" s="20">
        <v>7.75</v>
      </c>
      <c r="H24" s="20">
        <v>11.072504950365399</v>
      </c>
      <c r="I24" s="20">
        <v>3.1363636363636398</v>
      </c>
      <c r="J24" s="40">
        <v>1.10175</v>
      </c>
      <c r="K24" s="20">
        <v>2.25</v>
      </c>
      <c r="L24" s="57">
        <v>0.1</v>
      </c>
      <c r="M24" s="20">
        <v>7.0707070707070704E-2</v>
      </c>
      <c r="N24" s="20">
        <v>0.84848484848484895</v>
      </c>
      <c r="O24" s="20"/>
      <c r="P24" s="40"/>
      <c r="Q24" s="40"/>
      <c r="R24" s="40"/>
      <c r="S24" s="40"/>
      <c r="T24" s="69">
        <f t="shared" si="0"/>
        <v>26.529810505920956</v>
      </c>
      <c r="U24" s="68"/>
      <c r="V24" s="66">
        <f t="shared" si="1"/>
        <v>25.328060505920956</v>
      </c>
      <c r="W24">
        <f t="shared" si="2"/>
        <v>13.98484848484849</v>
      </c>
    </row>
    <row r="25" spans="1:23" ht="25.2" x14ac:dyDescent="0.25">
      <c r="A25" s="15">
        <v>23</v>
      </c>
      <c r="B25" s="5">
        <v>30100037</v>
      </c>
      <c r="C25" s="16" t="s">
        <v>140</v>
      </c>
      <c r="D25" s="17" t="s">
        <v>141</v>
      </c>
      <c r="E25" s="18" t="s">
        <v>112</v>
      </c>
      <c r="F25" s="19">
        <v>1450</v>
      </c>
      <c r="G25" s="20">
        <v>7.75</v>
      </c>
      <c r="H25" s="20">
        <v>8.4144553751915492</v>
      </c>
      <c r="I25" s="20">
        <v>4.4734693877550997</v>
      </c>
      <c r="J25" s="40">
        <v>2.2747591836734702</v>
      </c>
      <c r="K25" s="20">
        <v>1.9</v>
      </c>
      <c r="L25" s="57">
        <v>0.1</v>
      </c>
      <c r="M25" s="20"/>
      <c r="N25" s="20"/>
      <c r="O25" s="20"/>
      <c r="P25" s="40"/>
      <c r="Q25" s="40"/>
      <c r="R25" s="40"/>
      <c r="S25" s="40"/>
      <c r="T25" s="69">
        <f t="shared" si="0"/>
        <v>25.11268394662012</v>
      </c>
      <c r="U25" s="68"/>
      <c r="V25" s="66">
        <f t="shared" si="1"/>
        <v>22.737924762946648</v>
      </c>
      <c r="W25">
        <f t="shared" si="2"/>
        <v>14.123469387755099</v>
      </c>
    </row>
    <row r="26" spans="1:23" x14ac:dyDescent="0.25">
      <c r="A26" s="9">
        <v>24</v>
      </c>
      <c r="B26" s="5">
        <v>30100038</v>
      </c>
      <c r="C26" s="10"/>
      <c r="D26" s="11"/>
      <c r="E26" s="12"/>
      <c r="F26" s="13"/>
      <c r="G26" s="20">
        <v>7.75</v>
      </c>
      <c r="H26" s="20">
        <v>8.4144553751915492</v>
      </c>
      <c r="I26" s="20">
        <v>4.4734693877550997</v>
      </c>
      <c r="J26" s="40">
        <v>2.2747591836734702</v>
      </c>
      <c r="K26" s="20">
        <v>1.9</v>
      </c>
      <c r="L26" s="57">
        <v>0.1</v>
      </c>
      <c r="M26" s="20"/>
      <c r="N26" s="20"/>
      <c r="O26" s="20"/>
      <c r="P26" s="40"/>
      <c r="Q26" s="40"/>
      <c r="R26" s="40"/>
      <c r="S26" s="40"/>
      <c r="T26" s="67">
        <f t="shared" si="0"/>
        <v>25.11268394662012</v>
      </c>
      <c r="U26" s="68"/>
      <c r="V26" s="66">
        <f t="shared" si="1"/>
        <v>22.737924762946648</v>
      </c>
      <c r="W26">
        <f t="shared" si="2"/>
        <v>14.123469387755099</v>
      </c>
    </row>
    <row r="27" spans="1:23" ht="25.2" x14ac:dyDescent="0.25">
      <c r="A27" s="15">
        <v>25</v>
      </c>
      <c r="B27" s="5">
        <v>30100001</v>
      </c>
      <c r="C27" s="16" t="s">
        <v>142</v>
      </c>
      <c r="D27" s="17" t="s">
        <v>143</v>
      </c>
      <c r="E27" s="18" t="s">
        <v>112</v>
      </c>
      <c r="F27" s="19">
        <v>1450</v>
      </c>
      <c r="G27" s="20">
        <v>7.75</v>
      </c>
      <c r="H27" s="20">
        <v>8.5318089028855102</v>
      </c>
      <c r="I27" s="20">
        <v>4.3816326530612297</v>
      </c>
      <c r="J27" s="40">
        <v>1.05706887755102</v>
      </c>
      <c r="K27" s="20">
        <v>2.25</v>
      </c>
      <c r="L27" s="57">
        <v>0.1</v>
      </c>
      <c r="M27" s="20">
        <v>7.0707070707070704E-2</v>
      </c>
      <c r="N27" s="20">
        <v>0.42424242424242398</v>
      </c>
      <c r="O27" s="20"/>
      <c r="P27" s="40"/>
      <c r="Q27" s="40"/>
      <c r="R27" s="40"/>
      <c r="S27" s="40"/>
      <c r="T27" s="69">
        <f t="shared" si="0"/>
        <v>24.765459928447257</v>
      </c>
      <c r="U27" s="68"/>
      <c r="V27" s="66">
        <f t="shared" si="1"/>
        <v>23.608391050896234</v>
      </c>
      <c r="W27">
        <f t="shared" si="2"/>
        <v>14.805875077303654</v>
      </c>
    </row>
    <row r="28" spans="1:23" x14ac:dyDescent="0.25">
      <c r="A28" s="9">
        <v>26</v>
      </c>
      <c r="B28" s="5">
        <v>30100002</v>
      </c>
      <c r="C28" s="10"/>
      <c r="D28" s="11"/>
      <c r="E28" s="12"/>
      <c r="F28" s="13"/>
      <c r="G28" s="20">
        <v>7.75</v>
      </c>
      <c r="H28" s="20">
        <v>8.5318089028855102</v>
      </c>
      <c r="I28" s="20">
        <v>4.3816326530612297</v>
      </c>
      <c r="J28" s="40">
        <v>1.05706887755102</v>
      </c>
      <c r="K28" s="20">
        <v>2.25</v>
      </c>
      <c r="L28" s="57">
        <v>0.1</v>
      </c>
      <c r="M28" s="20">
        <v>7.0707070707070704E-2</v>
      </c>
      <c r="N28" s="20">
        <v>0.42424242424242398</v>
      </c>
      <c r="O28" s="20"/>
      <c r="P28" s="40"/>
      <c r="Q28" s="40"/>
      <c r="R28" s="40"/>
      <c r="S28" s="40"/>
      <c r="T28" s="67">
        <f t="shared" si="0"/>
        <v>24.765459928447257</v>
      </c>
      <c r="U28" s="68"/>
      <c r="V28" s="66">
        <f t="shared" si="1"/>
        <v>23.608391050896234</v>
      </c>
      <c r="W28">
        <f t="shared" si="2"/>
        <v>14.805875077303654</v>
      </c>
    </row>
    <row r="29" spans="1:23" ht="24" x14ac:dyDescent="0.25">
      <c r="A29" s="15">
        <v>27</v>
      </c>
      <c r="B29" s="5">
        <v>30700016</v>
      </c>
      <c r="C29" s="39" t="s">
        <v>144</v>
      </c>
      <c r="D29" s="21"/>
      <c r="E29" s="18" t="s">
        <v>145</v>
      </c>
      <c r="F29" s="19">
        <v>1500</v>
      </c>
      <c r="G29" s="40">
        <v>11.3</v>
      </c>
      <c r="H29" s="20">
        <v>12.3588303587629</v>
      </c>
      <c r="I29" s="20">
        <v>3.7377551020408202</v>
      </c>
      <c r="J29" s="40">
        <v>2.1011047979797999</v>
      </c>
      <c r="K29" s="20">
        <v>3.8</v>
      </c>
      <c r="L29" s="57">
        <v>0.1</v>
      </c>
      <c r="M29" s="20"/>
      <c r="N29" s="20"/>
      <c r="O29" s="20">
        <v>1.968E-2</v>
      </c>
      <c r="P29" s="40">
        <v>4.3636363636363598</v>
      </c>
      <c r="Q29" s="40">
        <v>32.727272727272698</v>
      </c>
      <c r="R29" s="40"/>
      <c r="S29" s="40"/>
      <c r="T29" s="69">
        <f t="shared" si="0"/>
        <v>70.708279349692575</v>
      </c>
      <c r="U29" s="68"/>
      <c r="V29" s="66">
        <f t="shared" si="1"/>
        <v>31.416265460803722</v>
      </c>
      <c r="W29">
        <f t="shared" si="2"/>
        <v>18.857435102040821</v>
      </c>
    </row>
    <row r="30" spans="1:23" ht="24" x14ac:dyDescent="0.25">
      <c r="A30" s="15">
        <v>28</v>
      </c>
      <c r="B30" s="5">
        <v>30700017</v>
      </c>
      <c r="C30" s="39" t="s">
        <v>146</v>
      </c>
      <c r="D30" s="21"/>
      <c r="E30" s="18" t="s">
        <v>147</v>
      </c>
      <c r="F30" s="19">
        <v>1500</v>
      </c>
      <c r="G30" s="40">
        <v>7</v>
      </c>
      <c r="H30" s="20">
        <v>7.7242689742268</v>
      </c>
      <c r="I30" s="20">
        <v>3.7377551020408202</v>
      </c>
      <c r="J30" s="40">
        <v>2.1011047979797999</v>
      </c>
      <c r="K30" s="20">
        <v>2.6</v>
      </c>
      <c r="L30" s="57">
        <v>0.1</v>
      </c>
      <c r="M30" s="20"/>
      <c r="N30" s="20"/>
      <c r="O30" s="20">
        <v>5.2920000000000002E-2</v>
      </c>
      <c r="P30" s="40"/>
      <c r="Q30" s="40"/>
      <c r="R30" s="40">
        <v>18.7878787878788</v>
      </c>
      <c r="S30" s="40"/>
      <c r="T30" s="69">
        <f t="shared" si="0"/>
        <v>42.303927662126227</v>
      </c>
      <c r="U30" s="68"/>
      <c r="V30" s="66">
        <f t="shared" si="1"/>
        <v>21.314944076267626</v>
      </c>
      <c r="W30">
        <f t="shared" si="2"/>
        <v>13.39067510204082</v>
      </c>
    </row>
    <row r="31" spans="1:23" ht="25.2" x14ac:dyDescent="0.25">
      <c r="A31" s="15">
        <v>29</v>
      </c>
      <c r="B31" s="5"/>
      <c r="C31" s="16" t="s">
        <v>148</v>
      </c>
      <c r="D31" s="21"/>
      <c r="E31" s="18" t="s">
        <v>112</v>
      </c>
      <c r="F31" s="19">
        <v>1450</v>
      </c>
      <c r="G31" s="20">
        <v>7.75</v>
      </c>
      <c r="H31" s="20">
        <v>8.9345207171056096</v>
      </c>
      <c r="I31" s="20">
        <v>3.2551020408163298</v>
      </c>
      <c r="J31" s="40">
        <v>1.3134722222222199</v>
      </c>
      <c r="K31" s="20">
        <v>2.2999999999999998</v>
      </c>
      <c r="L31" s="57">
        <v>0.1</v>
      </c>
      <c r="M31" s="20"/>
      <c r="N31" s="20"/>
      <c r="O31" s="20"/>
      <c r="P31" s="40"/>
      <c r="Q31" s="40"/>
      <c r="R31" s="40"/>
      <c r="S31" s="40"/>
      <c r="T31" s="69">
        <f t="shared" si="0"/>
        <v>23.85309498014416</v>
      </c>
      <c r="U31" s="68"/>
      <c r="V31" s="66">
        <f t="shared" si="1"/>
        <v>22.439622757921939</v>
      </c>
      <c r="W31">
        <f t="shared" si="2"/>
        <v>13.30510204081633</v>
      </c>
    </row>
    <row r="32" spans="1:23" ht="25.2" x14ac:dyDescent="0.25">
      <c r="A32" s="15"/>
      <c r="B32" s="5"/>
      <c r="C32" s="16" t="s">
        <v>148</v>
      </c>
      <c r="D32" s="21"/>
      <c r="E32" s="18" t="s">
        <v>112</v>
      </c>
      <c r="F32" s="19">
        <v>1451</v>
      </c>
      <c r="G32" s="20">
        <v>7.75</v>
      </c>
      <c r="H32" s="20">
        <v>9.4536777581372498</v>
      </c>
      <c r="I32" s="20">
        <v>3.2551020408163298</v>
      </c>
      <c r="J32" s="40">
        <v>1.3134722222222199</v>
      </c>
      <c r="K32" s="20">
        <v>2.2999999999999998</v>
      </c>
      <c r="L32" s="57">
        <v>0.1</v>
      </c>
      <c r="M32" s="20"/>
      <c r="N32" s="20"/>
      <c r="O32" s="20"/>
      <c r="P32" s="40"/>
      <c r="Q32" s="40"/>
      <c r="R32" s="40"/>
      <c r="S32" s="40"/>
      <c r="T32" s="69">
        <f t="shared" si="0"/>
        <v>24.3722520211758</v>
      </c>
      <c r="U32" s="68"/>
      <c r="V32" s="66">
        <f t="shared" si="1"/>
        <v>22.958779798953579</v>
      </c>
      <c r="W32">
        <f t="shared" si="2"/>
        <v>13.30510204081633</v>
      </c>
    </row>
    <row r="33" spans="1:23" ht="25.2" x14ac:dyDescent="0.25">
      <c r="A33" s="15">
        <v>30</v>
      </c>
      <c r="B33" s="5"/>
      <c r="C33" s="16" t="s">
        <v>149</v>
      </c>
      <c r="D33" s="21"/>
      <c r="E33" s="18" t="s">
        <v>112</v>
      </c>
      <c r="F33" s="19">
        <v>1450</v>
      </c>
      <c r="G33" s="20">
        <v>7.75</v>
      </c>
      <c r="H33" s="20">
        <v>8.9506155121551494</v>
      </c>
      <c r="I33" s="20">
        <v>4.0244897959183703</v>
      </c>
      <c r="J33" s="40">
        <v>1.6239292929292899</v>
      </c>
      <c r="K33" s="20">
        <v>2.2999999999999998</v>
      </c>
      <c r="L33" s="57">
        <v>0.1</v>
      </c>
      <c r="M33" s="20"/>
      <c r="N33" s="20"/>
      <c r="O33" s="20"/>
      <c r="P33" s="40"/>
      <c r="Q33" s="40"/>
      <c r="R33" s="40"/>
      <c r="S33" s="40"/>
      <c r="T33" s="69">
        <f t="shared" si="0"/>
        <v>24.949034601002811</v>
      </c>
      <c r="U33" s="68"/>
      <c r="V33" s="66">
        <f t="shared" si="1"/>
        <v>23.22510530807352</v>
      </c>
      <c r="W33">
        <f t="shared" si="2"/>
        <v>14.074489795918371</v>
      </c>
    </row>
    <row r="34" spans="1:23" ht="25.2" x14ac:dyDescent="0.25">
      <c r="A34" s="15">
        <v>31</v>
      </c>
      <c r="B34" s="5"/>
      <c r="C34" s="16" t="s">
        <v>150</v>
      </c>
      <c r="D34" s="21"/>
      <c r="E34" s="18" t="s">
        <v>112</v>
      </c>
      <c r="F34" s="19">
        <v>1450</v>
      </c>
      <c r="G34" s="20">
        <v>7.75</v>
      </c>
      <c r="H34" s="20">
        <v>8.6290406874261194</v>
      </c>
      <c r="I34" s="20">
        <v>4.25</v>
      </c>
      <c r="J34" s="40">
        <v>2.0299116161616202</v>
      </c>
      <c r="K34" s="20">
        <v>2.2999999999999998</v>
      </c>
      <c r="L34" s="57">
        <v>0.1</v>
      </c>
      <c r="M34" s="20"/>
      <c r="N34" s="20"/>
      <c r="O34" s="20"/>
      <c r="P34" s="40"/>
      <c r="Q34" s="40"/>
      <c r="R34" s="40"/>
      <c r="S34" s="40"/>
      <c r="T34" s="69">
        <f t="shared" si="0"/>
        <v>25.258952303587741</v>
      </c>
      <c r="U34" s="68"/>
      <c r="V34" s="66">
        <f t="shared" si="1"/>
        <v>23.129040687426119</v>
      </c>
      <c r="W34">
        <f t="shared" si="2"/>
        <v>14.3</v>
      </c>
    </row>
    <row r="35" spans="1:23" ht="24" x14ac:dyDescent="0.25">
      <c r="A35" s="15">
        <v>32</v>
      </c>
      <c r="B35" s="5"/>
      <c r="C35" s="39" t="s">
        <v>151</v>
      </c>
      <c r="D35" s="21"/>
      <c r="E35" s="18" t="s">
        <v>112</v>
      </c>
      <c r="F35" s="19">
        <v>1450</v>
      </c>
      <c r="G35" s="20">
        <v>7.75</v>
      </c>
      <c r="H35" s="20">
        <v>8.3855260288659803</v>
      </c>
      <c r="I35" s="20">
        <v>17.6565656565657</v>
      </c>
      <c r="J35" s="40">
        <v>0.97590909090909095</v>
      </c>
      <c r="K35" s="20">
        <v>2.2999999999999998</v>
      </c>
      <c r="L35" s="57">
        <v>0.1</v>
      </c>
      <c r="M35" s="20"/>
      <c r="N35" s="20"/>
      <c r="O35" s="20"/>
      <c r="P35" s="40"/>
      <c r="Q35" s="40"/>
      <c r="R35" s="40"/>
      <c r="S35" s="40"/>
      <c r="T35" s="69">
        <f t="shared" si="0"/>
        <v>37.368000776340779</v>
      </c>
      <c r="U35" s="68"/>
      <c r="V35" s="66">
        <f t="shared" si="1"/>
        <v>36.292091685431686</v>
      </c>
      <c r="W35">
        <f t="shared" si="2"/>
        <v>27.706565656565701</v>
      </c>
    </row>
    <row r="36" spans="1:23" ht="24" x14ac:dyDescent="0.25">
      <c r="A36" s="15">
        <v>33</v>
      </c>
      <c r="B36" s="5"/>
      <c r="C36" s="39" t="s">
        <v>152</v>
      </c>
      <c r="D36" s="21"/>
      <c r="E36" s="18" t="s">
        <v>112</v>
      </c>
      <c r="F36" s="19">
        <v>1450</v>
      </c>
      <c r="G36" s="20">
        <v>7.75</v>
      </c>
      <c r="H36" s="20">
        <v>8.8767754226804101</v>
      </c>
      <c r="I36" s="20">
        <v>18.181818181818201</v>
      </c>
      <c r="J36" s="40">
        <v>1.0746590909090901</v>
      </c>
      <c r="K36" s="20">
        <v>2.2999999999999998</v>
      </c>
      <c r="L36" s="57">
        <v>0.1</v>
      </c>
      <c r="M36" s="20"/>
      <c r="N36" s="20"/>
      <c r="O36" s="20"/>
      <c r="P36" s="40"/>
      <c r="Q36" s="40"/>
      <c r="R36" s="40"/>
      <c r="S36" s="40"/>
      <c r="T36" s="69">
        <f t="shared" si="0"/>
        <v>38.4832526954077</v>
      </c>
      <c r="U36" s="68"/>
      <c r="V36" s="66">
        <f t="shared" si="1"/>
        <v>37.308593604498611</v>
      </c>
      <c r="W36">
        <f t="shared" si="2"/>
        <v>28.231818181818202</v>
      </c>
    </row>
    <row r="37" spans="1:23" ht="24" x14ac:dyDescent="0.25">
      <c r="A37" s="15">
        <v>34</v>
      </c>
      <c r="B37" s="5"/>
      <c r="C37" s="39" t="s">
        <v>153</v>
      </c>
      <c r="D37" s="21"/>
      <c r="E37" s="18" t="s">
        <v>112</v>
      </c>
      <c r="F37" s="19">
        <v>1450</v>
      </c>
      <c r="G37" s="20">
        <v>7.75</v>
      </c>
      <c r="H37" s="20">
        <v>9.4008966680412396</v>
      </c>
      <c r="I37" s="20">
        <v>17.6565656565657</v>
      </c>
      <c r="J37" s="40">
        <v>0.94082626262626301</v>
      </c>
      <c r="K37" s="20">
        <v>2.2999999999999998</v>
      </c>
      <c r="L37" s="57">
        <v>0.1</v>
      </c>
      <c r="M37" s="20"/>
      <c r="N37" s="20"/>
      <c r="O37" s="20"/>
      <c r="P37" s="40"/>
      <c r="Q37" s="40"/>
      <c r="R37" s="40"/>
      <c r="S37" s="40"/>
      <c r="T37" s="69">
        <f t="shared" si="0"/>
        <v>38.348288587233206</v>
      </c>
      <c r="U37" s="68"/>
      <c r="V37" s="66">
        <f t="shared" si="1"/>
        <v>37.307462324606945</v>
      </c>
      <c r="W37">
        <f t="shared" si="2"/>
        <v>27.706565656565701</v>
      </c>
    </row>
    <row r="38" spans="1:23" ht="24" x14ac:dyDescent="0.25">
      <c r="A38" s="15">
        <v>35</v>
      </c>
      <c r="B38" s="5"/>
      <c r="C38" s="39" t="s">
        <v>154</v>
      </c>
      <c r="D38" s="21"/>
      <c r="E38" s="18" t="s">
        <v>112</v>
      </c>
      <c r="F38" s="19">
        <v>1450</v>
      </c>
      <c r="G38" s="20">
        <v>7</v>
      </c>
      <c r="H38" s="20">
        <v>9.4008966680412396</v>
      </c>
      <c r="I38" s="20">
        <v>11.5050505050505</v>
      </c>
      <c r="J38" s="40">
        <v>0</v>
      </c>
      <c r="K38" s="20">
        <v>2</v>
      </c>
      <c r="L38" s="57">
        <v>0.1</v>
      </c>
      <c r="M38" s="20"/>
      <c r="N38" s="20"/>
      <c r="O38" s="20"/>
      <c r="P38" s="40"/>
      <c r="Q38" s="40"/>
      <c r="R38" s="40"/>
      <c r="S38" s="40"/>
      <c r="T38" s="69">
        <f t="shared" si="0"/>
        <v>30.20594717309174</v>
      </c>
      <c r="U38" s="68"/>
      <c r="V38" s="66">
        <f t="shared" si="1"/>
        <v>30.105947173091739</v>
      </c>
      <c r="W38">
        <f t="shared" si="2"/>
        <v>20.505050505050498</v>
      </c>
    </row>
    <row r="39" spans="1:23" ht="50.4" x14ac:dyDescent="0.25">
      <c r="A39" s="41">
        <v>36</v>
      </c>
      <c r="B39" s="5">
        <v>6.5</v>
      </c>
      <c r="C39" s="42" t="s">
        <v>155</v>
      </c>
      <c r="D39" s="43"/>
      <c r="E39" s="44" t="s">
        <v>156</v>
      </c>
      <c r="F39" s="45"/>
      <c r="G39" s="46">
        <v>11.2</v>
      </c>
      <c r="H39" s="47">
        <v>14.219921814433</v>
      </c>
      <c r="I39" s="47">
        <v>7.8989898989898997</v>
      </c>
      <c r="J39" s="46">
        <v>1.3044696969697001</v>
      </c>
      <c r="K39" s="47">
        <v>6</v>
      </c>
      <c r="L39" s="60">
        <v>0.2</v>
      </c>
      <c r="M39" s="47">
        <v>0</v>
      </c>
      <c r="N39" s="47">
        <v>0</v>
      </c>
      <c r="O39" s="47">
        <v>0</v>
      </c>
      <c r="P39" s="46">
        <v>8.7272727272727195</v>
      </c>
      <c r="Q39" s="46">
        <v>0</v>
      </c>
      <c r="R39" s="46">
        <v>0</v>
      </c>
      <c r="S39" s="46">
        <v>32.076000000000001</v>
      </c>
      <c r="T39" s="77">
        <f t="shared" si="0"/>
        <v>81.826654137665329</v>
      </c>
      <c r="U39" s="78"/>
      <c r="V39" s="66">
        <f t="shared" si="1"/>
        <v>39.518911713422902</v>
      </c>
      <c r="W39">
        <f t="shared" si="2"/>
        <v>25.098989898989899</v>
      </c>
    </row>
    <row r="40" spans="1:23" x14ac:dyDescent="0.25">
      <c r="A40" s="48"/>
      <c r="B40" s="5"/>
      <c r="C40" s="49"/>
      <c r="D40" s="145" t="s">
        <v>157</v>
      </c>
      <c r="E40" s="145"/>
      <c r="F40" s="48"/>
      <c r="G40" s="50"/>
      <c r="H40" s="50"/>
      <c r="I40" s="50"/>
      <c r="J40" s="61"/>
      <c r="K40" s="50"/>
      <c r="L40" s="62"/>
      <c r="M40" s="50"/>
      <c r="N40" s="50"/>
      <c r="O40" s="50"/>
      <c r="P40" s="61"/>
      <c r="Q40" s="61"/>
      <c r="R40" s="61"/>
      <c r="S40" s="61"/>
      <c r="T40" s="79"/>
      <c r="U40" s="5"/>
      <c r="V40" s="66"/>
    </row>
    <row r="41" spans="1:23" x14ac:dyDescent="0.25">
      <c r="A41" s="48"/>
      <c r="B41" s="5"/>
      <c r="C41" s="49"/>
      <c r="D41" s="145" t="s">
        <v>158</v>
      </c>
      <c r="E41" s="145"/>
      <c r="F41" s="48"/>
      <c r="G41" s="50"/>
      <c r="H41" s="50"/>
      <c r="I41" s="50"/>
      <c r="J41" s="61"/>
      <c r="K41" s="50"/>
      <c r="L41" s="62"/>
      <c r="M41" s="50"/>
      <c r="N41" s="50"/>
      <c r="O41" s="50"/>
      <c r="P41" s="61"/>
      <c r="Q41" s="61"/>
      <c r="R41" s="61"/>
      <c r="S41" s="61"/>
      <c r="T41" s="79"/>
      <c r="U41" s="5"/>
      <c r="V41" s="66"/>
    </row>
  </sheetData>
  <mergeCells count="13">
    <mergeCell ref="D40:E40"/>
    <mergeCell ref="D41:E41"/>
    <mergeCell ref="A1:A2"/>
    <mergeCell ref="C1:C2"/>
    <mergeCell ref="C9:C11"/>
    <mergeCell ref="C12:C13"/>
    <mergeCell ref="C15:C16"/>
    <mergeCell ref="C17:C18"/>
    <mergeCell ref="C19:C20"/>
    <mergeCell ref="C21:C22"/>
    <mergeCell ref="C23:C24"/>
    <mergeCell ref="D1:D2"/>
    <mergeCell ref="E1:E2"/>
  </mergeCells>
  <phoneticPr fontId="34" type="noConversion"/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2</vt:i4>
      </vt:variant>
    </vt:vector>
  </HeadingPairs>
  <TitlesOfParts>
    <vt:vector size="8" baseType="lpstr">
      <vt:lpstr>对账单</vt:lpstr>
      <vt:lpstr>加工费合计 1219</vt:lpstr>
      <vt:lpstr>材料费10月</vt:lpstr>
      <vt:lpstr>材料费合计12月</vt:lpstr>
      <vt:lpstr>富牛采购1215</vt:lpstr>
      <vt:lpstr>富牛报价</vt:lpstr>
      <vt:lpstr>'加工费合计 1219'!Print_Area</vt:lpstr>
      <vt:lpstr>'加工费合计 1219'!Print_Titles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2022-12-14T07:13:00Z</dcterms:created>
  <dcterms:modified xsi:type="dcterms:W3CDTF">2022-12-22T07:17:33Z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EEEB6C32D41540118C61F98C303EBEC1</vt:lpwstr>
  </property>
  <property fmtid="{D5CDD505-2E9C-101B-9397-08002B2CF9AE}" pid="3" name="KSOProductBuildVer">
    <vt:lpwstr>2052-11.1.0.12980</vt:lpwstr>
  </property>
</Properties>
</file>