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480" windowHeight="8220"/>
  </bookViews>
  <sheets>
    <sheet name="临时工工资" sheetId="11" r:id="rId1"/>
    <sheet name="辞职" sheetId="6" r:id="rId2"/>
    <sheet name="单价" sheetId="8" r:id="rId3"/>
    <sheet name="套标单价" sheetId="10" r:id="rId4"/>
  </sheets>
  <definedNames>
    <definedName name="_xlnm._FilterDatabase" localSheetId="0" hidden="1">临时工工资!$A$4:$DB$11</definedName>
    <definedName name="_xlnm.Print_Area" localSheetId="0">临时工工资!$A$1:$GZ$15</definedName>
  </definedNames>
  <calcPr calcId="145621"/>
</workbook>
</file>

<file path=xl/calcChain.xml><?xml version="1.0" encoding="utf-8"?>
<calcChain xmlns="http://schemas.openxmlformats.org/spreadsheetml/2006/main">
  <c r="CE5" i="11" l="1"/>
  <c r="CB5" i="11"/>
  <c r="CE9" i="11"/>
  <c r="CB9" i="11"/>
  <c r="CE10" i="11"/>
  <c r="CB10" i="11"/>
  <c r="CE13" i="11"/>
  <c r="CB13" i="11"/>
  <c r="CE11" i="11"/>
  <c r="CB11" i="11"/>
  <c r="CE12" i="11"/>
  <c r="CB12" i="11"/>
  <c r="CE8" i="11"/>
  <c r="CB8" i="11"/>
  <c r="BW9" i="11"/>
  <c r="BW5" i="11"/>
  <c r="BY13" i="11"/>
  <c r="BV13" i="11"/>
  <c r="BY11" i="11"/>
  <c r="BV11" i="11"/>
  <c r="BY10" i="11"/>
  <c r="BV10" i="11"/>
  <c r="BY12" i="11"/>
  <c r="BV12" i="11"/>
  <c r="BY7" i="11"/>
  <c r="BV7" i="11"/>
  <c r="BY8" i="11"/>
  <c r="BV8" i="11"/>
  <c r="BJ12" i="11" l="1"/>
  <c r="BJ13" i="11"/>
  <c r="BJ10" i="11"/>
  <c r="BM9" i="11"/>
  <c r="BJ9" i="11"/>
  <c r="BJ5" i="11"/>
  <c r="BM5" i="11"/>
  <c r="BM10" i="11"/>
  <c r="BM13" i="11"/>
  <c r="BM11" i="11"/>
  <c r="BM12" i="11"/>
  <c r="BM7" i="11"/>
  <c r="BJ7" i="11"/>
  <c r="BJ8" i="11"/>
  <c r="BD13" i="11" l="1"/>
  <c r="BD9" i="11"/>
  <c r="BS9" i="11" l="1"/>
  <c r="BP9" i="11"/>
  <c r="BS5" i="11"/>
  <c r="BP5" i="11"/>
  <c r="BQ11" i="11"/>
  <c r="BQ12" i="11"/>
  <c r="BS10" i="11"/>
  <c r="BP10" i="11"/>
  <c r="BS13" i="11"/>
  <c r="BP13" i="11"/>
  <c r="BP7" i="11"/>
  <c r="BP8" i="11"/>
  <c r="BJ11" i="11" l="1"/>
  <c r="AX12" i="11" l="1"/>
  <c r="BA12" i="11"/>
  <c r="AX6" i="11" l="1"/>
  <c r="AX13" i="11"/>
  <c r="BA6" i="11"/>
  <c r="BA13" i="11"/>
  <c r="BG5" i="11" l="1"/>
  <c r="BD5" i="11"/>
  <c r="BG9" i="11"/>
  <c r="BG13" i="11"/>
  <c r="BG11" i="11"/>
  <c r="BD11" i="11"/>
  <c r="BG12" i="11"/>
  <c r="BD12" i="11"/>
  <c r="BG7" i="11"/>
  <c r="BD7" i="11"/>
  <c r="BD8" i="11"/>
  <c r="BA7" i="11" l="1"/>
  <c r="AU9" i="11"/>
  <c r="AU5" i="11"/>
  <c r="AI13" i="11"/>
  <c r="BA9" i="11"/>
  <c r="AX9" i="11"/>
  <c r="BA5" i="11"/>
  <c r="AX5" i="11"/>
  <c r="AX7" i="11"/>
  <c r="AX8" i="11"/>
  <c r="AM11" i="11"/>
  <c r="AM12" i="11"/>
  <c r="AG11" i="11"/>
  <c r="AS9" i="11" l="1"/>
  <c r="AS5" i="11"/>
  <c r="AR9" i="11"/>
  <c r="AR5" i="11"/>
  <c r="AU11" i="11"/>
  <c r="AS11" i="11"/>
  <c r="AR11" i="11"/>
  <c r="AU13" i="11"/>
  <c r="AR13" i="11"/>
  <c r="AR6" i="11"/>
  <c r="AU6" i="11"/>
  <c r="AA9" i="11"/>
  <c r="AA6" i="11"/>
  <c r="Z9" i="11"/>
  <c r="Z6" i="11"/>
  <c r="AU12" i="11"/>
  <c r="AS12" i="11"/>
  <c r="AR12" i="11"/>
  <c r="AS8" i="11"/>
  <c r="AR8" i="11"/>
  <c r="AO7" i="11" l="1"/>
  <c r="AM7" i="11"/>
  <c r="AL7" i="11"/>
  <c r="AM8" i="11"/>
  <c r="AL8" i="11"/>
  <c r="AO9" i="11"/>
  <c r="AM9" i="11"/>
  <c r="AM5" i="11"/>
  <c r="AL9" i="11"/>
  <c r="AL5" i="11"/>
  <c r="AO5" i="11"/>
  <c r="AF9" i="11"/>
  <c r="AF5" i="11"/>
  <c r="AL11" i="11"/>
  <c r="AL12" i="11"/>
  <c r="AO13" i="11"/>
  <c r="AM13" i="11"/>
  <c r="AL13" i="11"/>
  <c r="AI9" i="11"/>
  <c r="AG9" i="11"/>
  <c r="AI5" i="11"/>
  <c r="AG5" i="11"/>
  <c r="AI11" i="11"/>
  <c r="AF11" i="11"/>
  <c r="AG13" i="11"/>
  <c r="AF13" i="11"/>
  <c r="AI6" i="11"/>
  <c r="AG6" i="11"/>
  <c r="AF6" i="11"/>
  <c r="AI7" i="11"/>
  <c r="AG7" i="11"/>
  <c r="AF7" i="11"/>
  <c r="AG8" i="11"/>
  <c r="AF8" i="11"/>
  <c r="AA12" i="11"/>
  <c r="AA11" i="11"/>
  <c r="Z12" i="11"/>
  <c r="Z11" i="11"/>
  <c r="AA13" i="11"/>
  <c r="AC5" i="11" l="1"/>
  <c r="AA7" i="11" l="1"/>
  <c r="AA8" i="11"/>
  <c r="Z7" i="11"/>
  <c r="Z8" i="11"/>
  <c r="AA5" i="11" l="1"/>
  <c r="Z5" i="11"/>
  <c r="U8" i="11" l="1"/>
  <c r="U11" i="11"/>
  <c r="U13" i="11"/>
  <c r="U9" i="11"/>
  <c r="U6" i="11"/>
  <c r="U12" i="11"/>
  <c r="U5" i="11"/>
  <c r="O11" i="11" l="1"/>
  <c r="O7" i="11"/>
  <c r="O6" i="11"/>
  <c r="O13" i="11"/>
  <c r="O9" i="11"/>
  <c r="O5" i="11"/>
  <c r="G13" i="11" l="1"/>
  <c r="S14" i="11" l="1"/>
  <c r="Q14" i="11"/>
  <c r="P14" i="11"/>
  <c r="N14" i="11"/>
  <c r="K13" i="11"/>
  <c r="J13" i="11"/>
  <c r="I13" i="11"/>
  <c r="H13" i="11"/>
  <c r="F13" i="11"/>
  <c r="K12" i="11"/>
  <c r="J12" i="11"/>
  <c r="I12" i="11"/>
  <c r="H12" i="11"/>
  <c r="G12" i="11"/>
  <c r="F12" i="11"/>
  <c r="K11" i="11"/>
  <c r="J11" i="11"/>
  <c r="I11" i="11"/>
  <c r="H11" i="11"/>
  <c r="G11" i="11"/>
  <c r="F11" i="11"/>
  <c r="K10" i="11"/>
  <c r="J10" i="11"/>
  <c r="I10" i="11"/>
  <c r="H10" i="11"/>
  <c r="G10" i="11"/>
  <c r="F10" i="11"/>
  <c r="K9" i="11"/>
  <c r="J9" i="11"/>
  <c r="I9" i="11"/>
  <c r="H9" i="11"/>
  <c r="G9" i="11"/>
  <c r="F9" i="11"/>
  <c r="K8" i="11"/>
  <c r="J8" i="11"/>
  <c r="I8" i="11"/>
  <c r="H8" i="11"/>
  <c r="G8" i="11"/>
  <c r="F8" i="11"/>
  <c r="K7" i="11"/>
  <c r="J7" i="11"/>
  <c r="I7" i="11"/>
  <c r="H7" i="11"/>
  <c r="G7" i="11"/>
  <c r="F7" i="11"/>
  <c r="K6" i="11"/>
  <c r="J6" i="11"/>
  <c r="I6" i="11"/>
  <c r="H6" i="11"/>
  <c r="G6" i="11"/>
  <c r="F6" i="11"/>
  <c r="O14" i="11"/>
  <c r="K5" i="11"/>
  <c r="J5" i="11"/>
  <c r="I5" i="11"/>
  <c r="H5" i="11"/>
  <c r="G5" i="11"/>
  <c r="F5" i="11"/>
  <c r="M13" i="11" l="1"/>
  <c r="M11" i="11"/>
  <c r="M8" i="11"/>
  <c r="M7" i="11"/>
  <c r="M9" i="11"/>
  <c r="M12" i="11"/>
  <c r="M6" i="11"/>
  <c r="M5" i="11"/>
  <c r="M10" i="11"/>
  <c r="I25" i="10"/>
  <c r="H25" i="10"/>
  <c r="G25" i="10"/>
  <c r="I18" i="10"/>
  <c r="H18" i="10"/>
  <c r="G18" i="10"/>
  <c r="I11" i="10"/>
  <c r="H11" i="10"/>
  <c r="G11" i="10"/>
  <c r="I4" i="10"/>
  <c r="H4" i="10"/>
  <c r="G4" i="10"/>
  <c r="I53" i="8"/>
  <c r="K53" i="8" s="1"/>
  <c r="F53" i="8"/>
  <c r="O50" i="8"/>
  <c r="N50" i="8"/>
  <c r="M50" i="8"/>
  <c r="K50" i="8"/>
  <c r="G50" i="8"/>
  <c r="O49" i="8"/>
  <c r="N49" i="8"/>
  <c r="M49" i="8"/>
  <c r="K49" i="8"/>
  <c r="G49" i="8"/>
  <c r="O48" i="8"/>
  <c r="N48" i="8"/>
  <c r="M48" i="8"/>
  <c r="K48" i="8"/>
  <c r="G48" i="8"/>
  <c r="O47" i="8"/>
  <c r="N47" i="8"/>
  <c r="M47" i="8"/>
  <c r="K47" i="8"/>
  <c r="G47" i="8"/>
  <c r="O46" i="8"/>
  <c r="N46" i="8"/>
  <c r="M46" i="8"/>
  <c r="K46" i="8"/>
  <c r="G46" i="8"/>
  <c r="O45" i="8"/>
  <c r="N45" i="8"/>
  <c r="M45" i="8"/>
  <c r="K45" i="8"/>
  <c r="G45" i="8"/>
  <c r="O44" i="8"/>
  <c r="N44" i="8"/>
  <c r="M44" i="8"/>
  <c r="K44" i="8"/>
  <c r="G44" i="8"/>
  <c r="O43" i="8"/>
  <c r="N43" i="8"/>
  <c r="M43" i="8"/>
  <c r="K43" i="8"/>
  <c r="G43" i="8"/>
  <c r="O42" i="8"/>
  <c r="N42" i="8"/>
  <c r="M42" i="8"/>
  <c r="K42" i="8"/>
  <c r="G42" i="8"/>
  <c r="O41" i="8"/>
  <c r="N41" i="8"/>
  <c r="M41" i="8"/>
  <c r="K41" i="8"/>
  <c r="G41" i="8"/>
  <c r="O40" i="8"/>
  <c r="N40" i="8"/>
  <c r="M40" i="8"/>
  <c r="K40" i="8"/>
  <c r="G40" i="8"/>
  <c r="O39" i="8"/>
  <c r="N39" i="8"/>
  <c r="M39" i="8"/>
  <c r="K39" i="8"/>
  <c r="G39" i="8"/>
  <c r="K38" i="8"/>
  <c r="G38" i="8"/>
  <c r="K37" i="8"/>
  <c r="G37" i="8"/>
  <c r="K36" i="8"/>
  <c r="G36" i="8"/>
  <c r="O35" i="8"/>
  <c r="N35" i="8"/>
  <c r="M35" i="8"/>
  <c r="K35" i="8"/>
  <c r="G35" i="8"/>
  <c r="O34" i="8"/>
  <c r="N34" i="8"/>
  <c r="M34" i="8"/>
  <c r="K34" i="8"/>
  <c r="G34" i="8"/>
  <c r="O33" i="8"/>
  <c r="N33" i="8"/>
  <c r="M33" i="8"/>
  <c r="K33" i="8"/>
  <c r="G33" i="8"/>
  <c r="O32" i="8"/>
  <c r="N32" i="8"/>
  <c r="M32" i="8"/>
  <c r="K32" i="8"/>
  <c r="G32" i="8"/>
  <c r="O31" i="8"/>
  <c r="N31" i="8"/>
  <c r="M31" i="8"/>
  <c r="K31" i="8"/>
  <c r="G31" i="8"/>
  <c r="O30" i="8"/>
  <c r="N30" i="8"/>
  <c r="M30" i="8"/>
  <c r="K30" i="8"/>
  <c r="G30" i="8"/>
  <c r="O29" i="8"/>
  <c r="N29" i="8"/>
  <c r="M29" i="8"/>
  <c r="K29" i="8"/>
  <c r="G29" i="8"/>
  <c r="O28" i="8"/>
  <c r="N28" i="8"/>
  <c r="M28" i="8"/>
  <c r="K28" i="8"/>
  <c r="G28" i="8"/>
  <c r="O27" i="8"/>
  <c r="N27" i="8"/>
  <c r="M27" i="8"/>
  <c r="K27" i="8"/>
  <c r="G27" i="8"/>
  <c r="O26" i="8"/>
  <c r="N26" i="8"/>
  <c r="M26" i="8"/>
  <c r="K26" i="8"/>
  <c r="G26" i="8"/>
  <c r="O25" i="8"/>
  <c r="N25" i="8"/>
  <c r="M25" i="8"/>
  <c r="K25" i="8"/>
  <c r="G25" i="8"/>
  <c r="K24" i="8"/>
  <c r="G24" i="8"/>
  <c r="O23" i="8"/>
  <c r="N23" i="8"/>
  <c r="M23" i="8"/>
  <c r="K23" i="8"/>
  <c r="G23" i="8"/>
  <c r="O22" i="8"/>
  <c r="N22" i="8"/>
  <c r="M22" i="8"/>
  <c r="K22" i="8"/>
  <c r="G22" i="8"/>
  <c r="O21" i="8"/>
  <c r="N21" i="8"/>
  <c r="M21" i="8"/>
  <c r="K21" i="8"/>
  <c r="G21" i="8"/>
  <c r="O20" i="8"/>
  <c r="N20" i="8"/>
  <c r="M20" i="8"/>
  <c r="K20" i="8"/>
  <c r="G20" i="8"/>
  <c r="O19" i="8"/>
  <c r="N19" i="8"/>
  <c r="M19" i="8"/>
  <c r="K19" i="8"/>
  <c r="G19" i="8"/>
  <c r="K18" i="8"/>
  <c r="G18" i="8"/>
  <c r="O17" i="8"/>
  <c r="N17" i="8"/>
  <c r="M17" i="8"/>
  <c r="K17" i="8"/>
  <c r="G17" i="8"/>
  <c r="O16" i="8"/>
  <c r="N16" i="8"/>
  <c r="M16" i="8"/>
  <c r="K16" i="8"/>
  <c r="G16" i="8"/>
  <c r="O15" i="8"/>
  <c r="N15" i="8"/>
  <c r="M15" i="8"/>
  <c r="K15" i="8"/>
  <c r="G15" i="8"/>
  <c r="O14" i="8"/>
  <c r="N14" i="8"/>
  <c r="M14" i="8"/>
  <c r="K14" i="8"/>
  <c r="G14" i="8"/>
  <c r="O13" i="8"/>
  <c r="N13" i="8"/>
  <c r="M13" i="8"/>
  <c r="K13" i="8"/>
  <c r="G13" i="8"/>
  <c r="K12" i="8"/>
  <c r="G12" i="8"/>
  <c r="O11" i="8"/>
  <c r="N11" i="8"/>
  <c r="M11" i="8"/>
  <c r="K11" i="8"/>
  <c r="G11" i="8"/>
  <c r="K10" i="8"/>
  <c r="G10" i="8"/>
  <c r="O9" i="8"/>
  <c r="N9" i="8"/>
  <c r="M9" i="8"/>
  <c r="K9" i="8"/>
  <c r="G9" i="8"/>
  <c r="O8" i="8"/>
  <c r="N8" i="8"/>
  <c r="M8" i="8"/>
  <c r="K8" i="8"/>
  <c r="G8" i="8"/>
  <c r="K7" i="8"/>
  <c r="G7" i="8"/>
  <c r="O6" i="8"/>
  <c r="N6" i="8"/>
  <c r="M6" i="8"/>
  <c r="K6" i="8"/>
  <c r="G6" i="8"/>
  <c r="K5" i="8"/>
  <c r="G5" i="8"/>
  <c r="O4" i="8"/>
  <c r="N4" i="8"/>
  <c r="M4" i="8"/>
  <c r="K4" i="8"/>
  <c r="G4" i="8"/>
</calcChain>
</file>

<file path=xl/comments1.xml><?xml version="1.0" encoding="utf-8"?>
<comments xmlns="http://schemas.openxmlformats.org/spreadsheetml/2006/main">
  <authors>
    <author>User</author>
  </authors>
  <commentList>
    <comment ref="CM5" authorId="0">
      <text>
        <r>
          <rPr>
            <b/>
            <sz val="9"/>
            <color indexed="81"/>
            <rFont val="宋体"/>
            <family val="3"/>
            <charset val="134"/>
          </rPr>
          <t>User:</t>
        </r>
        <r>
          <rPr>
            <sz val="9"/>
            <color indexed="81"/>
            <rFont val="宋体"/>
            <family val="3"/>
            <charset val="134"/>
          </rPr>
          <t xml:space="preserve">
工休</t>
        </r>
      </text>
    </comment>
    <comment ref="DW5" authorId="0">
      <text>
        <r>
          <rPr>
            <b/>
            <sz val="9"/>
            <color indexed="81"/>
            <rFont val="宋体"/>
            <family val="3"/>
            <charset val="134"/>
          </rPr>
          <t>User：
工休</t>
        </r>
      </text>
    </comment>
    <comment ref="EI5" authorId="0">
      <text>
        <r>
          <rPr>
            <b/>
            <sz val="9"/>
            <color indexed="81"/>
            <rFont val="宋体"/>
            <family val="3"/>
            <charset val="134"/>
          </rPr>
          <t>User:</t>
        </r>
        <r>
          <rPr>
            <sz val="9"/>
            <color indexed="81"/>
            <rFont val="宋体"/>
            <family val="3"/>
            <charset val="134"/>
          </rPr>
          <t xml:space="preserve">
工休</t>
        </r>
      </text>
    </comment>
    <comment ref="EO5" authorId="0">
      <text>
        <r>
          <rPr>
            <b/>
            <sz val="9"/>
            <color indexed="81"/>
            <rFont val="宋体"/>
            <family val="3"/>
            <charset val="134"/>
          </rPr>
          <t>User:</t>
        </r>
        <r>
          <rPr>
            <sz val="9"/>
            <color indexed="81"/>
            <rFont val="宋体"/>
            <family val="3"/>
            <charset val="134"/>
          </rPr>
          <t xml:space="preserve">
工休</t>
        </r>
      </text>
    </comment>
    <comment ref="EU5" authorId="0">
      <text>
        <r>
          <rPr>
            <b/>
            <sz val="9"/>
            <color indexed="81"/>
            <rFont val="宋体"/>
            <family val="3"/>
            <charset val="134"/>
          </rPr>
          <t>User:</t>
        </r>
        <r>
          <rPr>
            <sz val="9"/>
            <color indexed="81"/>
            <rFont val="宋体"/>
            <family val="3"/>
            <charset val="134"/>
          </rPr>
          <t xml:space="preserve">
工休</t>
        </r>
      </text>
    </comment>
    <comment ref="FA5" authorId="0">
      <text>
        <r>
          <rPr>
            <b/>
            <sz val="9"/>
            <color indexed="81"/>
            <rFont val="宋体"/>
            <family val="3"/>
            <charset val="134"/>
          </rPr>
          <t>User:</t>
        </r>
        <r>
          <rPr>
            <sz val="9"/>
            <color indexed="81"/>
            <rFont val="宋体"/>
            <family val="3"/>
            <charset val="134"/>
          </rPr>
          <t xml:space="preserve">
工休</t>
        </r>
      </text>
    </comment>
    <comment ref="FM5" authorId="0">
      <text>
        <r>
          <rPr>
            <b/>
            <sz val="9"/>
            <color indexed="81"/>
            <rFont val="宋体"/>
            <family val="3"/>
            <charset val="134"/>
          </rPr>
          <t>User:</t>
        </r>
        <r>
          <rPr>
            <sz val="9"/>
            <color indexed="81"/>
            <rFont val="宋体"/>
            <family val="3"/>
            <charset val="134"/>
          </rPr>
          <t xml:space="preserve">
工休</t>
        </r>
      </text>
    </comment>
    <comment ref="CM6" authorId="0">
      <text>
        <r>
          <rPr>
            <b/>
            <sz val="9"/>
            <color indexed="81"/>
            <rFont val="宋体"/>
            <family val="3"/>
            <charset val="134"/>
          </rPr>
          <t>User:</t>
        </r>
        <r>
          <rPr>
            <sz val="9"/>
            <color indexed="81"/>
            <rFont val="宋体"/>
            <family val="3"/>
            <charset val="134"/>
          </rPr>
          <t xml:space="preserve">
工休</t>
        </r>
      </text>
    </comment>
    <comment ref="DW6" authorId="0">
      <text>
        <r>
          <rPr>
            <b/>
            <sz val="9"/>
            <color indexed="81"/>
            <rFont val="宋体"/>
            <family val="3"/>
            <charset val="134"/>
          </rPr>
          <t>User：
工休</t>
        </r>
      </text>
    </comment>
    <comment ref="EI6" authorId="0">
      <text>
        <r>
          <rPr>
            <b/>
            <sz val="9"/>
            <color indexed="81"/>
            <rFont val="宋体"/>
            <family val="3"/>
            <charset val="134"/>
          </rPr>
          <t>User:</t>
        </r>
        <r>
          <rPr>
            <sz val="9"/>
            <color indexed="81"/>
            <rFont val="宋体"/>
            <family val="3"/>
            <charset val="134"/>
          </rPr>
          <t xml:space="preserve">
工休</t>
        </r>
      </text>
    </comment>
    <comment ref="EO6" authorId="0">
      <text>
        <r>
          <rPr>
            <b/>
            <sz val="9"/>
            <color indexed="81"/>
            <rFont val="宋体"/>
            <family val="3"/>
            <charset val="134"/>
          </rPr>
          <t>User:</t>
        </r>
        <r>
          <rPr>
            <sz val="9"/>
            <color indexed="81"/>
            <rFont val="宋体"/>
            <family val="3"/>
            <charset val="134"/>
          </rPr>
          <t xml:space="preserve">
工休</t>
        </r>
      </text>
    </comment>
    <comment ref="EU6" authorId="0">
      <text>
        <r>
          <rPr>
            <b/>
            <sz val="9"/>
            <color indexed="81"/>
            <rFont val="宋体"/>
            <family val="3"/>
            <charset val="134"/>
          </rPr>
          <t>User:</t>
        </r>
        <r>
          <rPr>
            <sz val="9"/>
            <color indexed="81"/>
            <rFont val="宋体"/>
            <family val="3"/>
            <charset val="134"/>
          </rPr>
          <t xml:space="preserve">
工休</t>
        </r>
      </text>
    </comment>
    <comment ref="FA6" authorId="0">
      <text>
        <r>
          <rPr>
            <b/>
            <sz val="9"/>
            <color indexed="81"/>
            <rFont val="宋体"/>
            <family val="3"/>
            <charset val="134"/>
          </rPr>
          <t>User:</t>
        </r>
        <r>
          <rPr>
            <sz val="9"/>
            <color indexed="81"/>
            <rFont val="宋体"/>
            <family val="3"/>
            <charset val="134"/>
          </rPr>
          <t xml:space="preserve">
工休</t>
        </r>
      </text>
    </comment>
    <comment ref="FM6" authorId="0">
      <text>
        <r>
          <rPr>
            <b/>
            <sz val="9"/>
            <color indexed="81"/>
            <rFont val="宋体"/>
            <family val="3"/>
            <charset val="134"/>
          </rPr>
          <t>User:</t>
        </r>
        <r>
          <rPr>
            <sz val="9"/>
            <color indexed="81"/>
            <rFont val="宋体"/>
            <family val="3"/>
            <charset val="134"/>
          </rPr>
          <t xml:space="preserve">
工休</t>
        </r>
      </text>
    </comment>
    <comment ref="CM7" authorId="0">
      <text>
        <r>
          <rPr>
            <b/>
            <sz val="9"/>
            <color indexed="81"/>
            <rFont val="宋体"/>
            <family val="3"/>
            <charset val="134"/>
          </rPr>
          <t>User:</t>
        </r>
        <r>
          <rPr>
            <sz val="9"/>
            <color indexed="81"/>
            <rFont val="宋体"/>
            <family val="3"/>
            <charset val="134"/>
          </rPr>
          <t xml:space="preserve">
工休</t>
        </r>
      </text>
    </comment>
    <comment ref="DW7" authorId="0">
      <text>
        <r>
          <rPr>
            <b/>
            <sz val="9"/>
            <color indexed="81"/>
            <rFont val="宋体"/>
            <family val="3"/>
            <charset val="134"/>
          </rPr>
          <t>User：
工休</t>
        </r>
      </text>
    </comment>
    <comment ref="EI7" authorId="0">
      <text>
        <r>
          <rPr>
            <b/>
            <sz val="9"/>
            <color indexed="81"/>
            <rFont val="宋体"/>
            <family val="3"/>
            <charset val="134"/>
          </rPr>
          <t>User:</t>
        </r>
        <r>
          <rPr>
            <sz val="9"/>
            <color indexed="81"/>
            <rFont val="宋体"/>
            <family val="3"/>
            <charset val="134"/>
          </rPr>
          <t xml:space="preserve">
工休</t>
        </r>
      </text>
    </comment>
    <comment ref="EO7" authorId="0">
      <text>
        <r>
          <rPr>
            <b/>
            <sz val="9"/>
            <color indexed="81"/>
            <rFont val="宋体"/>
            <family val="3"/>
            <charset val="134"/>
          </rPr>
          <t>User:</t>
        </r>
        <r>
          <rPr>
            <sz val="9"/>
            <color indexed="81"/>
            <rFont val="宋体"/>
            <family val="3"/>
            <charset val="134"/>
          </rPr>
          <t xml:space="preserve">
工休</t>
        </r>
      </text>
    </comment>
    <comment ref="EU7" authorId="0">
      <text>
        <r>
          <rPr>
            <b/>
            <sz val="9"/>
            <color indexed="81"/>
            <rFont val="宋体"/>
            <family val="3"/>
            <charset val="134"/>
          </rPr>
          <t>User:</t>
        </r>
        <r>
          <rPr>
            <sz val="9"/>
            <color indexed="81"/>
            <rFont val="宋体"/>
            <family val="3"/>
            <charset val="134"/>
          </rPr>
          <t xml:space="preserve">
工休</t>
        </r>
      </text>
    </comment>
    <comment ref="FA7" authorId="0">
      <text>
        <r>
          <rPr>
            <b/>
            <sz val="9"/>
            <color indexed="81"/>
            <rFont val="宋体"/>
            <family val="3"/>
            <charset val="134"/>
          </rPr>
          <t>User:</t>
        </r>
        <r>
          <rPr>
            <sz val="9"/>
            <color indexed="81"/>
            <rFont val="宋体"/>
            <family val="3"/>
            <charset val="134"/>
          </rPr>
          <t xml:space="preserve">
工休</t>
        </r>
      </text>
    </comment>
    <comment ref="FM7" authorId="0">
      <text>
        <r>
          <rPr>
            <b/>
            <sz val="9"/>
            <color indexed="81"/>
            <rFont val="宋体"/>
            <family val="3"/>
            <charset val="134"/>
          </rPr>
          <t>User:</t>
        </r>
        <r>
          <rPr>
            <sz val="9"/>
            <color indexed="81"/>
            <rFont val="宋体"/>
            <family val="3"/>
            <charset val="134"/>
          </rPr>
          <t xml:space="preserve">
工休</t>
        </r>
      </text>
    </comment>
    <comment ref="CM8" authorId="0">
      <text>
        <r>
          <rPr>
            <b/>
            <sz val="9"/>
            <color indexed="81"/>
            <rFont val="宋体"/>
            <family val="3"/>
            <charset val="134"/>
          </rPr>
          <t>User:</t>
        </r>
        <r>
          <rPr>
            <sz val="9"/>
            <color indexed="81"/>
            <rFont val="宋体"/>
            <family val="3"/>
            <charset val="134"/>
          </rPr>
          <t xml:space="preserve">
工休</t>
        </r>
      </text>
    </comment>
    <comment ref="DW8" authorId="0">
      <text>
        <r>
          <rPr>
            <b/>
            <sz val="9"/>
            <color indexed="81"/>
            <rFont val="宋体"/>
            <family val="3"/>
            <charset val="134"/>
          </rPr>
          <t>User：
工休</t>
        </r>
      </text>
    </comment>
    <comment ref="EI8" authorId="0">
      <text>
        <r>
          <rPr>
            <b/>
            <sz val="9"/>
            <color indexed="81"/>
            <rFont val="宋体"/>
            <family val="3"/>
            <charset val="134"/>
          </rPr>
          <t>User:</t>
        </r>
        <r>
          <rPr>
            <sz val="9"/>
            <color indexed="81"/>
            <rFont val="宋体"/>
            <family val="3"/>
            <charset val="134"/>
          </rPr>
          <t xml:space="preserve">
工休</t>
        </r>
      </text>
    </comment>
    <comment ref="EO8" authorId="0">
      <text>
        <r>
          <rPr>
            <b/>
            <sz val="9"/>
            <color indexed="81"/>
            <rFont val="宋体"/>
            <family val="3"/>
            <charset val="134"/>
          </rPr>
          <t>User:</t>
        </r>
        <r>
          <rPr>
            <sz val="9"/>
            <color indexed="81"/>
            <rFont val="宋体"/>
            <family val="3"/>
            <charset val="134"/>
          </rPr>
          <t xml:space="preserve">
工休</t>
        </r>
      </text>
    </comment>
    <comment ref="EU8" authorId="0">
      <text>
        <r>
          <rPr>
            <b/>
            <sz val="9"/>
            <color indexed="81"/>
            <rFont val="宋体"/>
            <family val="3"/>
            <charset val="134"/>
          </rPr>
          <t>User:</t>
        </r>
        <r>
          <rPr>
            <sz val="9"/>
            <color indexed="81"/>
            <rFont val="宋体"/>
            <family val="3"/>
            <charset val="134"/>
          </rPr>
          <t xml:space="preserve">
工休</t>
        </r>
      </text>
    </comment>
    <comment ref="FA8" authorId="0">
      <text>
        <r>
          <rPr>
            <b/>
            <sz val="9"/>
            <color indexed="81"/>
            <rFont val="宋体"/>
            <family val="3"/>
            <charset val="134"/>
          </rPr>
          <t>User:</t>
        </r>
        <r>
          <rPr>
            <sz val="9"/>
            <color indexed="81"/>
            <rFont val="宋体"/>
            <family val="3"/>
            <charset val="134"/>
          </rPr>
          <t xml:space="preserve">
工休</t>
        </r>
      </text>
    </comment>
    <comment ref="FM8" authorId="0">
      <text>
        <r>
          <rPr>
            <b/>
            <sz val="9"/>
            <color indexed="81"/>
            <rFont val="宋体"/>
            <family val="3"/>
            <charset val="134"/>
          </rPr>
          <t>User:</t>
        </r>
        <r>
          <rPr>
            <sz val="9"/>
            <color indexed="81"/>
            <rFont val="宋体"/>
            <family val="3"/>
            <charset val="134"/>
          </rPr>
          <t xml:space="preserve">
工休</t>
        </r>
      </text>
    </comment>
    <comment ref="CM9" authorId="0">
      <text>
        <r>
          <rPr>
            <b/>
            <sz val="9"/>
            <color indexed="81"/>
            <rFont val="宋体"/>
            <family val="3"/>
            <charset val="134"/>
          </rPr>
          <t>User:</t>
        </r>
        <r>
          <rPr>
            <sz val="9"/>
            <color indexed="81"/>
            <rFont val="宋体"/>
            <family val="3"/>
            <charset val="134"/>
          </rPr>
          <t xml:space="preserve">
工休</t>
        </r>
      </text>
    </comment>
    <comment ref="DW9" authorId="0">
      <text>
        <r>
          <rPr>
            <b/>
            <sz val="9"/>
            <color indexed="81"/>
            <rFont val="宋体"/>
            <family val="3"/>
            <charset val="134"/>
          </rPr>
          <t>User：
工休</t>
        </r>
      </text>
    </comment>
    <comment ref="EI9" authorId="0">
      <text>
        <r>
          <rPr>
            <b/>
            <sz val="9"/>
            <color indexed="81"/>
            <rFont val="宋体"/>
            <family val="3"/>
            <charset val="134"/>
          </rPr>
          <t>User:</t>
        </r>
        <r>
          <rPr>
            <sz val="9"/>
            <color indexed="81"/>
            <rFont val="宋体"/>
            <family val="3"/>
            <charset val="134"/>
          </rPr>
          <t xml:space="preserve">
工休</t>
        </r>
      </text>
    </comment>
    <comment ref="EO9" authorId="0">
      <text>
        <r>
          <rPr>
            <b/>
            <sz val="9"/>
            <color indexed="81"/>
            <rFont val="宋体"/>
            <family val="3"/>
            <charset val="134"/>
          </rPr>
          <t>User:</t>
        </r>
        <r>
          <rPr>
            <sz val="9"/>
            <color indexed="81"/>
            <rFont val="宋体"/>
            <family val="3"/>
            <charset val="134"/>
          </rPr>
          <t xml:space="preserve">
工休</t>
        </r>
      </text>
    </comment>
    <comment ref="EU9" authorId="0">
      <text>
        <r>
          <rPr>
            <b/>
            <sz val="9"/>
            <color indexed="81"/>
            <rFont val="宋体"/>
            <family val="3"/>
            <charset val="134"/>
          </rPr>
          <t>User:</t>
        </r>
        <r>
          <rPr>
            <sz val="9"/>
            <color indexed="81"/>
            <rFont val="宋体"/>
            <family val="3"/>
            <charset val="134"/>
          </rPr>
          <t xml:space="preserve">
工休</t>
        </r>
      </text>
    </comment>
    <comment ref="FA9" authorId="0">
      <text>
        <r>
          <rPr>
            <b/>
            <sz val="9"/>
            <color indexed="81"/>
            <rFont val="宋体"/>
            <family val="3"/>
            <charset val="134"/>
          </rPr>
          <t>User:</t>
        </r>
        <r>
          <rPr>
            <sz val="9"/>
            <color indexed="81"/>
            <rFont val="宋体"/>
            <family val="3"/>
            <charset val="134"/>
          </rPr>
          <t xml:space="preserve">
工休</t>
        </r>
      </text>
    </comment>
    <comment ref="FM9" authorId="0">
      <text>
        <r>
          <rPr>
            <b/>
            <sz val="9"/>
            <color indexed="81"/>
            <rFont val="宋体"/>
            <family val="3"/>
            <charset val="134"/>
          </rPr>
          <t>User:</t>
        </r>
        <r>
          <rPr>
            <sz val="9"/>
            <color indexed="81"/>
            <rFont val="宋体"/>
            <family val="3"/>
            <charset val="134"/>
          </rPr>
          <t xml:space="preserve">
工休</t>
        </r>
      </text>
    </comment>
    <comment ref="CM10" authorId="0">
      <text>
        <r>
          <rPr>
            <b/>
            <sz val="9"/>
            <color indexed="81"/>
            <rFont val="宋体"/>
            <family val="3"/>
            <charset val="134"/>
          </rPr>
          <t>User:</t>
        </r>
        <r>
          <rPr>
            <sz val="9"/>
            <color indexed="81"/>
            <rFont val="宋体"/>
            <family val="3"/>
            <charset val="134"/>
          </rPr>
          <t xml:space="preserve">
工休</t>
        </r>
      </text>
    </comment>
    <comment ref="CS10" authorId="0">
      <text>
        <r>
          <rPr>
            <b/>
            <sz val="9"/>
            <color indexed="81"/>
            <rFont val="宋体"/>
            <family val="3"/>
            <charset val="134"/>
          </rPr>
          <t>User:</t>
        </r>
        <r>
          <rPr>
            <sz val="9"/>
            <color indexed="81"/>
            <rFont val="宋体"/>
            <family val="3"/>
            <charset val="134"/>
          </rPr>
          <t xml:space="preserve">
病假</t>
        </r>
      </text>
    </comment>
    <comment ref="CY10" authorId="0">
      <text>
        <r>
          <rPr>
            <b/>
            <sz val="9"/>
            <color indexed="81"/>
            <rFont val="宋体"/>
            <family val="3"/>
            <charset val="134"/>
          </rPr>
          <t>User:</t>
        </r>
        <r>
          <rPr>
            <sz val="9"/>
            <color indexed="81"/>
            <rFont val="宋体"/>
            <family val="3"/>
            <charset val="134"/>
          </rPr>
          <t xml:space="preserve">
病假</t>
        </r>
      </text>
    </comment>
    <comment ref="DE10" authorId="0">
      <text>
        <r>
          <rPr>
            <b/>
            <sz val="9"/>
            <color indexed="81"/>
            <rFont val="宋体"/>
            <family val="3"/>
            <charset val="134"/>
          </rPr>
          <t>User:病假</t>
        </r>
      </text>
    </comment>
    <comment ref="DK10" authorId="0">
      <text>
        <r>
          <rPr>
            <b/>
            <sz val="9"/>
            <color indexed="81"/>
            <rFont val="宋体"/>
            <family val="3"/>
            <charset val="134"/>
          </rPr>
          <t>User:</t>
        </r>
        <r>
          <rPr>
            <sz val="9"/>
            <color indexed="81"/>
            <rFont val="宋体"/>
            <family val="3"/>
            <charset val="134"/>
          </rPr>
          <t xml:space="preserve">
病假</t>
        </r>
      </text>
    </comment>
    <comment ref="DQ10" authorId="0">
      <text>
        <r>
          <rPr>
            <b/>
            <sz val="9"/>
            <color indexed="81"/>
            <rFont val="宋体"/>
            <family val="3"/>
            <charset val="134"/>
          </rPr>
          <t>User:</t>
        </r>
        <r>
          <rPr>
            <sz val="9"/>
            <color indexed="81"/>
            <rFont val="宋体"/>
            <family val="3"/>
            <charset val="134"/>
          </rPr>
          <t xml:space="preserve">
病假</t>
        </r>
      </text>
    </comment>
    <comment ref="DW10" authorId="0">
      <text>
        <r>
          <rPr>
            <b/>
            <sz val="9"/>
            <color indexed="81"/>
            <rFont val="宋体"/>
            <family val="3"/>
            <charset val="134"/>
          </rPr>
          <t>User：
工休</t>
        </r>
      </text>
    </comment>
    <comment ref="EC10" authorId="0">
      <text>
        <r>
          <rPr>
            <b/>
            <sz val="9"/>
            <color indexed="81"/>
            <rFont val="宋体"/>
            <family val="3"/>
            <charset val="134"/>
          </rPr>
          <t>User:</t>
        </r>
        <r>
          <rPr>
            <sz val="9"/>
            <color indexed="81"/>
            <rFont val="宋体"/>
            <family val="3"/>
            <charset val="134"/>
          </rPr>
          <t xml:space="preserve">
病假</t>
        </r>
      </text>
    </comment>
    <comment ref="EI10" authorId="0">
      <text>
        <r>
          <rPr>
            <b/>
            <sz val="9"/>
            <color indexed="81"/>
            <rFont val="宋体"/>
            <family val="3"/>
            <charset val="134"/>
          </rPr>
          <t>User:</t>
        </r>
        <r>
          <rPr>
            <sz val="9"/>
            <color indexed="81"/>
            <rFont val="宋体"/>
            <family val="3"/>
            <charset val="134"/>
          </rPr>
          <t xml:space="preserve">
工休</t>
        </r>
      </text>
    </comment>
    <comment ref="EO10" authorId="0">
      <text>
        <r>
          <rPr>
            <b/>
            <sz val="9"/>
            <color indexed="81"/>
            <rFont val="宋体"/>
            <family val="3"/>
            <charset val="134"/>
          </rPr>
          <t>User:</t>
        </r>
        <r>
          <rPr>
            <sz val="9"/>
            <color indexed="81"/>
            <rFont val="宋体"/>
            <family val="3"/>
            <charset val="134"/>
          </rPr>
          <t xml:space="preserve">
工休</t>
        </r>
      </text>
    </comment>
    <comment ref="EU10" authorId="0">
      <text>
        <r>
          <rPr>
            <b/>
            <sz val="9"/>
            <color indexed="81"/>
            <rFont val="宋体"/>
            <family val="3"/>
            <charset val="134"/>
          </rPr>
          <t>User:</t>
        </r>
        <r>
          <rPr>
            <sz val="9"/>
            <color indexed="81"/>
            <rFont val="宋体"/>
            <family val="3"/>
            <charset val="134"/>
          </rPr>
          <t xml:space="preserve">
工休</t>
        </r>
      </text>
    </comment>
    <comment ref="FA10" authorId="0">
      <text>
        <r>
          <rPr>
            <b/>
            <sz val="9"/>
            <color indexed="81"/>
            <rFont val="宋体"/>
            <family val="3"/>
            <charset val="134"/>
          </rPr>
          <t>User:</t>
        </r>
        <r>
          <rPr>
            <sz val="9"/>
            <color indexed="81"/>
            <rFont val="宋体"/>
            <family val="3"/>
            <charset val="134"/>
          </rPr>
          <t xml:space="preserve">
工休</t>
        </r>
      </text>
    </comment>
    <comment ref="FG10" authorId="0">
      <text>
        <r>
          <rPr>
            <b/>
            <sz val="9"/>
            <color indexed="81"/>
            <rFont val="宋体"/>
            <family val="3"/>
            <charset val="134"/>
          </rPr>
          <t>User:</t>
        </r>
        <r>
          <rPr>
            <sz val="9"/>
            <color indexed="81"/>
            <rFont val="宋体"/>
            <family val="3"/>
            <charset val="134"/>
          </rPr>
          <t xml:space="preserve">
工休</t>
        </r>
      </text>
    </comment>
    <comment ref="FM10" authorId="0">
      <text>
        <r>
          <rPr>
            <b/>
            <sz val="9"/>
            <color indexed="81"/>
            <rFont val="宋体"/>
            <family val="3"/>
            <charset val="134"/>
          </rPr>
          <t>User:</t>
        </r>
        <r>
          <rPr>
            <sz val="9"/>
            <color indexed="81"/>
            <rFont val="宋体"/>
            <family val="3"/>
            <charset val="134"/>
          </rPr>
          <t xml:space="preserve">
工休</t>
        </r>
      </text>
    </comment>
    <comment ref="CM11" authorId="0">
      <text>
        <r>
          <rPr>
            <b/>
            <sz val="9"/>
            <color indexed="81"/>
            <rFont val="宋体"/>
            <family val="3"/>
            <charset val="134"/>
          </rPr>
          <t>User:</t>
        </r>
        <r>
          <rPr>
            <sz val="9"/>
            <color indexed="81"/>
            <rFont val="宋体"/>
            <family val="3"/>
            <charset val="134"/>
          </rPr>
          <t xml:space="preserve">
工休</t>
        </r>
      </text>
    </comment>
    <comment ref="DW11" authorId="0">
      <text>
        <r>
          <rPr>
            <b/>
            <sz val="9"/>
            <color indexed="81"/>
            <rFont val="宋体"/>
            <family val="3"/>
            <charset val="134"/>
          </rPr>
          <t>User：
工休</t>
        </r>
      </text>
    </comment>
    <comment ref="EI11" authorId="0">
      <text>
        <r>
          <rPr>
            <b/>
            <sz val="9"/>
            <color indexed="81"/>
            <rFont val="宋体"/>
            <family val="3"/>
            <charset val="134"/>
          </rPr>
          <t>User:</t>
        </r>
        <r>
          <rPr>
            <sz val="9"/>
            <color indexed="81"/>
            <rFont val="宋体"/>
            <family val="3"/>
            <charset val="134"/>
          </rPr>
          <t xml:space="preserve">
工休</t>
        </r>
      </text>
    </comment>
    <comment ref="EO11" authorId="0">
      <text>
        <r>
          <rPr>
            <b/>
            <sz val="9"/>
            <color indexed="81"/>
            <rFont val="宋体"/>
            <family val="3"/>
            <charset val="134"/>
          </rPr>
          <t>User:</t>
        </r>
        <r>
          <rPr>
            <sz val="9"/>
            <color indexed="81"/>
            <rFont val="宋体"/>
            <family val="3"/>
            <charset val="134"/>
          </rPr>
          <t xml:space="preserve">
工休</t>
        </r>
      </text>
    </comment>
    <comment ref="EU11" authorId="0">
      <text>
        <r>
          <rPr>
            <b/>
            <sz val="9"/>
            <color indexed="81"/>
            <rFont val="宋体"/>
            <family val="3"/>
            <charset val="134"/>
          </rPr>
          <t>User:</t>
        </r>
        <r>
          <rPr>
            <sz val="9"/>
            <color indexed="81"/>
            <rFont val="宋体"/>
            <family val="3"/>
            <charset val="134"/>
          </rPr>
          <t xml:space="preserve">
工休</t>
        </r>
      </text>
    </comment>
    <comment ref="FA11" authorId="0">
      <text>
        <r>
          <rPr>
            <b/>
            <sz val="9"/>
            <color indexed="81"/>
            <rFont val="宋体"/>
            <family val="3"/>
            <charset val="134"/>
          </rPr>
          <t>User:</t>
        </r>
        <r>
          <rPr>
            <sz val="9"/>
            <color indexed="81"/>
            <rFont val="宋体"/>
            <family val="3"/>
            <charset val="134"/>
          </rPr>
          <t xml:space="preserve">
工休</t>
        </r>
      </text>
    </comment>
    <comment ref="FM11" authorId="0">
      <text>
        <r>
          <rPr>
            <b/>
            <sz val="9"/>
            <color indexed="81"/>
            <rFont val="宋体"/>
            <family val="3"/>
            <charset val="134"/>
          </rPr>
          <t>User:</t>
        </r>
        <r>
          <rPr>
            <sz val="9"/>
            <color indexed="81"/>
            <rFont val="宋体"/>
            <family val="3"/>
            <charset val="134"/>
          </rPr>
          <t xml:space="preserve">
工休</t>
        </r>
      </text>
    </comment>
    <comment ref="CM12" authorId="0">
      <text>
        <r>
          <rPr>
            <b/>
            <sz val="9"/>
            <color indexed="81"/>
            <rFont val="宋体"/>
            <family val="3"/>
            <charset val="134"/>
          </rPr>
          <t>User:</t>
        </r>
        <r>
          <rPr>
            <sz val="9"/>
            <color indexed="81"/>
            <rFont val="宋体"/>
            <family val="3"/>
            <charset val="134"/>
          </rPr>
          <t xml:space="preserve">
工休</t>
        </r>
      </text>
    </comment>
    <comment ref="DW12" authorId="0">
      <text>
        <r>
          <rPr>
            <b/>
            <sz val="9"/>
            <color indexed="81"/>
            <rFont val="宋体"/>
            <family val="3"/>
            <charset val="134"/>
          </rPr>
          <t>User：
工休</t>
        </r>
      </text>
    </comment>
    <comment ref="EI12" authorId="0">
      <text>
        <r>
          <rPr>
            <b/>
            <sz val="9"/>
            <color indexed="81"/>
            <rFont val="宋体"/>
            <family val="3"/>
            <charset val="134"/>
          </rPr>
          <t>User:</t>
        </r>
        <r>
          <rPr>
            <sz val="9"/>
            <color indexed="81"/>
            <rFont val="宋体"/>
            <family val="3"/>
            <charset val="134"/>
          </rPr>
          <t xml:space="preserve">
工休</t>
        </r>
      </text>
    </comment>
    <comment ref="EO12" authorId="0">
      <text>
        <r>
          <rPr>
            <b/>
            <sz val="9"/>
            <color indexed="81"/>
            <rFont val="宋体"/>
            <family val="3"/>
            <charset val="134"/>
          </rPr>
          <t>User:</t>
        </r>
        <r>
          <rPr>
            <sz val="9"/>
            <color indexed="81"/>
            <rFont val="宋体"/>
            <family val="3"/>
            <charset val="134"/>
          </rPr>
          <t xml:space="preserve">
工休</t>
        </r>
      </text>
    </comment>
    <comment ref="EU12" authorId="0">
      <text>
        <r>
          <rPr>
            <b/>
            <sz val="9"/>
            <color indexed="81"/>
            <rFont val="宋体"/>
            <family val="3"/>
            <charset val="134"/>
          </rPr>
          <t>User:</t>
        </r>
        <r>
          <rPr>
            <sz val="9"/>
            <color indexed="81"/>
            <rFont val="宋体"/>
            <family val="3"/>
            <charset val="134"/>
          </rPr>
          <t xml:space="preserve">
工休</t>
        </r>
      </text>
    </comment>
    <comment ref="FA12" authorId="0">
      <text>
        <r>
          <rPr>
            <b/>
            <sz val="9"/>
            <color indexed="81"/>
            <rFont val="宋体"/>
            <family val="3"/>
            <charset val="134"/>
          </rPr>
          <t>User:</t>
        </r>
        <r>
          <rPr>
            <sz val="9"/>
            <color indexed="81"/>
            <rFont val="宋体"/>
            <family val="3"/>
            <charset val="134"/>
          </rPr>
          <t xml:space="preserve">
工休</t>
        </r>
      </text>
    </comment>
    <comment ref="FM12" authorId="0">
      <text>
        <r>
          <rPr>
            <b/>
            <sz val="9"/>
            <color indexed="81"/>
            <rFont val="宋体"/>
            <family val="3"/>
            <charset val="134"/>
          </rPr>
          <t>User:</t>
        </r>
        <r>
          <rPr>
            <sz val="9"/>
            <color indexed="81"/>
            <rFont val="宋体"/>
            <family val="3"/>
            <charset val="134"/>
          </rPr>
          <t xml:space="preserve">
工休</t>
        </r>
      </text>
    </comment>
    <comment ref="CM13" authorId="0">
      <text>
        <r>
          <rPr>
            <b/>
            <sz val="9"/>
            <color indexed="81"/>
            <rFont val="宋体"/>
            <family val="3"/>
            <charset val="134"/>
          </rPr>
          <t>User:</t>
        </r>
        <r>
          <rPr>
            <sz val="9"/>
            <color indexed="81"/>
            <rFont val="宋体"/>
            <family val="3"/>
            <charset val="134"/>
          </rPr>
          <t xml:space="preserve">
工休</t>
        </r>
      </text>
    </comment>
    <comment ref="DW13" authorId="0">
      <text>
        <r>
          <rPr>
            <b/>
            <sz val="9"/>
            <color indexed="81"/>
            <rFont val="宋体"/>
            <family val="3"/>
            <charset val="134"/>
          </rPr>
          <t>User：
工休</t>
        </r>
      </text>
    </comment>
    <comment ref="EI13" authorId="0">
      <text>
        <r>
          <rPr>
            <b/>
            <sz val="9"/>
            <color indexed="81"/>
            <rFont val="宋体"/>
            <family val="3"/>
            <charset val="134"/>
          </rPr>
          <t>User:</t>
        </r>
        <r>
          <rPr>
            <sz val="9"/>
            <color indexed="81"/>
            <rFont val="宋体"/>
            <family val="3"/>
            <charset val="134"/>
          </rPr>
          <t xml:space="preserve">
工休</t>
        </r>
      </text>
    </comment>
    <comment ref="EO13" authorId="0">
      <text>
        <r>
          <rPr>
            <b/>
            <sz val="9"/>
            <color indexed="81"/>
            <rFont val="宋体"/>
            <family val="3"/>
            <charset val="134"/>
          </rPr>
          <t>User:</t>
        </r>
        <r>
          <rPr>
            <sz val="9"/>
            <color indexed="81"/>
            <rFont val="宋体"/>
            <family val="3"/>
            <charset val="134"/>
          </rPr>
          <t xml:space="preserve">
工休</t>
        </r>
      </text>
    </comment>
    <comment ref="EU13" authorId="0">
      <text>
        <r>
          <rPr>
            <b/>
            <sz val="9"/>
            <color indexed="81"/>
            <rFont val="宋体"/>
            <family val="3"/>
            <charset val="134"/>
          </rPr>
          <t>User:</t>
        </r>
        <r>
          <rPr>
            <sz val="9"/>
            <color indexed="81"/>
            <rFont val="宋体"/>
            <family val="3"/>
            <charset val="134"/>
          </rPr>
          <t xml:space="preserve">
工休</t>
        </r>
      </text>
    </comment>
    <comment ref="FA13" authorId="0">
      <text>
        <r>
          <rPr>
            <b/>
            <sz val="9"/>
            <color indexed="81"/>
            <rFont val="宋体"/>
            <family val="3"/>
            <charset val="134"/>
          </rPr>
          <t>User:</t>
        </r>
        <r>
          <rPr>
            <sz val="9"/>
            <color indexed="81"/>
            <rFont val="宋体"/>
            <family val="3"/>
            <charset val="134"/>
          </rPr>
          <t xml:space="preserve">
工休</t>
        </r>
      </text>
    </comment>
    <comment ref="FM13" authorId="0">
      <text>
        <r>
          <rPr>
            <b/>
            <sz val="9"/>
            <color indexed="81"/>
            <rFont val="宋体"/>
            <family val="3"/>
            <charset val="134"/>
          </rPr>
          <t>User:</t>
        </r>
        <r>
          <rPr>
            <sz val="9"/>
            <color indexed="81"/>
            <rFont val="宋体"/>
            <family val="3"/>
            <charset val="134"/>
          </rPr>
          <t xml:space="preserve">
工休</t>
        </r>
      </text>
    </comment>
  </commentList>
</comments>
</file>

<file path=xl/sharedStrings.xml><?xml version="1.0" encoding="utf-8"?>
<sst xmlns="http://schemas.openxmlformats.org/spreadsheetml/2006/main" count="429" uniqueCount="177">
  <si>
    <t>序
号</t>
  </si>
  <si>
    <t>姓名</t>
  </si>
  <si>
    <t>进厂日期</t>
  </si>
  <si>
    <t>底薪</t>
  </si>
  <si>
    <t>计件工资（元）</t>
  </si>
  <si>
    <t>计时工资（元）</t>
  </si>
  <si>
    <t>异常计时工资工资（元）</t>
  </si>
  <si>
    <t>请假</t>
  </si>
  <si>
    <t>总工资(元)</t>
  </si>
  <si>
    <t>1日</t>
  </si>
  <si>
    <t>3日</t>
  </si>
  <si>
    <t>4日</t>
  </si>
  <si>
    <t>5日</t>
  </si>
  <si>
    <t>6日</t>
  </si>
  <si>
    <t>7日</t>
  </si>
  <si>
    <t>8日</t>
  </si>
  <si>
    <t>9日</t>
  </si>
  <si>
    <t>10日</t>
  </si>
  <si>
    <t>13日</t>
  </si>
  <si>
    <t>14日</t>
  </si>
  <si>
    <t>15日</t>
  </si>
  <si>
    <t>16日</t>
  </si>
  <si>
    <t>17日</t>
  </si>
  <si>
    <t>18日</t>
  </si>
  <si>
    <t>19日</t>
  </si>
  <si>
    <t>20日</t>
  </si>
  <si>
    <t>21日</t>
  </si>
  <si>
    <t>22日</t>
  </si>
  <si>
    <t>23日</t>
  </si>
  <si>
    <t>24日</t>
  </si>
  <si>
    <t>25日</t>
  </si>
  <si>
    <t>27日</t>
  </si>
  <si>
    <t>28日</t>
  </si>
  <si>
    <t>29日</t>
  </si>
  <si>
    <t>30日</t>
  </si>
  <si>
    <t>备注</t>
  </si>
  <si>
    <t>计件工资</t>
  </si>
  <si>
    <t>计时工资</t>
  </si>
  <si>
    <t>班补（元）</t>
    <phoneticPr fontId="3" type="noConversion"/>
  </si>
  <si>
    <t>班补</t>
    <phoneticPr fontId="3" type="noConversion"/>
  </si>
  <si>
    <t>陈梅香</t>
    <phoneticPr fontId="6" type="noConversion"/>
  </si>
  <si>
    <t>邢荷香</t>
    <phoneticPr fontId="6" type="noConversion"/>
  </si>
  <si>
    <t>邢火凤</t>
    <phoneticPr fontId="6" type="noConversion"/>
  </si>
  <si>
    <t>邢凤头</t>
    <phoneticPr fontId="6" type="noConversion"/>
  </si>
  <si>
    <t>娄金连</t>
    <phoneticPr fontId="3" type="noConversion"/>
  </si>
  <si>
    <t>吴扬州</t>
    <phoneticPr fontId="3" type="noConversion"/>
  </si>
  <si>
    <t>南京来一口食品有限公司</t>
    <phoneticPr fontId="3" type="noConversion"/>
  </si>
  <si>
    <t>车间奖罚（元）</t>
    <phoneticPr fontId="3" type="noConversion"/>
  </si>
  <si>
    <t>史大头</t>
    <phoneticPr fontId="3" type="noConversion"/>
  </si>
  <si>
    <t>制表：</t>
    <phoneticPr fontId="3" type="noConversion"/>
  </si>
  <si>
    <t>邢老头</t>
    <phoneticPr fontId="3" type="noConversion"/>
  </si>
  <si>
    <t>万红梅</t>
    <phoneticPr fontId="3" type="noConversion"/>
  </si>
  <si>
    <t>童波</t>
    <phoneticPr fontId="3" type="noConversion"/>
  </si>
  <si>
    <t>混合装</t>
  </si>
  <si>
    <t>94小怪兽</t>
  </si>
  <si>
    <t>总单价</t>
  </si>
  <si>
    <t>套标产能（kg/H/人）</t>
  </si>
  <si>
    <t>套标单价/kg</t>
  </si>
  <si>
    <t>套标单价（元/件）</t>
  </si>
  <si>
    <t>占比</t>
  </si>
  <si>
    <t>装箱（挑+装）（件/h）</t>
  </si>
  <si>
    <t>装箱（件/天/人）</t>
  </si>
  <si>
    <t>装箱单（元/件）</t>
  </si>
  <si>
    <t>烫标单价/h</t>
  </si>
  <si>
    <t>1770/正班工时</t>
  </si>
  <si>
    <t>合计占比</t>
  </si>
  <si>
    <t>130可吸果冻</t>
  </si>
  <si>
    <t>125通天娃娃</t>
  </si>
  <si>
    <t>冰糖葫芦</t>
  </si>
  <si>
    <t>品项</t>
  </si>
  <si>
    <t>人均产能件/H/人</t>
  </si>
  <si>
    <t>单价（元/件）</t>
  </si>
  <si>
    <t>92果肉粒布甸果冻</t>
  </si>
  <si>
    <t>此拟定单价为临时包装计件单价，仅用于消耗呆滞膜期间的生产运用</t>
  </si>
  <si>
    <t>160果肉粒布甸果冻</t>
  </si>
  <si>
    <t>90布甸果冻</t>
  </si>
  <si>
    <t>135胶原蛋白果冻</t>
  </si>
  <si>
    <t>100优酪果冻</t>
  </si>
  <si>
    <t>160优酪果冻</t>
  </si>
  <si>
    <r>
      <t>注</t>
    </r>
    <r>
      <rPr>
        <sz val="14"/>
        <color rgb="FF000000"/>
        <rFont val="楷体_GB2312"/>
        <family val="3"/>
        <charset val="134"/>
      </rPr>
      <t>：</t>
    </r>
    <r>
      <rPr>
        <b/>
        <sz val="14"/>
        <color rgb="FF000000"/>
        <rFont val="楷体_GB2312"/>
        <family val="3"/>
        <charset val="134"/>
      </rPr>
      <t>此单价为临时单价，呆滞膜消耗完后此单价自动作废！！！</t>
    </r>
  </si>
  <si>
    <t>生产部包装车间计件单价调整表（2016年5月）</t>
    <phoneticPr fontId="3" type="noConversion"/>
  </si>
  <si>
    <t>类型</t>
    <phoneticPr fontId="3" type="noConversion"/>
  </si>
  <si>
    <t>品项(口味）</t>
    <phoneticPr fontId="3" type="noConversion"/>
  </si>
  <si>
    <t>现行单价（底薪1630元）</t>
    <phoneticPr fontId="3" type="noConversion"/>
  </si>
  <si>
    <t>调整后单价（底薪1770）</t>
    <phoneticPr fontId="3" type="noConversion"/>
  </si>
  <si>
    <t>单价涨幅</t>
    <phoneticPr fontId="3" type="noConversion"/>
  </si>
  <si>
    <t>备注</t>
    <phoneticPr fontId="3" type="noConversion"/>
  </si>
  <si>
    <t>人均产能（件/h)</t>
    <phoneticPr fontId="3" type="noConversion"/>
  </si>
  <si>
    <t>单价（元/件）</t>
    <phoneticPr fontId="3" type="noConversion"/>
  </si>
  <si>
    <t>时薪（元）</t>
    <phoneticPr fontId="3" type="noConversion"/>
  </si>
  <si>
    <t>单价（元）</t>
    <phoneticPr fontId="3" type="noConversion"/>
  </si>
  <si>
    <t>线上产品</t>
    <phoneticPr fontId="3" type="noConversion"/>
  </si>
  <si>
    <r>
      <t>2</t>
    </r>
    <r>
      <rPr>
        <sz val="12"/>
        <rFont val="宋体"/>
        <family val="3"/>
        <charset val="134"/>
      </rPr>
      <t>00克果肉</t>
    </r>
    <phoneticPr fontId="3" type="noConversion"/>
  </si>
  <si>
    <t>杂果</t>
    <phoneticPr fontId="3" type="noConversion"/>
  </si>
  <si>
    <t>黄桃</t>
    <phoneticPr fontId="3" type="noConversion"/>
  </si>
  <si>
    <r>
      <t>1</t>
    </r>
    <r>
      <rPr>
        <sz val="12"/>
        <rFont val="宋体"/>
        <family val="3"/>
        <charset val="134"/>
      </rPr>
      <t>85克果肉</t>
    </r>
    <phoneticPr fontId="3" type="noConversion"/>
  </si>
  <si>
    <r>
      <t>1</t>
    </r>
    <r>
      <rPr>
        <sz val="12"/>
        <rFont val="宋体"/>
        <family val="3"/>
        <charset val="134"/>
      </rPr>
      <t>25克果肉</t>
    </r>
    <phoneticPr fontId="3" type="noConversion"/>
  </si>
  <si>
    <t>125克层层</t>
    <phoneticPr fontId="3" type="noConversion"/>
  </si>
  <si>
    <t>红毛丹</t>
    <phoneticPr fontId="3" type="noConversion"/>
  </si>
  <si>
    <t>哈密瓜</t>
    <phoneticPr fontId="3" type="noConversion"/>
  </si>
  <si>
    <r>
      <t>9</t>
    </r>
    <r>
      <rPr>
        <sz val="12"/>
        <rFont val="宋体"/>
        <family val="3"/>
        <charset val="134"/>
      </rPr>
      <t>5克果肉</t>
    </r>
    <phoneticPr fontId="3" type="noConversion"/>
  </si>
  <si>
    <r>
      <t>8</t>
    </r>
    <r>
      <rPr>
        <sz val="12"/>
        <rFont val="宋体"/>
        <family val="3"/>
        <charset val="134"/>
      </rPr>
      <t>5克吸吸</t>
    </r>
    <phoneticPr fontId="3" type="noConversion"/>
  </si>
  <si>
    <t>各口味类型相同</t>
    <phoneticPr fontId="3" type="noConversion"/>
  </si>
  <si>
    <r>
      <t>1</t>
    </r>
    <r>
      <rPr>
        <sz val="12"/>
        <rFont val="宋体"/>
        <family val="3"/>
        <charset val="134"/>
      </rPr>
      <t>20克么么冰</t>
    </r>
    <phoneticPr fontId="3" type="noConversion"/>
  </si>
  <si>
    <t>80克情人心语</t>
    <phoneticPr fontId="3" type="noConversion"/>
  </si>
  <si>
    <t>香橙</t>
    <phoneticPr fontId="3" type="noConversion"/>
  </si>
  <si>
    <t>荔枝</t>
    <phoneticPr fontId="3" type="noConversion"/>
  </si>
  <si>
    <r>
      <t>6</t>
    </r>
    <r>
      <rPr>
        <sz val="12"/>
        <rFont val="宋体"/>
        <family val="3"/>
        <charset val="134"/>
      </rPr>
      <t>0克果味</t>
    </r>
    <phoneticPr fontId="3" type="noConversion"/>
  </si>
  <si>
    <r>
      <t>4</t>
    </r>
    <r>
      <rPr>
        <sz val="12"/>
        <rFont val="宋体"/>
        <family val="3"/>
        <charset val="134"/>
      </rPr>
      <t>5克果肉</t>
    </r>
    <phoneticPr fontId="3" type="noConversion"/>
  </si>
  <si>
    <t>青提</t>
    <phoneticPr fontId="3" type="noConversion"/>
  </si>
  <si>
    <t>42克布甸</t>
    <phoneticPr fontId="3" type="noConversion"/>
  </si>
  <si>
    <t>该两类品项为散装包装产品，原计件单价考滤员工劳动强度较大，时薪标准定位较高，本次暂不做调整。</t>
    <phoneticPr fontId="3" type="noConversion"/>
  </si>
  <si>
    <t>45克奶香酷</t>
    <phoneticPr fontId="3" type="noConversion"/>
  </si>
  <si>
    <r>
      <t>3</t>
    </r>
    <r>
      <rPr>
        <sz val="12"/>
        <rFont val="宋体"/>
        <family val="3"/>
        <charset val="134"/>
      </rPr>
      <t>6克层层</t>
    </r>
    <phoneticPr fontId="3" type="noConversion"/>
  </si>
  <si>
    <t>30克钙铁锌</t>
    <phoneticPr fontId="3" type="noConversion"/>
  </si>
  <si>
    <r>
      <t>3</t>
    </r>
    <r>
      <rPr>
        <sz val="12"/>
        <rFont val="宋体"/>
        <family val="3"/>
        <charset val="134"/>
      </rPr>
      <t>0克果肉</t>
    </r>
    <phoneticPr fontId="3" type="noConversion"/>
  </si>
  <si>
    <r>
      <t>3</t>
    </r>
    <r>
      <rPr>
        <sz val="12"/>
        <rFont val="宋体"/>
        <family val="3"/>
        <charset val="134"/>
      </rPr>
      <t>0克椰果</t>
    </r>
    <phoneticPr fontId="3" type="noConversion"/>
  </si>
  <si>
    <t>生产效率提升幅度较大，已超出时薪标准，对原有计件单价略有下降。</t>
    <phoneticPr fontId="3" type="noConversion"/>
  </si>
  <si>
    <r>
      <t>3</t>
    </r>
    <r>
      <rPr>
        <sz val="12"/>
        <rFont val="宋体"/>
        <family val="3"/>
        <charset val="134"/>
      </rPr>
      <t>0克果冻条</t>
    </r>
    <phoneticPr fontId="3" type="noConversion"/>
  </si>
  <si>
    <t>该几类品项为散装包装产品，原计件单价考滤员工劳动强度较大，时薪标准定位较高，故本次调整幅度较低。</t>
    <phoneticPr fontId="3" type="noConversion"/>
  </si>
  <si>
    <r>
      <t>3</t>
    </r>
    <r>
      <rPr>
        <sz val="12"/>
        <rFont val="宋体"/>
        <family val="3"/>
        <charset val="134"/>
      </rPr>
      <t>0克果味</t>
    </r>
    <phoneticPr fontId="3" type="noConversion"/>
  </si>
  <si>
    <r>
      <t>2</t>
    </r>
    <r>
      <rPr>
        <sz val="12"/>
        <rFont val="宋体"/>
        <family val="3"/>
        <charset val="134"/>
      </rPr>
      <t>8克拉丝</t>
    </r>
    <phoneticPr fontId="3" type="noConversion"/>
  </si>
  <si>
    <r>
      <t>2</t>
    </r>
    <r>
      <rPr>
        <sz val="12"/>
        <rFont val="宋体"/>
        <family val="3"/>
        <charset val="134"/>
      </rPr>
      <t>5克乳酸</t>
    </r>
    <phoneticPr fontId="3" type="noConversion"/>
  </si>
  <si>
    <t>线下产品</t>
    <phoneticPr fontId="3" type="noConversion"/>
  </si>
  <si>
    <r>
      <t>1</t>
    </r>
    <r>
      <rPr>
        <sz val="12"/>
        <rFont val="宋体"/>
        <family val="3"/>
        <charset val="134"/>
      </rPr>
      <t>30克可吸</t>
    </r>
    <phoneticPr fontId="3" type="noConversion"/>
  </si>
  <si>
    <r>
      <t>1</t>
    </r>
    <r>
      <rPr>
        <sz val="12"/>
        <rFont val="宋体"/>
        <family val="3"/>
        <charset val="134"/>
      </rPr>
      <t>20克水果园可吸</t>
    </r>
    <phoneticPr fontId="3" type="noConversion"/>
  </si>
  <si>
    <r>
      <t>6</t>
    </r>
    <r>
      <rPr>
        <sz val="12"/>
        <rFont val="宋体"/>
        <family val="3"/>
        <charset val="134"/>
      </rPr>
      <t>5</t>
    </r>
    <r>
      <rPr>
        <sz val="12"/>
        <rFont val="宋体"/>
        <family val="3"/>
        <charset val="134"/>
      </rPr>
      <t>克可吸系列</t>
    </r>
    <phoneticPr fontId="3" type="noConversion"/>
  </si>
  <si>
    <t>生产效率提升，已达到时薪标准，暂不做调整</t>
    <phoneticPr fontId="3" type="noConversion"/>
  </si>
  <si>
    <t>50克可吸系列</t>
    <phoneticPr fontId="3" type="noConversion"/>
  </si>
  <si>
    <t>草莓</t>
    <phoneticPr fontId="3" type="noConversion"/>
  </si>
  <si>
    <t>苹果</t>
    <phoneticPr fontId="3" type="noConversion"/>
  </si>
  <si>
    <t>海马香橙</t>
    <phoneticPr fontId="3" type="noConversion"/>
  </si>
  <si>
    <t>玉米</t>
    <phoneticPr fontId="3" type="noConversion"/>
  </si>
  <si>
    <r>
      <t>5</t>
    </r>
    <r>
      <rPr>
        <sz val="12"/>
        <rFont val="宋体"/>
        <family val="3"/>
        <charset val="134"/>
      </rPr>
      <t>0克兵器可吸系列</t>
    </r>
    <phoneticPr fontId="3" type="noConversion"/>
  </si>
  <si>
    <r>
      <t>5</t>
    </r>
    <r>
      <rPr>
        <sz val="12"/>
        <rFont val="宋体"/>
        <family val="3"/>
        <charset val="134"/>
      </rPr>
      <t>0ml棒棒冰</t>
    </r>
    <phoneticPr fontId="3" type="noConversion"/>
  </si>
  <si>
    <t>78ml棒棒冰</t>
    <phoneticPr fontId="3" type="noConversion"/>
  </si>
  <si>
    <r>
      <t>6</t>
    </r>
    <r>
      <rPr>
        <sz val="12"/>
        <rFont val="宋体"/>
        <family val="3"/>
        <charset val="134"/>
      </rPr>
      <t>24棒棒冰</t>
    </r>
    <phoneticPr fontId="3" type="noConversion"/>
  </si>
  <si>
    <r>
      <t>9</t>
    </r>
    <r>
      <rPr>
        <sz val="12"/>
        <rFont val="宋体"/>
        <family val="3"/>
        <charset val="134"/>
      </rPr>
      <t>4克小怪兽</t>
    </r>
    <phoneticPr fontId="3" type="noConversion"/>
  </si>
  <si>
    <r>
      <t>1</t>
    </r>
    <r>
      <rPr>
        <sz val="12"/>
        <rFont val="宋体"/>
        <family val="3"/>
        <charset val="134"/>
      </rPr>
      <t>20通天宝宝</t>
    </r>
    <phoneticPr fontId="3" type="noConversion"/>
  </si>
  <si>
    <t>冰糖葫芦</t>
    <phoneticPr fontId="3" type="noConversion"/>
  </si>
  <si>
    <t>礼包类</t>
    <phoneticPr fontId="3" type="noConversion"/>
  </si>
  <si>
    <t>顽仔背包</t>
    <phoneticPr fontId="3" type="noConversion"/>
  </si>
  <si>
    <t>充气乐园背包</t>
    <phoneticPr fontId="3" type="noConversion"/>
  </si>
  <si>
    <t>小翠花手提袋</t>
    <phoneticPr fontId="3" type="noConversion"/>
  </si>
  <si>
    <t>玩具猫卡通车</t>
    <phoneticPr fontId="3" type="noConversion"/>
  </si>
  <si>
    <t>六粒袋喜庆装果冻</t>
    <phoneticPr fontId="3" type="noConversion"/>
  </si>
  <si>
    <t>物流</t>
    <phoneticPr fontId="3" type="noConversion"/>
  </si>
  <si>
    <t>成品转运入库</t>
    <phoneticPr fontId="3" type="noConversion"/>
  </si>
  <si>
    <t xml:space="preserve"> 1、入库单价：0.026元/件（计件制）
 2、每月260元绩效考核工资 
</t>
    <phoneticPr fontId="3" type="noConversion"/>
  </si>
  <si>
    <t xml:space="preserve"> 1、入库单价：0.028元/件（计件制）
 2、每月260元绩效考核工资 
</t>
    <phoneticPr fontId="3" type="noConversion"/>
  </si>
  <si>
    <t>合计：</t>
    <phoneticPr fontId="3" type="noConversion"/>
  </si>
  <si>
    <r>
      <rPr>
        <b/>
        <sz val="16"/>
        <rFont val="宋体"/>
        <family val="3"/>
        <charset val="134"/>
      </rPr>
      <t>注</t>
    </r>
    <r>
      <rPr>
        <sz val="12"/>
        <rFont val="宋体"/>
        <family val="3"/>
        <charset val="134"/>
      </rPr>
      <t>:</t>
    </r>
    <r>
      <rPr>
        <sz val="12"/>
        <rFont val="宋体"/>
        <family val="3"/>
        <charset val="134"/>
      </rPr>
      <t>1、线上产品单价是根据各品项人员编制及结合现有流水线作业模式，在确保品质的前提下，根据充填车间设备产能并结合时薪标准而拟定；线下产品是根据实测人工效率及综合生产数统计并结合时薪标准而拟定。
    2、时薪是标准底薪除以月基本总工时208小时（如：1770/208=8.50），日薪标准为11.25*8.5=95.6元。包装员工非节假日的日薪为:计件工资+加班补贴工资（</t>
    </r>
    <r>
      <rPr>
        <sz val="12"/>
        <color rgb="FFFF0000"/>
        <rFont val="宋体"/>
        <family val="3"/>
        <charset val="134"/>
      </rPr>
      <t>每小时</t>
    </r>
    <r>
      <rPr>
        <sz val="12"/>
        <color rgb="FFFF0000"/>
        <rFont val="宋体"/>
        <family val="2"/>
        <charset val="134"/>
      </rPr>
      <t>4</t>
    </r>
    <r>
      <rPr>
        <sz val="12"/>
        <color rgb="FFFF0000"/>
        <rFont val="宋体"/>
        <family val="3"/>
        <charset val="134"/>
      </rPr>
      <t>元</t>
    </r>
    <r>
      <rPr>
        <sz val="12"/>
        <rFont val="宋体"/>
        <family val="3"/>
        <charset val="134"/>
      </rPr>
      <t>）。</t>
    </r>
    <r>
      <rPr>
        <sz val="12"/>
        <rFont val="宋体"/>
        <family val="3"/>
        <charset val="134"/>
      </rPr>
      <t xml:space="preserve">
</t>
    </r>
    <r>
      <rPr>
        <sz val="12"/>
        <rFont val="宋体"/>
        <family val="3"/>
        <charset val="134"/>
      </rPr>
      <t xml:space="preserve">    3</t>
    </r>
    <r>
      <rPr>
        <sz val="12"/>
        <rFont val="宋体"/>
        <family val="3"/>
        <charset val="134"/>
      </rPr>
      <t xml:space="preserve">、对年生产量不足1000件且生产工艺更换频繁的品项（如：法式布丁、胶原蛋白、布甸果肉粒等未在上表中体现包装单价的产品），因包装工艺更换频繁对记件单价的测定及执行很不稳定，暂定按记时包装，待产量增大、包装工艺稳定后再做记件单价调整。
</t>
    </r>
    <r>
      <rPr>
        <sz val="12"/>
        <rFont val="宋体"/>
        <family val="3"/>
        <charset val="134"/>
      </rPr>
      <t xml:space="preserve">    </t>
    </r>
    <r>
      <rPr>
        <sz val="12"/>
        <rFont val="宋体"/>
        <family val="3"/>
        <charset val="134"/>
      </rPr>
      <t>4</t>
    </r>
    <r>
      <rPr>
        <sz val="12"/>
        <rFont val="宋体"/>
        <family val="3"/>
        <charset val="134"/>
      </rPr>
      <t>、套标类产品（如：</t>
    </r>
    <r>
      <rPr>
        <sz val="12"/>
        <rFont val="宋体"/>
        <family val="3"/>
        <charset val="134"/>
      </rPr>
      <t>130</t>
    </r>
    <r>
      <rPr>
        <sz val="12"/>
        <rFont val="宋体"/>
        <family val="3"/>
        <charset val="134"/>
      </rPr>
      <t>克可吸、</t>
    </r>
    <r>
      <rPr>
        <sz val="12"/>
        <rFont val="宋体"/>
        <family val="3"/>
        <charset val="134"/>
      </rPr>
      <t>94</t>
    </r>
    <r>
      <rPr>
        <sz val="12"/>
        <rFont val="宋体"/>
        <family val="3"/>
        <charset val="134"/>
      </rPr>
      <t>小怪兽、</t>
    </r>
    <r>
      <rPr>
        <sz val="12"/>
        <rFont val="宋体"/>
        <family val="3"/>
        <charset val="134"/>
      </rPr>
      <t>120</t>
    </r>
    <r>
      <rPr>
        <sz val="12"/>
        <rFont val="宋体"/>
        <family val="3"/>
        <charset val="134"/>
      </rPr>
      <t xml:space="preserve">通天宝宝等），的计件单价包括套标、烫标、风干、装箱工序工资，各工序可分开计件操作（按车间套标计件标准执行）。
</t>
    </r>
    <r>
      <rPr>
        <sz val="12"/>
        <rFont val="宋体"/>
        <family val="3"/>
        <charset val="134"/>
      </rPr>
      <t xml:space="preserve">    5</t>
    </r>
    <r>
      <rPr>
        <sz val="12"/>
        <rFont val="宋体"/>
        <family val="3"/>
        <charset val="134"/>
      </rPr>
      <t>、当产品包装工艺更改及生产流程发生变化，实际操作效率与现行效率标准存在差异，及时根据实际情况申请单价的调整并报批。</t>
    </r>
    <r>
      <rPr>
        <sz val="12"/>
        <rFont val="宋体"/>
        <family val="3"/>
        <charset val="134"/>
      </rPr>
      <t xml:space="preserve">
</t>
    </r>
    <r>
      <rPr>
        <sz val="12"/>
        <rFont val="宋体"/>
        <family val="3"/>
        <charset val="134"/>
      </rPr>
      <t xml:space="preserve">   </t>
    </r>
    <phoneticPr fontId="3" type="noConversion"/>
  </si>
  <si>
    <t>套标单价元/kg</t>
    <phoneticPr fontId="12" type="noConversion"/>
  </si>
  <si>
    <t>出勤</t>
    <phoneticPr fontId="3" type="noConversion"/>
  </si>
  <si>
    <t>实际出勤（含周日、年休）</t>
    <phoneticPr fontId="3" type="noConversion"/>
  </si>
  <si>
    <t>2日</t>
  </si>
  <si>
    <t>11日</t>
  </si>
  <si>
    <t>12日</t>
  </si>
  <si>
    <t>26日</t>
  </si>
  <si>
    <t>31日</t>
  </si>
  <si>
    <t>就餐天数</t>
    <phoneticPr fontId="3" type="noConversion"/>
  </si>
  <si>
    <t>员工确认签字</t>
    <phoneticPr fontId="3" type="noConversion"/>
  </si>
  <si>
    <t>职位</t>
    <phoneticPr fontId="3" type="noConversion"/>
  </si>
  <si>
    <t>普工</t>
    <phoneticPr fontId="3" type="noConversion"/>
  </si>
  <si>
    <t>异常计时工资</t>
    <phoneticPr fontId="3" type="noConversion"/>
  </si>
  <si>
    <t>请假</t>
    <phoneticPr fontId="3" type="noConversion"/>
  </si>
  <si>
    <t>计件工资</t>
    <phoneticPr fontId="3" type="noConversion"/>
  </si>
  <si>
    <t>标准保底工资</t>
    <phoneticPr fontId="12" type="noConversion"/>
  </si>
  <si>
    <t>实际保底工资</t>
    <phoneticPr fontId="12" type="noConversion"/>
  </si>
  <si>
    <t>实际享受工资</t>
    <phoneticPr fontId="12" type="noConversion"/>
  </si>
  <si>
    <t>其他</t>
    <phoneticPr fontId="12" type="noConversion"/>
  </si>
  <si>
    <t>车间奖罚</t>
    <phoneticPr fontId="12" type="noConversion"/>
  </si>
  <si>
    <t>实际工资</t>
    <phoneticPr fontId="12" type="noConversion"/>
  </si>
  <si>
    <t>批准：</t>
    <phoneticPr fontId="3" type="noConversion"/>
  </si>
  <si>
    <t>审核：</t>
    <phoneticPr fontId="3" type="noConversion"/>
  </si>
  <si>
    <t>制表：童波</t>
    <phoneticPr fontId="3" type="noConversion"/>
  </si>
  <si>
    <t>3月份临时工工资表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</si>
</sst>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_);[Red]\(0\)"/>
    <numFmt numFmtId="179" formatCode="0.00_ "/>
    <numFmt numFmtId="180" formatCode="0.0"/>
  </numFmts>
  <fonts count="33">
    <font>
      <sz val="12"/>
      <name val="宋体"/>
      <charset val="134"/>
    </font>
    <font>
      <sz val="12"/>
      <name val="楷体_GB2312"/>
      <family val="3"/>
      <charset val="134"/>
    </font>
    <font>
      <sz val="10"/>
      <name val="宋体"/>
      <family val="3"/>
      <charset val="134"/>
    </font>
    <font>
      <sz val="9"/>
      <name val="宋体"/>
      <family val="3"/>
      <charset val="134"/>
    </font>
    <font>
      <sz val="12"/>
      <name val="宋体"/>
      <family val="3"/>
      <charset val="134"/>
    </font>
    <font>
      <sz val="12"/>
      <name val="宋体"/>
      <family val="3"/>
      <charset val="134"/>
    </font>
    <font>
      <sz val="9"/>
      <name val="宋体"/>
      <family val="3"/>
      <charset val="134"/>
    </font>
    <font>
      <sz val="10"/>
      <name val="宋体"/>
      <family val="3"/>
      <charset val="134"/>
      <scheme val="minor"/>
    </font>
    <font>
      <sz val="10"/>
      <color indexed="17"/>
      <name val="宋体"/>
      <family val="3"/>
      <charset val="134"/>
      <scheme val="minor"/>
    </font>
    <font>
      <sz val="10"/>
      <color indexed="14"/>
      <name val="宋体"/>
      <family val="3"/>
      <charset val="134"/>
      <scheme val="minor"/>
    </font>
    <font>
      <sz val="10"/>
      <color indexed="8"/>
      <name val="宋体"/>
      <family val="3"/>
      <charset val="134"/>
      <scheme val="minor"/>
    </font>
    <font>
      <sz val="10"/>
      <color theme="1"/>
      <name val="宋体"/>
      <family val="3"/>
      <charset val="134"/>
      <scheme val="minor"/>
    </font>
    <font>
      <sz val="9"/>
      <name val="宋体"/>
      <family val="2"/>
      <charset val="134"/>
      <scheme val="minor"/>
    </font>
    <font>
      <sz val="14"/>
      <name val="楷体_GB2312"/>
      <family val="3"/>
      <charset val="134"/>
    </font>
    <font>
      <sz val="10"/>
      <color theme="1"/>
      <name val="宋体"/>
      <family val="3"/>
      <charset val="134"/>
    </font>
    <font>
      <sz val="12"/>
      <name val="宋体"/>
      <family val="3"/>
      <charset val="134"/>
    </font>
    <font>
      <b/>
      <sz val="16"/>
      <name val="宋体"/>
      <family val="3"/>
      <charset val="134"/>
    </font>
    <font>
      <sz val="9"/>
      <name val="宋体"/>
      <family val="3"/>
      <charset val="134"/>
    </font>
    <font>
      <sz val="11"/>
      <name val="宋体"/>
      <family val="3"/>
      <charset val="134"/>
    </font>
    <font>
      <b/>
      <sz val="12"/>
      <name val="宋体"/>
      <family val="3"/>
      <charset val="134"/>
    </font>
    <font>
      <sz val="16"/>
      <name val="宋体"/>
      <family val="3"/>
      <charset val="134"/>
    </font>
    <font>
      <sz val="12"/>
      <color rgb="FFFF0000"/>
      <name val="宋体"/>
      <family val="3"/>
      <charset val="134"/>
    </font>
    <font>
      <sz val="11"/>
      <color rgb="FF000000"/>
      <name val="宋体"/>
      <family val="3"/>
      <charset val="134"/>
    </font>
    <font>
      <b/>
      <sz val="11"/>
      <color rgb="FF000000"/>
      <name val="宋体"/>
      <family val="3"/>
      <charset val="134"/>
    </font>
    <font>
      <b/>
      <sz val="12"/>
      <color rgb="FF000000"/>
      <name val="楷体_GB2312"/>
      <family val="3"/>
      <charset val="134"/>
    </font>
    <font>
      <sz val="12"/>
      <color rgb="FF000000"/>
      <name val="楷体_GB2312"/>
      <family val="3"/>
      <charset val="134"/>
    </font>
    <font>
      <b/>
      <sz val="14"/>
      <color rgb="FF000000"/>
      <name val="楷体_GB2312"/>
      <family val="3"/>
      <charset val="134"/>
    </font>
    <font>
      <sz val="14"/>
      <color rgb="FF000000"/>
      <name val="楷体_GB2312"/>
      <family val="3"/>
      <charset val="134"/>
    </font>
    <font>
      <sz val="12"/>
      <color rgb="FFFF0000"/>
      <name val="宋体"/>
      <family val="2"/>
      <charset val="134"/>
    </font>
    <font>
      <b/>
      <sz val="14"/>
      <name val="宋体"/>
      <family val="3"/>
      <charset val="134"/>
      <scheme val="minor"/>
    </font>
    <font>
      <sz val="19"/>
      <name val="宋体"/>
      <family val="3"/>
      <charset val="134"/>
      <scheme val="minor"/>
    </font>
    <font>
      <sz val="9"/>
      <color indexed="81"/>
      <name val="宋体"/>
      <family val="3"/>
      <charset val="134"/>
    </font>
    <font>
      <b/>
      <sz val="9"/>
      <color indexed="81"/>
      <name val="宋体"/>
      <family val="3"/>
      <charset val="134"/>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diagonal/>
    </border>
  </borders>
  <cellStyleXfs count="5">
    <xf numFmtId="0" fontId="0" fillId="0" borderId="0"/>
    <xf numFmtId="0" fontId="1" fillId="0" borderId="0" applyProtection="0">
      <alignment vertical="center"/>
    </xf>
    <xf numFmtId="0" fontId="5" fillId="0" borderId="0"/>
    <xf numFmtId="0" fontId="4" fillId="0" borderId="0" applyProtection="0"/>
    <xf numFmtId="9" fontId="15" fillId="0" borderId="0" applyFont="0" applyFill="0" applyBorder="0" applyAlignment="0" applyProtection="0">
      <alignment vertical="center"/>
    </xf>
  </cellStyleXfs>
  <cellXfs count="199">
    <xf numFmtId="0" fontId="0" fillId="0" borderId="0" xfId="0"/>
    <xf numFmtId="0" fontId="0" fillId="0" borderId="0" xfId="0" applyFill="1"/>
    <xf numFmtId="178" fontId="0" fillId="0" borderId="0" xfId="0" applyNumberFormat="1" applyFill="1"/>
    <xf numFmtId="178" fontId="7" fillId="0" borderId="0" xfId="1" applyNumberFormat="1" applyFont="1" applyFill="1" applyBorder="1" applyAlignment="1">
      <alignment horizontal="center" vertical="center"/>
    </xf>
    <xf numFmtId="0" fontId="7" fillId="0" borderId="0" xfId="0" applyFont="1" applyFill="1"/>
    <xf numFmtId="176" fontId="7" fillId="0" borderId="0" xfId="1" applyNumberFormat="1" applyFont="1" applyFill="1" applyBorder="1" applyAlignment="1">
      <alignment horizontal="center" vertical="center"/>
    </xf>
    <xf numFmtId="176" fontId="7" fillId="2" borderId="2" xfId="1" applyNumberFormat="1" applyFont="1" applyFill="1" applyBorder="1" applyAlignment="1">
      <alignment horizontal="center" vertical="center"/>
    </xf>
    <xf numFmtId="0" fontId="7" fillId="0" borderId="0" xfId="1" applyNumberFormat="1" applyFont="1" applyFill="1" applyBorder="1" applyAlignment="1">
      <alignment horizontal="center" vertical="center"/>
    </xf>
    <xf numFmtId="177" fontId="7" fillId="2" borderId="2" xfId="1" applyNumberFormat="1" applyFont="1" applyFill="1" applyBorder="1" applyAlignment="1">
      <alignment horizontal="center" vertical="center"/>
    </xf>
    <xf numFmtId="177" fontId="7" fillId="2" borderId="2" xfId="0" applyNumberFormat="1" applyFont="1" applyFill="1" applyBorder="1" applyAlignment="1">
      <alignment horizontal="center" vertical="center"/>
    </xf>
    <xf numFmtId="0" fontId="7" fillId="2" borderId="0" xfId="1" applyNumberFormat="1" applyFont="1" applyFill="1" applyBorder="1" applyAlignment="1">
      <alignment horizontal="center" vertical="center"/>
    </xf>
    <xf numFmtId="177" fontId="10" fillId="2" borderId="2" xfId="1" applyNumberFormat="1" applyFont="1" applyFill="1" applyBorder="1" applyAlignment="1">
      <alignment horizontal="center" vertical="center"/>
    </xf>
    <xf numFmtId="0" fontId="7" fillId="2" borderId="0" xfId="1" applyNumberFormat="1" applyFont="1" applyFill="1" applyBorder="1" applyAlignment="1">
      <alignment horizontal="right" vertical="center" wrapText="1"/>
    </xf>
    <xf numFmtId="176" fontId="7" fillId="2" borderId="0" xfId="1" applyNumberFormat="1" applyFont="1" applyFill="1" applyBorder="1" applyAlignment="1">
      <alignment horizontal="center" vertical="center" wrapText="1"/>
    </xf>
    <xf numFmtId="0" fontId="7" fillId="2" borderId="0" xfId="1" applyNumberFormat="1" applyFont="1" applyFill="1" applyBorder="1" applyAlignment="1">
      <alignment horizontal="center" vertical="center" wrapText="1"/>
    </xf>
    <xf numFmtId="0" fontId="7" fillId="2" borderId="0" xfId="0" applyFont="1" applyFill="1"/>
    <xf numFmtId="0" fontId="0" fillId="0" borderId="2" xfId="0" applyBorder="1" applyAlignment="1">
      <alignment vertical="center"/>
    </xf>
    <xf numFmtId="179" fontId="0" fillId="0" borderId="2" xfId="0" applyNumberFormat="1" applyBorder="1" applyAlignment="1">
      <alignment horizontal="center" vertical="center"/>
    </xf>
    <xf numFmtId="9" fontId="0" fillId="0" borderId="2" xfId="4" applyFont="1" applyBorder="1" applyAlignment="1">
      <alignment horizontal="center" vertical="center"/>
    </xf>
    <xf numFmtId="0" fontId="0" fillId="2" borderId="2" xfId="0" applyFill="1" applyBorder="1" applyAlignment="1">
      <alignment horizontal="center"/>
    </xf>
    <xf numFmtId="179" fontId="0" fillId="2" borderId="2" xfId="0" applyNumberFormat="1" applyFill="1" applyBorder="1" applyAlignment="1">
      <alignment horizontal="center" vertical="center"/>
    </xf>
    <xf numFmtId="0" fontId="0" fillId="2" borderId="2" xfId="0" applyFill="1" applyBorder="1" applyAlignment="1">
      <alignment horizontal="center" vertical="center" wrapText="1"/>
    </xf>
    <xf numFmtId="0" fontId="0" fillId="0" borderId="0" xfId="0" applyBorder="1" applyAlignment="1">
      <alignment horizontal="center" vertical="center"/>
    </xf>
    <xf numFmtId="0" fontId="16" fillId="0" borderId="0" xfId="0" applyFont="1" applyBorder="1" applyAlignment="1">
      <alignment vertical="center"/>
    </xf>
    <xf numFmtId="176" fontId="4" fillId="3" borderId="2" xfId="0" applyNumberFormat="1" applyFont="1" applyFill="1" applyBorder="1" applyAlignment="1">
      <alignment horizontal="center" vertical="center"/>
    </xf>
    <xf numFmtId="9" fontId="19" fillId="0" borderId="2" xfId="4"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22" fillId="0" borderId="18" xfId="0" applyFont="1" applyBorder="1" applyAlignment="1">
      <alignment horizontal="center"/>
    </xf>
    <xf numFmtId="0" fontId="23" fillId="0" borderId="19" xfId="0" applyFont="1" applyBorder="1" applyAlignment="1">
      <alignment horizontal="center"/>
    </xf>
    <xf numFmtId="9" fontId="23" fillId="0" borderId="19" xfId="0" applyNumberFormat="1" applyFont="1" applyBorder="1" applyAlignment="1">
      <alignment horizontal="center"/>
    </xf>
    <xf numFmtId="0" fontId="22" fillId="0" borderId="19" xfId="0" applyFont="1" applyBorder="1" applyAlignment="1">
      <alignment horizontal="center"/>
    </xf>
    <xf numFmtId="0" fontId="22" fillId="0" borderId="19" xfId="0" applyFont="1" applyBorder="1" applyAlignment="1">
      <alignment horizontal="left"/>
    </xf>
    <xf numFmtId="0" fontId="23" fillId="4" borderId="19" xfId="0" applyFont="1" applyFill="1" applyBorder="1" applyAlignment="1">
      <alignment horizontal="center"/>
    </xf>
    <xf numFmtId="0" fontId="24" fillId="0" borderId="21" xfId="0" applyFont="1" applyBorder="1" applyAlignment="1">
      <alignment horizontal="center"/>
    </xf>
    <xf numFmtId="0" fontId="25" fillId="0" borderId="18" xfId="0" applyFont="1" applyBorder="1" applyAlignment="1">
      <alignment horizontal="center"/>
    </xf>
    <xf numFmtId="0" fontId="25" fillId="0" borderId="18" xfId="0" applyFont="1" applyBorder="1" applyAlignment="1">
      <alignment horizontal="center" wrapText="1"/>
    </xf>
    <xf numFmtId="0" fontId="24" fillId="0" borderId="22" xfId="0" applyFont="1" applyBorder="1" applyAlignment="1">
      <alignment horizontal="center"/>
    </xf>
    <xf numFmtId="0" fontId="25" fillId="0" borderId="19" xfId="0" applyFont="1" applyBorder="1" applyAlignment="1">
      <alignment horizontal="center"/>
    </xf>
    <xf numFmtId="0" fontId="4" fillId="0" borderId="0" xfId="0" applyFont="1"/>
    <xf numFmtId="0" fontId="24" fillId="4" borderId="19" xfId="0" applyFont="1" applyFill="1" applyBorder="1" applyAlignment="1">
      <alignment horizontal="center"/>
    </xf>
    <xf numFmtId="0" fontId="0" fillId="2" borderId="2" xfId="0" applyFill="1" applyBorder="1" applyAlignment="1">
      <alignment horizontal="center" vertical="center"/>
    </xf>
    <xf numFmtId="0" fontId="16" fillId="0" borderId="2" xfId="0" applyFont="1" applyBorder="1" applyAlignment="1">
      <alignment vertical="center"/>
    </xf>
    <xf numFmtId="0" fontId="16" fillId="2" borderId="2" xfId="0" applyFont="1" applyFill="1" applyBorder="1" applyAlignment="1">
      <alignment horizontal="center" vertical="center" textRotation="255"/>
    </xf>
    <xf numFmtId="0" fontId="16" fillId="0" borderId="10"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vertical="center"/>
    </xf>
    <xf numFmtId="0" fontId="13" fillId="0" borderId="0" xfId="0" applyFont="1" applyAlignment="1">
      <alignment vertical="center"/>
    </xf>
    <xf numFmtId="0" fontId="4" fillId="0" borderId="2" xfId="0" applyFont="1" applyBorder="1" applyAlignment="1">
      <alignment vertical="center"/>
    </xf>
    <xf numFmtId="179" fontId="0" fillId="4" borderId="2" xfId="0" applyNumberFormat="1" applyFill="1" applyBorder="1" applyAlignment="1">
      <alignment horizontal="center" vertical="center"/>
    </xf>
    <xf numFmtId="0" fontId="4" fillId="2" borderId="2" xfId="0" applyFont="1" applyFill="1" applyBorder="1" applyAlignment="1">
      <alignment horizontal="center" vertical="center"/>
    </xf>
    <xf numFmtId="9" fontId="4" fillId="2" borderId="2" xfId="4" applyFont="1" applyFill="1" applyBorder="1" applyAlignment="1">
      <alignment horizontal="center" vertical="center"/>
    </xf>
    <xf numFmtId="0" fontId="0" fillId="0" borderId="2" xfId="0" applyBorder="1" applyAlignment="1"/>
    <xf numFmtId="0" fontId="4" fillId="0" borderId="0" xfId="0" applyFont="1" applyBorder="1" applyAlignment="1">
      <alignment vertical="center"/>
    </xf>
    <xf numFmtId="179" fontId="4" fillId="0" borderId="2" xfId="0" applyNumberFormat="1" applyFont="1" applyBorder="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0" fillId="0" borderId="0" xfId="0" applyAlignment="1">
      <alignment vertical="center"/>
    </xf>
    <xf numFmtId="9" fontId="0" fillId="5" borderId="0" xfId="0" applyNumberFormat="1" applyFill="1" applyAlignment="1">
      <alignment vertical="center"/>
    </xf>
    <xf numFmtId="0" fontId="0" fillId="5" borderId="0" xfId="0" applyFill="1" applyAlignment="1">
      <alignment vertical="center"/>
    </xf>
    <xf numFmtId="0" fontId="22" fillId="0" borderId="24" xfId="0" applyFont="1" applyFill="1" applyBorder="1" applyAlignment="1">
      <alignment horizontal="center"/>
    </xf>
    <xf numFmtId="14" fontId="2" fillId="2" borderId="2" xfId="0" applyNumberFormat="1" applyFont="1" applyFill="1" applyBorder="1" applyAlignment="1">
      <alignment horizontal="center" vertical="center"/>
    </xf>
    <xf numFmtId="176" fontId="10" fillId="2" borderId="2" xfId="1" applyNumberFormat="1" applyFont="1" applyFill="1" applyBorder="1" applyAlignment="1">
      <alignment horizontal="center" vertical="center"/>
    </xf>
    <xf numFmtId="0" fontId="11" fillId="2" borderId="2" xfId="2" applyFont="1" applyFill="1" applyBorder="1" applyAlignment="1">
      <alignment horizontal="center" vertical="center"/>
    </xf>
    <xf numFmtId="14" fontId="7" fillId="2" borderId="2" xfId="0" applyNumberFormat="1" applyFont="1" applyFill="1" applyBorder="1" applyAlignment="1">
      <alignment horizontal="center" vertical="center"/>
    </xf>
    <xf numFmtId="0" fontId="14" fillId="2" borderId="2" xfId="2" applyFont="1" applyFill="1" applyBorder="1" applyAlignment="1">
      <alignment horizontal="center" vertical="center"/>
    </xf>
    <xf numFmtId="0" fontId="7" fillId="2" borderId="2" xfId="0" applyFont="1" applyFill="1" applyBorder="1"/>
    <xf numFmtId="0" fontId="7" fillId="0" borderId="2" xfId="1"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10" fillId="0" borderId="2" xfId="1" applyNumberFormat="1" applyFont="1" applyFill="1" applyBorder="1" applyAlignment="1">
      <alignment horizontal="center" vertical="center"/>
    </xf>
    <xf numFmtId="176" fontId="10" fillId="0" borderId="2" xfId="1" applyNumberFormat="1" applyFont="1" applyFill="1" applyBorder="1" applyAlignment="1">
      <alignment horizontal="center" vertical="center"/>
    </xf>
    <xf numFmtId="0" fontId="7" fillId="0" borderId="2" xfId="0" applyFont="1" applyFill="1" applyBorder="1"/>
    <xf numFmtId="14" fontId="7" fillId="0" borderId="2" xfId="1" applyNumberFormat="1" applyFont="1" applyFill="1" applyBorder="1" applyAlignment="1">
      <alignment horizontal="center" vertical="center"/>
    </xf>
    <xf numFmtId="0" fontId="7" fillId="2" borderId="2" xfId="0" applyFont="1" applyFill="1" applyBorder="1" applyAlignment="1">
      <alignment horizontal="center"/>
    </xf>
    <xf numFmtId="0" fontId="7" fillId="0" borderId="0" xfId="0" applyFont="1" applyFill="1" applyAlignment="1">
      <alignment horizontal="center"/>
    </xf>
    <xf numFmtId="0" fontId="7" fillId="0" borderId="2" xfId="0" applyFont="1" applyFill="1" applyBorder="1" applyAlignment="1">
      <alignment horizontal="center"/>
    </xf>
    <xf numFmtId="177" fontId="7" fillId="2" borderId="2" xfId="1" applyNumberFormat="1" applyFont="1" applyFill="1" applyBorder="1" applyAlignment="1">
      <alignment horizontal="center" vertical="center" wrapText="1"/>
    </xf>
    <xf numFmtId="176" fontId="7" fillId="2" borderId="2" xfId="0" applyNumberFormat="1" applyFont="1" applyFill="1" applyBorder="1" applyAlignment="1">
      <alignment horizontal="center"/>
    </xf>
    <xf numFmtId="14" fontId="7" fillId="2" borderId="1" xfId="1" applyNumberFormat="1" applyFont="1" applyFill="1" applyBorder="1" applyAlignment="1">
      <alignment horizontal="center" vertical="center"/>
    </xf>
    <xf numFmtId="176" fontId="7" fillId="2" borderId="0" xfId="1" applyNumberFormat="1" applyFont="1" applyFill="1" applyBorder="1" applyAlignment="1">
      <alignment horizontal="center" vertical="center"/>
    </xf>
    <xf numFmtId="0" fontId="7" fillId="2" borderId="2" xfId="1" applyNumberFormat="1" applyFont="1" applyFill="1" applyBorder="1" applyAlignment="1">
      <alignment horizontal="center" vertical="center"/>
    </xf>
    <xf numFmtId="0" fontId="11" fillId="2" borderId="2"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xf>
    <xf numFmtId="0" fontId="7" fillId="0" borderId="0" xfId="0" applyFont="1" applyFill="1" applyAlignment="1">
      <alignment horizontal="center" vertical="center"/>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76" fontId="11" fillId="2" borderId="2" xfId="1" applyNumberFormat="1" applyFont="1" applyFill="1" applyBorder="1" applyAlignment="1">
      <alignment horizontal="center" vertical="center"/>
    </xf>
    <xf numFmtId="0" fontId="7" fillId="2" borderId="2"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xf>
    <xf numFmtId="0" fontId="7"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0" fontId="9" fillId="2"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xf>
    <xf numFmtId="0" fontId="7" fillId="2"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wrapText="1"/>
    </xf>
    <xf numFmtId="177" fontId="7" fillId="4" borderId="2" xfId="1" applyNumberFormat="1" applyFont="1" applyFill="1" applyBorder="1" applyAlignment="1">
      <alignment horizontal="center" vertical="center"/>
    </xf>
    <xf numFmtId="180" fontId="7" fillId="2" borderId="2" xfId="1" applyNumberFormat="1" applyFont="1" applyFill="1" applyBorder="1" applyAlignment="1">
      <alignment horizontal="center" vertical="center" wrapText="1"/>
    </xf>
    <xf numFmtId="0" fontId="7" fillId="6" borderId="2" xfId="1" applyNumberFormat="1" applyFont="1" applyFill="1" applyBorder="1" applyAlignment="1">
      <alignment horizontal="center" vertical="center" wrapText="1"/>
    </xf>
    <xf numFmtId="177" fontId="7" fillId="0" borderId="2" xfId="1" applyNumberFormat="1" applyFont="1" applyFill="1" applyBorder="1" applyAlignment="1">
      <alignment horizontal="center" vertical="center"/>
    </xf>
    <xf numFmtId="176" fontId="7" fillId="6" borderId="2" xfId="1" applyNumberFormat="1" applyFont="1" applyFill="1" applyBorder="1" applyAlignment="1">
      <alignment horizontal="center" vertical="center"/>
    </xf>
    <xf numFmtId="177" fontId="7" fillId="6" borderId="2" xfId="1" applyNumberFormat="1" applyFont="1" applyFill="1" applyBorder="1" applyAlignment="1">
      <alignment horizontal="center" vertical="center"/>
    </xf>
    <xf numFmtId="176" fontId="7" fillId="6" borderId="2" xfId="0" applyNumberFormat="1" applyFont="1" applyFill="1" applyBorder="1" applyAlignment="1">
      <alignment horizontal="center"/>
    </xf>
    <xf numFmtId="177" fontId="7" fillId="2" borderId="2" xfId="0" applyNumberFormat="1" applyFont="1" applyFill="1" applyBorder="1" applyAlignment="1">
      <alignment horizontal="center"/>
    </xf>
    <xf numFmtId="177" fontId="7" fillId="2" borderId="1" xfId="1"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0" fontId="7" fillId="2" borderId="5" xfId="1" applyNumberFormat="1" applyFont="1" applyFill="1" applyBorder="1" applyAlignment="1">
      <alignment horizontal="center" vertical="center" wrapText="1"/>
    </xf>
    <xf numFmtId="0" fontId="30" fillId="0" borderId="0" xfId="3" applyNumberFormat="1" applyFont="1" applyFill="1" applyBorder="1" applyAlignment="1">
      <alignment horizontal="center" vertical="center"/>
    </xf>
    <xf numFmtId="0" fontId="29" fillId="0" borderId="4" xfId="3" applyNumberFormat="1" applyFont="1" applyFill="1" applyBorder="1" applyAlignment="1">
      <alignment horizontal="center" vertical="center"/>
    </xf>
    <xf numFmtId="0" fontId="7" fillId="2" borderId="2"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xf>
    <xf numFmtId="0" fontId="7" fillId="2" borderId="6" xfId="1" applyNumberFormat="1" applyFont="1" applyFill="1" applyBorder="1" applyAlignment="1">
      <alignment horizontal="center" vertical="center"/>
    </xf>
    <xf numFmtId="0" fontId="7" fillId="2" borderId="6" xfId="1" applyNumberFormat="1" applyFont="1" applyFill="1" applyBorder="1" applyAlignment="1">
      <alignment horizontal="center" vertical="center" wrapText="1"/>
    </xf>
    <xf numFmtId="0" fontId="7" fillId="6" borderId="2" xfId="1" applyNumberFormat="1" applyFont="1" applyFill="1" applyBorder="1" applyAlignment="1">
      <alignment horizontal="center" vertical="center" wrapText="1"/>
    </xf>
    <xf numFmtId="0" fontId="11" fillId="2" borderId="2"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7"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0" fontId="9" fillId="2" borderId="2" xfId="1" applyNumberFormat="1" applyFont="1" applyFill="1" applyBorder="1" applyAlignment="1">
      <alignment horizontal="center" vertical="center" wrapText="1"/>
    </xf>
    <xf numFmtId="178" fontId="7" fillId="2" borderId="1" xfId="1" applyNumberFormat="1" applyFont="1" applyFill="1" applyBorder="1" applyAlignment="1">
      <alignment horizontal="center" vertical="center" wrapText="1"/>
    </xf>
    <xf numFmtId="178" fontId="7" fillId="2" borderId="6" xfId="1" applyNumberFormat="1" applyFont="1" applyFill="1" applyBorder="1" applyAlignment="1">
      <alignment horizontal="center" vertical="center" wrapText="1"/>
    </xf>
    <xf numFmtId="178" fontId="7" fillId="2" borderId="2" xfId="1" applyNumberFormat="1" applyFont="1" applyFill="1" applyBorder="1" applyAlignment="1">
      <alignment horizontal="center" vertical="center" wrapText="1"/>
    </xf>
    <xf numFmtId="9" fontId="20" fillId="0" borderId="9" xfId="4" applyFont="1" applyBorder="1" applyAlignment="1">
      <alignment horizontal="center" vertical="top" wrapText="1"/>
    </xf>
    <xf numFmtId="9" fontId="20" fillId="0" borderId="0" xfId="4" applyFont="1" applyBorder="1" applyAlignment="1">
      <alignment horizontal="center" vertical="top" wrapText="1"/>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4" fillId="0" borderId="11" xfId="0" applyFont="1" applyBorder="1" applyAlignment="1">
      <alignment vertical="center" wrapText="1"/>
    </xf>
    <xf numFmtId="0" fontId="16" fillId="0" borderId="9" xfId="0" applyFont="1" applyBorder="1" applyAlignment="1">
      <alignment vertical="center"/>
    </xf>
    <xf numFmtId="0" fontId="16" fillId="0" borderId="12" xfId="0" applyFont="1" applyBorder="1" applyAlignment="1">
      <alignment vertical="center"/>
    </xf>
    <xf numFmtId="0" fontId="16" fillId="0" borderId="4" xfId="0" applyFont="1"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14" xfId="0" applyBorder="1" applyAlignment="1">
      <alignment vertical="center"/>
    </xf>
    <xf numFmtId="0" fontId="16" fillId="2" borderId="1" xfId="0" applyFont="1" applyFill="1" applyBorder="1" applyAlignment="1">
      <alignment horizontal="center" vertical="center" textRotation="255"/>
    </xf>
    <xf numFmtId="0" fontId="16" fillId="2" borderId="6" xfId="0" applyFont="1" applyFill="1" applyBorder="1" applyAlignment="1">
      <alignment horizontal="center" vertical="center" textRotation="255"/>
    </xf>
    <xf numFmtId="9" fontId="4" fillId="0" borderId="1" xfId="0" applyNumberFormat="1" applyFont="1" applyBorder="1" applyAlignment="1">
      <alignment horizontal="center" vertical="center"/>
    </xf>
    <xf numFmtId="0" fontId="0" fillId="0" borderId="6" xfId="0" applyBorder="1" applyAlignment="1">
      <alignment vertical="center"/>
    </xf>
    <xf numFmtId="0" fontId="18" fillId="2" borderId="1" xfId="0" applyFont="1" applyFill="1" applyBorder="1" applyAlignment="1">
      <alignment horizontal="left" wrapText="1"/>
    </xf>
    <xf numFmtId="0" fontId="18" fillId="2" borderId="6" xfId="0" applyFont="1" applyFill="1" applyBorder="1" applyAlignment="1">
      <alignment horizontal="left"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179" fontId="0" fillId="4" borderId="1" xfId="0" applyNumberFormat="1" applyFill="1" applyBorder="1" applyAlignment="1">
      <alignment horizontal="center" vertical="center"/>
    </xf>
    <xf numFmtId="179" fontId="0" fillId="4" borderId="6" xfId="0" applyNumberFormat="1" applyFill="1" applyBorder="1" applyAlignment="1">
      <alignment horizontal="center" vertical="center"/>
    </xf>
    <xf numFmtId="0" fontId="18" fillId="2" borderId="1" xfId="0" applyFont="1" applyFill="1" applyBorder="1" applyAlignment="1">
      <alignment vertical="center" wrapText="1"/>
    </xf>
    <xf numFmtId="0" fontId="18" fillId="2" borderId="5" xfId="0" applyFont="1" applyFill="1" applyBorder="1" applyAlignment="1">
      <alignment vertical="center" wrapText="1"/>
    </xf>
    <xf numFmtId="0" fontId="18" fillId="2" borderId="6" xfId="0" applyFont="1" applyFill="1" applyBorder="1" applyAlignment="1">
      <alignment vertical="center" wrapText="1"/>
    </xf>
    <xf numFmtId="0" fontId="16" fillId="0" borderId="1" xfId="0" applyFont="1" applyBorder="1" applyAlignment="1">
      <alignment vertical="center" textRotation="255"/>
    </xf>
    <xf numFmtId="0" fontId="16" fillId="0" borderId="5" xfId="0" applyFont="1" applyBorder="1" applyAlignment="1">
      <alignment vertical="center" textRotation="255"/>
    </xf>
    <xf numFmtId="0" fontId="16" fillId="0" borderId="6" xfId="0" applyFont="1" applyBorder="1" applyAlignment="1">
      <alignment vertical="center" textRotation="255"/>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4" fillId="0" borderId="5" xfId="0" applyFont="1" applyBorder="1" applyAlignment="1">
      <alignment horizontal="center" vertical="center"/>
    </xf>
    <xf numFmtId="179" fontId="0" fillId="4" borderId="5" xfId="0" applyNumberForma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6" fillId="2" borderId="1" xfId="0" applyFont="1" applyFill="1" applyBorder="1" applyAlignment="1">
      <alignment vertical="center" textRotation="255"/>
    </xf>
    <xf numFmtId="0" fontId="16" fillId="2" borderId="5" xfId="0" applyFont="1" applyFill="1" applyBorder="1" applyAlignment="1">
      <alignment vertical="center" textRotation="255"/>
    </xf>
    <xf numFmtId="0" fontId="16" fillId="2" borderId="6" xfId="0" applyFont="1" applyFill="1" applyBorder="1" applyAlignment="1">
      <alignment vertical="center" textRotation="255"/>
    </xf>
    <xf numFmtId="176" fontId="0" fillId="3" borderId="1"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4" fillId="3" borderId="1" xfId="0" applyNumberFormat="1" applyFont="1" applyFill="1" applyBorder="1" applyAlignment="1">
      <alignment horizontal="center" vertical="center"/>
    </xf>
    <xf numFmtId="176" fontId="4" fillId="3" borderId="6" xfId="0" applyNumberFormat="1" applyFont="1" applyFill="1" applyBorder="1" applyAlignment="1">
      <alignment horizontal="center" vertical="center"/>
    </xf>
    <xf numFmtId="176" fontId="4" fillId="3" borderId="5" xfId="0" applyNumberFormat="1" applyFont="1" applyFill="1" applyBorder="1" applyAlignment="1">
      <alignment horizontal="center" vertical="center"/>
    </xf>
    <xf numFmtId="0" fontId="0" fillId="0" borderId="1" xfId="0" applyBorder="1" applyAlignment="1">
      <alignment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9" fontId="13" fillId="0" borderId="2" xfId="0" applyNumberFormat="1" applyFont="1" applyBorder="1" applyAlignment="1">
      <alignment horizontal="center" vertical="center"/>
    </xf>
    <xf numFmtId="0" fontId="13" fillId="0" borderId="2" xfId="0" applyFont="1" applyBorder="1" applyAlignment="1">
      <alignment horizontal="center" vertical="center"/>
    </xf>
    <xf numFmtId="0" fontId="25" fillId="0" borderId="15" xfId="0" applyFont="1" applyBorder="1" applyAlignment="1">
      <alignment horizontal="center" wrapText="1"/>
    </xf>
    <xf numFmtId="0" fontId="25" fillId="0" borderId="16" xfId="0" applyFont="1" applyBorder="1" applyAlignment="1">
      <alignment horizontal="center" wrapText="1"/>
    </xf>
    <xf numFmtId="0" fontId="25" fillId="0" borderId="22" xfId="0" applyFont="1" applyBorder="1" applyAlignment="1">
      <alignment horizontal="center" wrapText="1"/>
    </xf>
    <xf numFmtId="0" fontId="26" fillId="0" borderId="23" xfId="0" applyFont="1" applyBorder="1" applyAlignment="1">
      <alignment horizontal="justify"/>
    </xf>
    <xf numFmtId="0" fontId="22" fillId="0" borderId="2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5" xfId="0" applyFont="1" applyBorder="1" applyAlignment="1">
      <alignment horizontal="center"/>
    </xf>
    <xf numFmtId="0" fontId="22" fillId="0" borderId="16" xfId="0" applyFont="1" applyBorder="1" applyAlignment="1">
      <alignment horizontal="center"/>
    </xf>
    <xf numFmtId="0" fontId="22" fillId="0" borderId="17" xfId="0" applyFont="1" applyBorder="1" applyAlignment="1">
      <alignment horizontal="center"/>
    </xf>
    <xf numFmtId="0" fontId="22" fillId="0" borderId="15" xfId="0" applyFont="1" applyBorder="1" applyAlignment="1">
      <alignment horizontal="center" vertical="center" wrapText="1"/>
    </xf>
  </cellXfs>
  <cellStyles count="5">
    <cellStyle name="百分比" xfId="4" builtinId="5"/>
    <cellStyle name="常规" xfId="0" builtinId="0"/>
    <cellStyle name="常规 2" xfId="1"/>
    <cellStyle name="常规_Sheet1" xfId="2"/>
    <cellStyle name="常规_一月充填车间计件人员工资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Z15"/>
  <sheetViews>
    <sheetView tabSelected="1" zoomScaleSheetLayoutView="100" workbookViewId="0">
      <pane xSplit="4" ySplit="4" topLeftCell="BZ5" activePane="bottomRight" state="frozen"/>
      <selection pane="topRight" activeCell="E1" sqref="E1"/>
      <selection pane="bottomLeft" activeCell="A5" sqref="A5"/>
      <selection pane="bottomRight" activeCell="CF9" sqref="CF9"/>
    </sheetView>
  </sheetViews>
  <sheetFormatPr defaultColWidth="9" defaultRowHeight="14.25" customHeight="1"/>
  <cols>
    <col min="1" max="1" width="5" style="7" customWidth="1"/>
    <col min="2" max="2" width="4.625" style="7" customWidth="1"/>
    <col min="3" max="3" width="10.25" style="7" customWidth="1"/>
    <col min="4" max="4" width="7.375" style="7" customWidth="1"/>
    <col min="5" max="5" width="6.5" style="7" customWidth="1"/>
    <col min="6" max="6" width="9.75" style="7" customWidth="1"/>
    <col min="7" max="7" width="7.625" style="7" customWidth="1"/>
    <col min="8" max="8" width="7.875" style="7" customWidth="1"/>
    <col min="9" max="9" width="5.625" style="7" customWidth="1"/>
    <col min="10" max="10" width="7.875" style="10" customWidth="1"/>
    <col min="11" max="11" width="8.5" style="3" customWidth="1"/>
    <col min="12" max="12" width="6" style="10" hidden="1" customWidth="1"/>
    <col min="13" max="13" width="9.25" style="14" customWidth="1"/>
    <col min="14" max="14" width="8.125" style="7" customWidth="1"/>
    <col min="15" max="106" width="8.625" style="7" customWidth="1"/>
    <col min="107" max="199" width="8.625" style="4" customWidth="1"/>
    <col min="200" max="200" width="20.5" style="4" customWidth="1"/>
    <col min="201" max="201" width="4.125" style="74" customWidth="1"/>
    <col min="202" max="207" width="7" style="74" hidden="1" customWidth="1"/>
    <col min="208" max="208" width="6.625" style="4" customWidth="1"/>
    <col min="209" max="16384" width="9" style="4"/>
  </cols>
  <sheetData>
    <row r="1" spans="1:208" ht="27.75" customHeight="1">
      <c r="A1" s="113" t="s">
        <v>46</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row>
    <row r="2" spans="1:208" ht="18" customHeight="1">
      <c r="A2" s="114" t="s">
        <v>176</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row>
    <row r="3" spans="1:208" s="10" customFormat="1" ht="27.75" customHeight="1">
      <c r="A3" s="115" t="s">
        <v>0</v>
      </c>
      <c r="B3" s="111" t="s">
        <v>162</v>
      </c>
      <c r="C3" s="115" t="s">
        <v>2</v>
      </c>
      <c r="D3" s="115" t="s">
        <v>1</v>
      </c>
      <c r="E3" s="115" t="s">
        <v>3</v>
      </c>
      <c r="F3" s="123" t="s">
        <v>4</v>
      </c>
      <c r="G3" s="124" t="s">
        <v>5</v>
      </c>
      <c r="H3" s="115" t="s">
        <v>6</v>
      </c>
      <c r="I3" s="125" t="s">
        <v>38</v>
      </c>
      <c r="J3" s="111" t="s">
        <v>154</v>
      </c>
      <c r="K3" s="127" t="s">
        <v>7</v>
      </c>
      <c r="L3" s="115" t="s">
        <v>47</v>
      </c>
      <c r="M3" s="115" t="s">
        <v>8</v>
      </c>
      <c r="N3" s="121" t="s">
        <v>9</v>
      </c>
      <c r="O3" s="121"/>
      <c r="P3" s="121"/>
      <c r="Q3" s="121"/>
      <c r="R3" s="121"/>
      <c r="S3" s="121"/>
      <c r="T3" s="115" t="s">
        <v>155</v>
      </c>
      <c r="U3" s="115"/>
      <c r="V3" s="115"/>
      <c r="W3" s="115"/>
      <c r="X3" s="115"/>
      <c r="Y3" s="115"/>
      <c r="Z3" s="115" t="s">
        <v>10</v>
      </c>
      <c r="AA3" s="115"/>
      <c r="AB3" s="115"/>
      <c r="AC3" s="115"/>
      <c r="AD3" s="115"/>
      <c r="AE3" s="115"/>
      <c r="AF3" s="115" t="s">
        <v>11</v>
      </c>
      <c r="AG3" s="115"/>
      <c r="AH3" s="115"/>
      <c r="AI3" s="115"/>
      <c r="AJ3" s="115"/>
      <c r="AK3" s="115"/>
      <c r="AL3" s="119" t="s">
        <v>12</v>
      </c>
      <c r="AM3" s="119"/>
      <c r="AN3" s="119"/>
      <c r="AO3" s="119"/>
      <c r="AP3" s="119"/>
      <c r="AQ3" s="119"/>
      <c r="AR3" s="115" t="s">
        <v>13</v>
      </c>
      <c r="AS3" s="115"/>
      <c r="AT3" s="115"/>
      <c r="AU3" s="115"/>
      <c r="AV3" s="115"/>
      <c r="AW3" s="115"/>
      <c r="AX3" s="115" t="s">
        <v>14</v>
      </c>
      <c r="AY3" s="115"/>
      <c r="AZ3" s="115"/>
      <c r="BA3" s="115"/>
      <c r="BB3" s="115"/>
      <c r="BC3" s="115"/>
      <c r="BD3" s="115" t="s">
        <v>15</v>
      </c>
      <c r="BE3" s="115"/>
      <c r="BF3" s="115"/>
      <c r="BG3" s="115"/>
      <c r="BH3" s="115"/>
      <c r="BI3" s="115"/>
      <c r="BJ3" s="120" t="s">
        <v>16</v>
      </c>
      <c r="BK3" s="120"/>
      <c r="BL3" s="120"/>
      <c r="BM3" s="120"/>
      <c r="BN3" s="120"/>
      <c r="BO3" s="120"/>
      <c r="BP3" s="115" t="s">
        <v>17</v>
      </c>
      <c r="BQ3" s="115"/>
      <c r="BR3" s="115"/>
      <c r="BS3" s="115"/>
      <c r="BT3" s="115"/>
      <c r="BU3" s="115"/>
      <c r="BV3" s="115" t="s">
        <v>156</v>
      </c>
      <c r="BW3" s="115"/>
      <c r="BX3" s="115"/>
      <c r="BY3" s="115"/>
      <c r="BZ3" s="115"/>
      <c r="CA3" s="115"/>
      <c r="CB3" s="119" t="s">
        <v>157</v>
      </c>
      <c r="CC3" s="119"/>
      <c r="CD3" s="119"/>
      <c r="CE3" s="119"/>
      <c r="CF3" s="119"/>
      <c r="CG3" s="119"/>
      <c r="CH3" s="115" t="s">
        <v>18</v>
      </c>
      <c r="CI3" s="115"/>
      <c r="CJ3" s="115"/>
      <c r="CK3" s="115"/>
      <c r="CL3" s="115"/>
      <c r="CM3" s="115"/>
      <c r="CN3" s="115" t="s">
        <v>19</v>
      </c>
      <c r="CO3" s="115"/>
      <c r="CP3" s="115"/>
      <c r="CQ3" s="115"/>
      <c r="CR3" s="115"/>
      <c r="CS3" s="115"/>
      <c r="CT3" s="115" t="s">
        <v>20</v>
      </c>
      <c r="CU3" s="115"/>
      <c r="CV3" s="115"/>
      <c r="CW3" s="115"/>
      <c r="CX3" s="115"/>
      <c r="CY3" s="115"/>
      <c r="CZ3" s="115" t="s">
        <v>21</v>
      </c>
      <c r="DA3" s="115"/>
      <c r="DB3" s="115"/>
      <c r="DC3" s="115"/>
      <c r="DD3" s="115"/>
      <c r="DE3" s="115"/>
      <c r="DF3" s="115" t="s">
        <v>22</v>
      </c>
      <c r="DG3" s="115"/>
      <c r="DH3" s="115"/>
      <c r="DI3" s="115"/>
      <c r="DJ3" s="115"/>
      <c r="DK3" s="115"/>
      <c r="DL3" s="115" t="s">
        <v>23</v>
      </c>
      <c r="DM3" s="115"/>
      <c r="DN3" s="115"/>
      <c r="DO3" s="115"/>
      <c r="DP3" s="115"/>
      <c r="DQ3" s="115"/>
      <c r="DR3" s="119" t="s">
        <v>24</v>
      </c>
      <c r="DS3" s="119"/>
      <c r="DT3" s="119"/>
      <c r="DU3" s="119"/>
      <c r="DV3" s="119"/>
      <c r="DW3" s="119"/>
      <c r="DX3" s="115" t="s">
        <v>25</v>
      </c>
      <c r="DY3" s="115"/>
      <c r="DZ3" s="115"/>
      <c r="EA3" s="115"/>
      <c r="EB3" s="115"/>
      <c r="EC3" s="115"/>
      <c r="ED3" s="115" t="s">
        <v>26</v>
      </c>
      <c r="EE3" s="115"/>
      <c r="EF3" s="115"/>
      <c r="EG3" s="115"/>
      <c r="EH3" s="115"/>
      <c r="EI3" s="115"/>
      <c r="EJ3" s="115" t="s">
        <v>27</v>
      </c>
      <c r="EK3" s="115"/>
      <c r="EL3" s="115"/>
      <c r="EM3" s="115"/>
      <c r="EN3" s="115"/>
      <c r="EO3" s="115"/>
      <c r="EP3" s="120" t="s">
        <v>28</v>
      </c>
      <c r="EQ3" s="120"/>
      <c r="ER3" s="120"/>
      <c r="ES3" s="120"/>
      <c r="ET3" s="120"/>
      <c r="EU3" s="120"/>
      <c r="EV3" s="115" t="s">
        <v>29</v>
      </c>
      <c r="EW3" s="115"/>
      <c r="EX3" s="115"/>
      <c r="EY3" s="115"/>
      <c r="EZ3" s="115"/>
      <c r="FA3" s="115"/>
      <c r="FB3" s="115" t="s">
        <v>30</v>
      </c>
      <c r="FC3" s="115"/>
      <c r="FD3" s="115"/>
      <c r="FE3" s="115"/>
      <c r="FF3" s="115"/>
      <c r="FG3" s="115"/>
      <c r="FH3" s="119" t="s">
        <v>158</v>
      </c>
      <c r="FI3" s="119"/>
      <c r="FJ3" s="119"/>
      <c r="FK3" s="119"/>
      <c r="FL3" s="119"/>
      <c r="FM3" s="119"/>
      <c r="FN3" s="115" t="s">
        <v>31</v>
      </c>
      <c r="FO3" s="115"/>
      <c r="FP3" s="115"/>
      <c r="FQ3" s="115"/>
      <c r="FR3" s="115"/>
      <c r="FS3" s="115"/>
      <c r="FT3" s="115" t="s">
        <v>32</v>
      </c>
      <c r="FU3" s="115"/>
      <c r="FV3" s="115"/>
      <c r="FW3" s="115"/>
      <c r="FX3" s="115"/>
      <c r="FY3" s="115"/>
      <c r="FZ3" s="115" t="s">
        <v>33</v>
      </c>
      <c r="GA3" s="115"/>
      <c r="GB3" s="115"/>
      <c r="GC3" s="115"/>
      <c r="GD3" s="115"/>
      <c r="GE3" s="115"/>
      <c r="GF3" s="115" t="s">
        <v>34</v>
      </c>
      <c r="GG3" s="115"/>
      <c r="GH3" s="115"/>
      <c r="GI3" s="115"/>
      <c r="GJ3" s="115"/>
      <c r="GK3" s="115"/>
      <c r="GL3" s="115" t="s">
        <v>159</v>
      </c>
      <c r="GM3" s="115"/>
      <c r="GN3" s="115"/>
      <c r="GO3" s="115"/>
      <c r="GP3" s="115"/>
      <c r="GQ3" s="115"/>
      <c r="GR3" s="116" t="s">
        <v>86</v>
      </c>
      <c r="GS3" s="111" t="s">
        <v>160</v>
      </c>
      <c r="GT3" s="109" t="s">
        <v>167</v>
      </c>
      <c r="GU3" s="109" t="s">
        <v>168</v>
      </c>
      <c r="GV3" s="109" t="s">
        <v>169</v>
      </c>
      <c r="GW3" s="109" t="s">
        <v>170</v>
      </c>
      <c r="GX3" s="109" t="s">
        <v>171</v>
      </c>
      <c r="GY3" s="109" t="s">
        <v>172</v>
      </c>
      <c r="GZ3" s="111" t="s">
        <v>161</v>
      </c>
    </row>
    <row r="4" spans="1:208" s="10" customFormat="1" ht="12" customHeight="1">
      <c r="A4" s="122"/>
      <c r="B4" s="118"/>
      <c r="C4" s="115"/>
      <c r="D4" s="115"/>
      <c r="E4" s="115"/>
      <c r="F4" s="123"/>
      <c r="G4" s="124"/>
      <c r="H4" s="115"/>
      <c r="I4" s="126"/>
      <c r="J4" s="118"/>
      <c r="K4" s="127"/>
      <c r="L4" s="115"/>
      <c r="M4" s="115"/>
      <c r="N4" s="90" t="s">
        <v>166</v>
      </c>
      <c r="O4" s="91" t="s">
        <v>37</v>
      </c>
      <c r="P4" s="87" t="s">
        <v>164</v>
      </c>
      <c r="Q4" s="87" t="s">
        <v>39</v>
      </c>
      <c r="R4" s="87" t="s">
        <v>7</v>
      </c>
      <c r="S4" s="87" t="s">
        <v>153</v>
      </c>
      <c r="T4" s="90" t="s">
        <v>36</v>
      </c>
      <c r="U4" s="91" t="s">
        <v>37</v>
      </c>
      <c r="V4" s="87" t="s">
        <v>164</v>
      </c>
      <c r="W4" s="87" t="s">
        <v>39</v>
      </c>
      <c r="X4" s="87" t="s">
        <v>7</v>
      </c>
      <c r="Y4" s="87" t="s">
        <v>153</v>
      </c>
      <c r="Z4" s="90" t="s">
        <v>36</v>
      </c>
      <c r="AA4" s="91" t="s">
        <v>37</v>
      </c>
      <c r="AB4" s="87" t="s">
        <v>164</v>
      </c>
      <c r="AC4" s="87" t="s">
        <v>39</v>
      </c>
      <c r="AD4" s="87" t="s">
        <v>7</v>
      </c>
      <c r="AE4" s="87" t="s">
        <v>153</v>
      </c>
      <c r="AF4" s="90" t="s">
        <v>36</v>
      </c>
      <c r="AG4" s="91" t="s">
        <v>37</v>
      </c>
      <c r="AH4" s="87" t="s">
        <v>164</v>
      </c>
      <c r="AI4" s="87" t="s">
        <v>39</v>
      </c>
      <c r="AJ4" s="87" t="s">
        <v>7</v>
      </c>
      <c r="AK4" s="87" t="s">
        <v>153</v>
      </c>
      <c r="AL4" s="90" t="s">
        <v>36</v>
      </c>
      <c r="AM4" s="91" t="s">
        <v>37</v>
      </c>
      <c r="AN4" s="87" t="s">
        <v>164</v>
      </c>
      <c r="AO4" s="87" t="s">
        <v>39</v>
      </c>
      <c r="AP4" s="87" t="s">
        <v>7</v>
      </c>
      <c r="AQ4" s="87" t="s">
        <v>153</v>
      </c>
      <c r="AR4" s="90" t="s">
        <v>36</v>
      </c>
      <c r="AS4" s="91" t="s">
        <v>37</v>
      </c>
      <c r="AT4" s="87" t="s">
        <v>164</v>
      </c>
      <c r="AU4" s="87" t="s">
        <v>39</v>
      </c>
      <c r="AV4" s="87" t="s">
        <v>7</v>
      </c>
      <c r="AW4" s="87" t="s">
        <v>153</v>
      </c>
      <c r="AX4" s="90" t="s">
        <v>36</v>
      </c>
      <c r="AY4" s="91" t="s">
        <v>37</v>
      </c>
      <c r="AZ4" s="87" t="s">
        <v>164</v>
      </c>
      <c r="BA4" s="87" t="s">
        <v>39</v>
      </c>
      <c r="BB4" s="87" t="s">
        <v>7</v>
      </c>
      <c r="BC4" s="87" t="s">
        <v>153</v>
      </c>
      <c r="BD4" s="90" t="s">
        <v>36</v>
      </c>
      <c r="BE4" s="91" t="s">
        <v>37</v>
      </c>
      <c r="BF4" s="87" t="s">
        <v>164</v>
      </c>
      <c r="BG4" s="87" t="s">
        <v>39</v>
      </c>
      <c r="BH4" s="87" t="s">
        <v>7</v>
      </c>
      <c r="BI4" s="87" t="s">
        <v>153</v>
      </c>
      <c r="BJ4" s="90" t="s">
        <v>36</v>
      </c>
      <c r="BK4" s="91" t="s">
        <v>37</v>
      </c>
      <c r="BL4" s="87" t="s">
        <v>164</v>
      </c>
      <c r="BM4" s="87" t="s">
        <v>39</v>
      </c>
      <c r="BN4" s="87" t="s">
        <v>7</v>
      </c>
      <c r="BO4" s="87" t="s">
        <v>153</v>
      </c>
      <c r="BP4" s="90" t="s">
        <v>36</v>
      </c>
      <c r="BQ4" s="91" t="s">
        <v>37</v>
      </c>
      <c r="BR4" s="87" t="s">
        <v>164</v>
      </c>
      <c r="BS4" s="87" t="s">
        <v>39</v>
      </c>
      <c r="BT4" s="87" t="s">
        <v>7</v>
      </c>
      <c r="BU4" s="87" t="s">
        <v>153</v>
      </c>
      <c r="BV4" s="90" t="s">
        <v>36</v>
      </c>
      <c r="BW4" s="91" t="s">
        <v>37</v>
      </c>
      <c r="BX4" s="87" t="s">
        <v>164</v>
      </c>
      <c r="BY4" s="87" t="s">
        <v>39</v>
      </c>
      <c r="BZ4" s="87" t="s">
        <v>7</v>
      </c>
      <c r="CA4" s="87" t="s">
        <v>153</v>
      </c>
      <c r="CB4" s="90" t="s">
        <v>36</v>
      </c>
      <c r="CC4" s="91" t="s">
        <v>37</v>
      </c>
      <c r="CD4" s="87" t="s">
        <v>164</v>
      </c>
      <c r="CE4" s="87" t="s">
        <v>39</v>
      </c>
      <c r="CF4" s="87" t="s">
        <v>7</v>
      </c>
      <c r="CG4" s="87" t="s">
        <v>153</v>
      </c>
      <c r="CH4" s="90" t="s">
        <v>36</v>
      </c>
      <c r="CI4" s="91" t="s">
        <v>37</v>
      </c>
      <c r="CJ4" s="87" t="s">
        <v>164</v>
      </c>
      <c r="CK4" s="87" t="s">
        <v>39</v>
      </c>
      <c r="CL4" s="87" t="s">
        <v>7</v>
      </c>
      <c r="CM4" s="87" t="s">
        <v>153</v>
      </c>
      <c r="CN4" s="90" t="s">
        <v>36</v>
      </c>
      <c r="CO4" s="91" t="s">
        <v>37</v>
      </c>
      <c r="CP4" s="87" t="s">
        <v>164</v>
      </c>
      <c r="CQ4" s="87" t="s">
        <v>39</v>
      </c>
      <c r="CR4" s="87" t="s">
        <v>7</v>
      </c>
      <c r="CS4" s="87" t="s">
        <v>153</v>
      </c>
      <c r="CT4" s="90" t="s">
        <v>36</v>
      </c>
      <c r="CU4" s="91" t="s">
        <v>37</v>
      </c>
      <c r="CV4" s="87" t="s">
        <v>164</v>
      </c>
      <c r="CW4" s="87" t="s">
        <v>39</v>
      </c>
      <c r="CX4" s="87" t="s">
        <v>7</v>
      </c>
      <c r="CY4" s="87" t="s">
        <v>153</v>
      </c>
      <c r="CZ4" s="90" t="s">
        <v>36</v>
      </c>
      <c r="DA4" s="91" t="s">
        <v>37</v>
      </c>
      <c r="DB4" s="87" t="s">
        <v>164</v>
      </c>
      <c r="DC4" s="87" t="s">
        <v>39</v>
      </c>
      <c r="DD4" s="87" t="s">
        <v>165</v>
      </c>
      <c r="DE4" s="87" t="s">
        <v>153</v>
      </c>
      <c r="DF4" s="90" t="s">
        <v>36</v>
      </c>
      <c r="DG4" s="91" t="s">
        <v>37</v>
      </c>
      <c r="DH4" s="87" t="s">
        <v>164</v>
      </c>
      <c r="DI4" s="87" t="s">
        <v>39</v>
      </c>
      <c r="DJ4" s="87" t="s">
        <v>7</v>
      </c>
      <c r="DK4" s="87" t="s">
        <v>153</v>
      </c>
      <c r="DL4" s="90" t="s">
        <v>36</v>
      </c>
      <c r="DM4" s="91" t="s">
        <v>37</v>
      </c>
      <c r="DN4" s="87" t="s">
        <v>164</v>
      </c>
      <c r="DO4" s="87" t="s">
        <v>39</v>
      </c>
      <c r="DP4" s="87" t="s">
        <v>7</v>
      </c>
      <c r="DQ4" s="87" t="s">
        <v>153</v>
      </c>
      <c r="DR4" s="90" t="s">
        <v>36</v>
      </c>
      <c r="DS4" s="91" t="s">
        <v>37</v>
      </c>
      <c r="DT4" s="87" t="s">
        <v>164</v>
      </c>
      <c r="DU4" s="87" t="s">
        <v>39</v>
      </c>
      <c r="DV4" s="87" t="s">
        <v>165</v>
      </c>
      <c r="DW4" s="87" t="s">
        <v>153</v>
      </c>
      <c r="DX4" s="90" t="s">
        <v>36</v>
      </c>
      <c r="DY4" s="91" t="s">
        <v>37</v>
      </c>
      <c r="DZ4" s="87" t="s">
        <v>164</v>
      </c>
      <c r="EA4" s="87" t="s">
        <v>39</v>
      </c>
      <c r="EB4" s="87" t="s">
        <v>7</v>
      </c>
      <c r="EC4" s="87" t="s">
        <v>153</v>
      </c>
      <c r="ED4" s="90" t="s">
        <v>36</v>
      </c>
      <c r="EE4" s="91" t="s">
        <v>37</v>
      </c>
      <c r="EF4" s="87" t="s">
        <v>164</v>
      </c>
      <c r="EG4" s="87" t="s">
        <v>39</v>
      </c>
      <c r="EH4" s="87" t="s">
        <v>7</v>
      </c>
      <c r="EI4" s="87" t="s">
        <v>153</v>
      </c>
      <c r="EJ4" s="90" t="s">
        <v>36</v>
      </c>
      <c r="EK4" s="91" t="s">
        <v>37</v>
      </c>
      <c r="EL4" s="87" t="s">
        <v>164</v>
      </c>
      <c r="EM4" s="87" t="s">
        <v>39</v>
      </c>
      <c r="EN4" s="87" t="s">
        <v>7</v>
      </c>
      <c r="EO4" s="87" t="s">
        <v>153</v>
      </c>
      <c r="EP4" s="90" t="s">
        <v>36</v>
      </c>
      <c r="EQ4" s="91" t="s">
        <v>37</v>
      </c>
      <c r="ER4" s="87" t="s">
        <v>164</v>
      </c>
      <c r="ES4" s="87" t="s">
        <v>39</v>
      </c>
      <c r="ET4" s="87" t="s">
        <v>7</v>
      </c>
      <c r="EU4" s="87" t="s">
        <v>153</v>
      </c>
      <c r="EV4" s="90" t="s">
        <v>36</v>
      </c>
      <c r="EW4" s="91" t="s">
        <v>37</v>
      </c>
      <c r="EX4" s="87" t="s">
        <v>164</v>
      </c>
      <c r="EY4" s="87" t="s">
        <v>39</v>
      </c>
      <c r="EZ4" s="87" t="s">
        <v>7</v>
      </c>
      <c r="FA4" s="87" t="s">
        <v>153</v>
      </c>
      <c r="FB4" s="90" t="s">
        <v>36</v>
      </c>
      <c r="FC4" s="91" t="s">
        <v>37</v>
      </c>
      <c r="FD4" s="87" t="s">
        <v>164</v>
      </c>
      <c r="FE4" s="87" t="s">
        <v>39</v>
      </c>
      <c r="FF4" s="87" t="s">
        <v>7</v>
      </c>
      <c r="FG4" s="87" t="s">
        <v>153</v>
      </c>
      <c r="FH4" s="90" t="s">
        <v>36</v>
      </c>
      <c r="FI4" s="91" t="s">
        <v>37</v>
      </c>
      <c r="FJ4" s="87" t="s">
        <v>164</v>
      </c>
      <c r="FK4" s="87" t="s">
        <v>39</v>
      </c>
      <c r="FL4" s="87" t="s">
        <v>7</v>
      </c>
      <c r="FM4" s="87" t="s">
        <v>153</v>
      </c>
      <c r="FN4" s="90" t="s">
        <v>36</v>
      </c>
      <c r="FO4" s="91" t="s">
        <v>37</v>
      </c>
      <c r="FP4" s="87" t="s">
        <v>164</v>
      </c>
      <c r="FQ4" s="87" t="s">
        <v>39</v>
      </c>
      <c r="FR4" s="87" t="s">
        <v>7</v>
      </c>
      <c r="FS4" s="87" t="s">
        <v>153</v>
      </c>
      <c r="FT4" s="90" t="s">
        <v>36</v>
      </c>
      <c r="FU4" s="91" t="s">
        <v>37</v>
      </c>
      <c r="FV4" s="87" t="s">
        <v>164</v>
      </c>
      <c r="FW4" s="87" t="s">
        <v>39</v>
      </c>
      <c r="FX4" s="87" t="s">
        <v>7</v>
      </c>
      <c r="FY4" s="87" t="s">
        <v>153</v>
      </c>
      <c r="FZ4" s="90" t="s">
        <v>36</v>
      </c>
      <c r="GA4" s="91" t="s">
        <v>37</v>
      </c>
      <c r="GB4" s="87" t="s">
        <v>164</v>
      </c>
      <c r="GC4" s="87" t="s">
        <v>39</v>
      </c>
      <c r="GD4" s="87" t="s">
        <v>7</v>
      </c>
      <c r="GE4" s="87" t="s">
        <v>153</v>
      </c>
      <c r="GF4" s="90" t="s">
        <v>36</v>
      </c>
      <c r="GG4" s="91" t="s">
        <v>37</v>
      </c>
      <c r="GH4" s="87" t="s">
        <v>164</v>
      </c>
      <c r="GI4" s="87" t="s">
        <v>39</v>
      </c>
      <c r="GJ4" s="87" t="s">
        <v>7</v>
      </c>
      <c r="GK4" s="87" t="s">
        <v>153</v>
      </c>
      <c r="GL4" s="90" t="s">
        <v>36</v>
      </c>
      <c r="GM4" s="91" t="s">
        <v>37</v>
      </c>
      <c r="GN4" s="87" t="s">
        <v>164</v>
      </c>
      <c r="GO4" s="87" t="s">
        <v>39</v>
      </c>
      <c r="GP4" s="87" t="s">
        <v>7</v>
      </c>
      <c r="GQ4" s="87" t="s">
        <v>153</v>
      </c>
      <c r="GR4" s="117"/>
      <c r="GS4" s="118"/>
      <c r="GT4" s="110"/>
      <c r="GU4" s="110"/>
      <c r="GV4" s="110"/>
      <c r="GW4" s="110"/>
      <c r="GX4" s="110"/>
      <c r="GY4" s="110"/>
      <c r="GZ4" s="112"/>
    </row>
    <row r="5" spans="1:208" s="10" customFormat="1" ht="20.100000000000001" customHeight="1">
      <c r="A5" s="80">
        <v>1</v>
      </c>
      <c r="B5" s="80" t="s">
        <v>163</v>
      </c>
      <c r="C5" s="61">
        <v>40181</v>
      </c>
      <c r="D5" s="81" t="s">
        <v>45</v>
      </c>
      <c r="E5" s="9">
        <v>1770</v>
      </c>
      <c r="F5" s="11">
        <f>+N5+T5+Z5+AF5+AL5+AR5+AX5+BD5+BJ5+BP5+BV5+CB5+CH5+CN5+CT5+CZ5+DF5+DL5+DR5+DX5+ED5+EJ5+EP5+EV5+FB5+FH5+FN5+FT5+FZ5+GF5+GL5</f>
        <v>1085.19</v>
      </c>
      <c r="G5" s="11">
        <f>+O5+U5+AA5+AG5+AM5+AS5+AY5+BE5+BK5+BQ5+BW5+CC5+CI5+CO5+CU5+DA5+DG5+DM5+DS5+DY5+EE5+EK5+EQ5+EW5+FC5+FI5+FO5+FU5+GA5+GG5+GM5</f>
        <v>276.56249999999989</v>
      </c>
      <c r="H5" s="11">
        <f>+P5+V5+AB5+AH5+AN5+AT5+AZ5+BF5+BL5+BR5+BX5+CD5+CJ5+CP5+CV5+DB5+DH5+DN5+DT5+DZ5+EF5+EL5+ER5+EX5+FD5+FJ5+FP5+FV5+GB5+GH5+GN5</f>
        <v>0</v>
      </c>
      <c r="I5" s="11">
        <f>+Q5+W5+AC5+AI5+AO5+AU5+BA5+BG5+BM5+BS5+BY5+CE5+CK5+CQ5+CW5+DC5+DI5+DO5+DU5+EA5+EG5+EM5+ES5+EY5+FE5+FK5+FQ5+FW5+GC5+GI5+GO5</f>
        <v>56</v>
      </c>
      <c r="J5" s="62">
        <f>+S5+Y5+AE5+AK5+AQ5+AW5+BC5+BI5+BO5+BU5+CA5+CG5+CM5+CS5+CY5+DE5+DK5+DQ5+DW5+EC5+EI5+EO5+EU5+FA5+FG5+FM5+FS5+FY5+GE5+GK5+GQ5</f>
        <v>12</v>
      </c>
      <c r="K5" s="62">
        <f>R5+AD5+AJ5+AP5+AV5+BB5+BH5+BN5+BT5+BZ5+CF5+CL5+CR5+CX5+DD5+DJ5+DP5+DV5+EB5+EH5+EN5+ET5+EZ5+FF5+FL5+FR5+FX5+GD5++GJ5+GP5</f>
        <v>0</v>
      </c>
      <c r="L5" s="62"/>
      <c r="M5" s="76">
        <f t="shared" ref="M5:M12" si="0">+F5+G5+H5+I5+L5</f>
        <v>1417.7525000000001</v>
      </c>
      <c r="N5" s="8"/>
      <c r="O5" s="8">
        <f>8.19444444444444*8+1770/216*0.5*1.5</f>
        <v>71.701388888888843</v>
      </c>
      <c r="P5" s="8"/>
      <c r="Q5" s="6"/>
      <c r="R5" s="6"/>
      <c r="S5" s="87">
        <v>1</v>
      </c>
      <c r="T5" s="8"/>
      <c r="U5" s="8">
        <f>8.19444444444444*8+8.19444444444444*0.5*1.5</f>
        <v>71.701388888888843</v>
      </c>
      <c r="V5" s="8"/>
      <c r="W5" s="6"/>
      <c r="X5" s="6"/>
      <c r="Y5" s="87">
        <v>1</v>
      </c>
      <c r="Z5" s="8">
        <f>252*单价!I23</f>
        <v>85.68</v>
      </c>
      <c r="AA5" s="8">
        <f>8.19444444444444*2</f>
        <v>16.388888888888879</v>
      </c>
      <c r="AB5" s="8"/>
      <c r="AC5" s="6">
        <f>3*4</f>
        <v>12</v>
      </c>
      <c r="AD5" s="6"/>
      <c r="AE5" s="87">
        <v>1</v>
      </c>
      <c r="AF5" s="100">
        <f>+(41+58)*18*套标单价!D16/2</f>
        <v>147.01500000000001</v>
      </c>
      <c r="AG5" s="8">
        <f>8.19444444444444*1</f>
        <v>8.1944444444444446</v>
      </c>
      <c r="AH5" s="8"/>
      <c r="AI5" s="6">
        <f>1.5*4</f>
        <v>6</v>
      </c>
      <c r="AJ5" s="6"/>
      <c r="AK5" s="87">
        <v>1</v>
      </c>
      <c r="AL5" s="8">
        <f>52*9*套标单价!D16+120*套标单价!E18</f>
        <v>140.82</v>
      </c>
      <c r="AM5" s="8">
        <f>8.19444444444444*1</f>
        <v>8.1944444444444393</v>
      </c>
      <c r="AN5" s="8"/>
      <c r="AO5" s="6">
        <f>0.5*4</f>
        <v>2</v>
      </c>
      <c r="AP5" s="6"/>
      <c r="AQ5" s="87">
        <v>1</v>
      </c>
      <c r="AR5" s="8">
        <f>108.5*单价!I35</f>
        <v>98.734999999999999</v>
      </c>
      <c r="AS5" s="8">
        <f>8.19444444444444*2</f>
        <v>16.388888888888879</v>
      </c>
      <c r="AT5" s="8"/>
      <c r="AU5" s="6">
        <f>1.5*4</f>
        <v>6</v>
      </c>
      <c r="AV5" s="6"/>
      <c r="AW5" s="87">
        <v>1</v>
      </c>
      <c r="AX5" s="8">
        <f>121*单价!I35</f>
        <v>110.11</v>
      </c>
      <c r="AY5" s="8"/>
      <c r="AZ5" s="8"/>
      <c r="BA5" s="6">
        <f>1.5*4</f>
        <v>6</v>
      </c>
      <c r="BB5" s="6"/>
      <c r="BC5" s="87">
        <v>1</v>
      </c>
      <c r="BD5" s="8">
        <f>9*单价!I35+134*单价!I33+116*单价!I33</f>
        <v>145.69</v>
      </c>
      <c r="BE5" s="8"/>
      <c r="BF5" s="8"/>
      <c r="BG5" s="6">
        <f>1.5*4</f>
        <v>6</v>
      </c>
      <c r="BH5" s="6"/>
      <c r="BI5" s="6">
        <v>1</v>
      </c>
      <c r="BJ5" s="8">
        <f>127*单价!I39</f>
        <v>123.19</v>
      </c>
      <c r="BK5" s="8"/>
      <c r="BL5" s="8"/>
      <c r="BM5" s="6">
        <f>1.5*4</f>
        <v>6</v>
      </c>
      <c r="BN5" s="6"/>
      <c r="BO5" s="97">
        <v>1</v>
      </c>
      <c r="BP5" s="8">
        <f>+(86+26)*单价!I39</f>
        <v>108.64</v>
      </c>
      <c r="BQ5" s="8"/>
      <c r="BR5" s="8"/>
      <c r="BS5" s="6">
        <f>1.5*4</f>
        <v>6</v>
      </c>
      <c r="BT5" s="6"/>
      <c r="BU5" s="97">
        <v>1</v>
      </c>
      <c r="BV5" s="8"/>
      <c r="BW5" s="105">
        <f>8.19444444444444*8+1770/216*1.5*1.5</f>
        <v>83.993055555555515</v>
      </c>
      <c r="BX5" s="8"/>
      <c r="BY5" s="6"/>
      <c r="BZ5" s="6"/>
      <c r="CA5" s="87">
        <v>1</v>
      </c>
      <c r="CB5" s="8">
        <f>41*单价!I39+94*单价!I35</f>
        <v>125.31</v>
      </c>
      <c r="CC5" s="8"/>
      <c r="CD5" s="8"/>
      <c r="CE5" s="6">
        <f>1.5*4</f>
        <v>6</v>
      </c>
      <c r="CF5" s="6"/>
      <c r="CG5" s="92">
        <v>1</v>
      </c>
      <c r="CH5" s="8"/>
      <c r="CI5" s="8"/>
      <c r="CJ5" s="8"/>
      <c r="CK5" s="6"/>
      <c r="CL5" s="6"/>
      <c r="CM5" s="92"/>
      <c r="CN5" s="8"/>
      <c r="CO5" s="8"/>
      <c r="CP5" s="8"/>
      <c r="CQ5" s="6"/>
      <c r="CR5" s="6"/>
      <c r="CS5" s="87"/>
      <c r="CT5" s="8"/>
      <c r="CU5" s="8"/>
      <c r="CV5" s="8"/>
      <c r="CW5" s="6"/>
      <c r="CX5" s="6"/>
      <c r="CY5" s="87"/>
      <c r="CZ5" s="8"/>
      <c r="DA5" s="8"/>
      <c r="DB5" s="8"/>
      <c r="DC5" s="6"/>
      <c r="DD5" s="6"/>
      <c r="DE5" s="87"/>
      <c r="DF5" s="8"/>
      <c r="DG5" s="8"/>
      <c r="DH5" s="8"/>
      <c r="DI5" s="6"/>
      <c r="DJ5" s="6"/>
      <c r="DK5" s="87"/>
      <c r="DL5" s="8"/>
      <c r="DM5" s="8"/>
      <c r="DN5" s="8"/>
      <c r="DO5" s="6"/>
      <c r="DP5" s="6"/>
      <c r="DQ5" s="87"/>
      <c r="DR5" s="8"/>
      <c r="DS5" s="8"/>
      <c r="DT5" s="8"/>
      <c r="DU5" s="6"/>
      <c r="DV5" s="6"/>
      <c r="DW5" s="87"/>
      <c r="DX5" s="8"/>
      <c r="DY5" s="8"/>
      <c r="DZ5" s="8"/>
      <c r="EA5" s="6"/>
      <c r="EB5" s="6"/>
      <c r="EC5" s="87"/>
      <c r="ED5" s="8"/>
      <c r="EE5" s="8"/>
      <c r="EF5" s="8"/>
      <c r="EG5" s="6"/>
      <c r="EH5" s="6"/>
      <c r="EI5" s="87"/>
      <c r="EJ5" s="8"/>
      <c r="EK5" s="8"/>
      <c r="EL5" s="8"/>
      <c r="EM5" s="6"/>
      <c r="EN5" s="6"/>
      <c r="EO5" s="96"/>
      <c r="EP5" s="8"/>
      <c r="EQ5" s="8"/>
      <c r="ER5" s="8"/>
      <c r="ES5" s="6"/>
      <c r="ET5" s="89"/>
      <c r="EU5" s="97"/>
      <c r="EV5" s="8"/>
      <c r="EW5" s="8"/>
      <c r="EX5" s="8"/>
      <c r="EY5" s="6"/>
      <c r="EZ5" s="6"/>
      <c r="FA5" s="98"/>
      <c r="FB5" s="8"/>
      <c r="FC5" s="8"/>
      <c r="FD5" s="8"/>
      <c r="FE5" s="6"/>
      <c r="FF5" s="6"/>
      <c r="FG5" s="87"/>
      <c r="FH5" s="8"/>
      <c r="FI5" s="8"/>
      <c r="FJ5" s="8"/>
      <c r="FK5" s="6"/>
      <c r="FL5" s="89"/>
      <c r="FM5" s="99"/>
      <c r="FN5" s="8"/>
      <c r="FO5" s="8"/>
      <c r="FP5" s="8"/>
      <c r="FQ5" s="6"/>
      <c r="FR5" s="6"/>
      <c r="FS5" s="87"/>
      <c r="FT5" s="8"/>
      <c r="FU5" s="8"/>
      <c r="FV5" s="8"/>
      <c r="FW5" s="6"/>
      <c r="FX5" s="6"/>
      <c r="FY5" s="87"/>
      <c r="FZ5" s="8"/>
      <c r="GA5" s="8"/>
      <c r="GB5" s="8"/>
      <c r="GC5" s="6"/>
      <c r="GD5" s="6"/>
      <c r="GE5" s="87"/>
      <c r="GF5" s="8"/>
      <c r="GG5" s="8"/>
      <c r="GH5" s="8"/>
      <c r="GI5" s="6"/>
      <c r="GJ5" s="6"/>
      <c r="GK5" s="87"/>
      <c r="GL5" s="8"/>
      <c r="GM5" s="8"/>
      <c r="GN5" s="8"/>
      <c r="GO5" s="6"/>
      <c r="GP5" s="6"/>
      <c r="GQ5" s="87"/>
      <c r="GR5" s="89"/>
      <c r="GS5" s="89"/>
      <c r="GT5" s="84"/>
      <c r="GU5" s="84"/>
      <c r="GV5" s="84"/>
      <c r="GW5" s="80"/>
      <c r="GX5" s="80"/>
      <c r="GY5" s="84"/>
      <c r="GZ5" s="80"/>
    </row>
    <row r="6" spans="1:208" s="10" customFormat="1" ht="20.100000000000001" customHeight="1">
      <c r="A6" s="80">
        <v>2</v>
      </c>
      <c r="B6" s="80" t="s">
        <v>163</v>
      </c>
      <c r="C6" s="64">
        <v>40246</v>
      </c>
      <c r="D6" s="63" t="s">
        <v>42</v>
      </c>
      <c r="E6" s="9">
        <v>1770</v>
      </c>
      <c r="F6" s="11">
        <f t="shared" ref="F6:I13" si="1">+N6+T6+Z6+AF6+AL6+AR6+AX6+BD6+BJ6+BP6+BV6+CB6+CH6+CN6+CT6+CZ6+DF6+DL6+DR6+DX6+ED6+EJ6+EP6+EV6+FB6+FH6+FN6+FT6+FZ6+GF6+GL6</f>
        <v>421.68499999999995</v>
      </c>
      <c r="G6" s="11">
        <f t="shared" si="1"/>
        <v>159.79166666666657</v>
      </c>
      <c r="H6" s="11">
        <f t="shared" si="1"/>
        <v>0</v>
      </c>
      <c r="I6" s="11">
        <f t="shared" si="1"/>
        <v>16</v>
      </c>
      <c r="J6" s="62">
        <f t="shared" ref="J6:J13" si="2">+S6+Y6+AE6+AK6+AQ6+AW6+BC6+BI6+BO6+BU6+CA6+CG6+CM6+CS6+CY6+DE6+DK6+DQ6+DW6+EC6+EI6+EO6+EU6+FA6+FG6+FM6+FS6+FY6+GE6+GK6+GQ6</f>
        <v>6</v>
      </c>
      <c r="K6" s="62">
        <f t="shared" ref="K6:K13" si="3">R6+AD6+AJ6+AP6+AV6+BB6+BH6+BN6+BT6+BZ6+CF6+CL6+CR6+CX6+DD6+DJ6+DP6+DV6+EB6+EH6+EN6+ET6+EZ6+FF6+FL6+FR6+FX6+GD6++GJ6+GP6</f>
        <v>6</v>
      </c>
      <c r="L6" s="62"/>
      <c r="M6" s="76">
        <f t="shared" si="0"/>
        <v>597.47666666666646</v>
      </c>
      <c r="N6" s="8"/>
      <c r="O6" s="8">
        <f>8.19444444444444*8+1770/216*0.5*1.5</f>
        <v>71.701388888888843</v>
      </c>
      <c r="P6" s="8"/>
      <c r="Q6" s="6"/>
      <c r="R6" s="6"/>
      <c r="S6" s="87">
        <v>1</v>
      </c>
      <c r="T6" s="8"/>
      <c r="U6" s="8">
        <f>8.19444444444444*8+8.19444444444444*0.5*1.5</f>
        <v>71.701388888888843</v>
      </c>
      <c r="V6" s="8"/>
      <c r="W6" s="6"/>
      <c r="X6" s="6"/>
      <c r="Y6" s="87">
        <v>1</v>
      </c>
      <c r="Z6" s="8">
        <f>213*单价!I13+6*9*套标单价!D16</f>
        <v>91.98</v>
      </c>
      <c r="AA6" s="8">
        <f>8.19444444444444*1</f>
        <v>8.1944444444444393</v>
      </c>
      <c r="AB6" s="8"/>
      <c r="AC6" s="6"/>
      <c r="AD6" s="6"/>
      <c r="AE6" s="87">
        <v>1</v>
      </c>
      <c r="AF6" s="8">
        <f>41*18*套标单价!D16</f>
        <v>121.77000000000001</v>
      </c>
      <c r="AG6" s="8">
        <f>8.19444444444444*1</f>
        <v>8.1944444444444446</v>
      </c>
      <c r="AH6" s="8"/>
      <c r="AI6" s="6">
        <f>1*4</f>
        <v>4</v>
      </c>
      <c r="AJ6" s="6"/>
      <c r="AK6" s="87">
        <v>1</v>
      </c>
      <c r="AL6" s="8"/>
      <c r="AM6" s="8"/>
      <c r="AN6" s="8"/>
      <c r="AO6" s="6"/>
      <c r="AP6" s="6">
        <v>1</v>
      </c>
      <c r="AQ6" s="87"/>
      <c r="AR6" s="103">
        <f>113.5*单价!I35</f>
        <v>103.285</v>
      </c>
      <c r="AS6" s="103"/>
      <c r="AT6" s="8"/>
      <c r="AU6" s="6">
        <f>1.5*4</f>
        <v>6</v>
      </c>
      <c r="AV6" s="6"/>
      <c r="AW6" s="87">
        <v>1</v>
      </c>
      <c r="AX6" s="8">
        <f>(223+7)/2*单价!I35</f>
        <v>104.65</v>
      </c>
      <c r="AY6" s="8"/>
      <c r="AZ6" s="8"/>
      <c r="BA6" s="6">
        <f>1.5*4</f>
        <v>6</v>
      </c>
      <c r="BB6" s="6"/>
      <c r="BC6" s="87">
        <v>1</v>
      </c>
      <c r="BD6" s="8"/>
      <c r="BE6" s="8"/>
      <c r="BF6" s="8"/>
      <c r="BG6" s="6"/>
      <c r="BH6" s="6">
        <v>1</v>
      </c>
      <c r="BI6" s="6"/>
      <c r="BJ6" s="8"/>
      <c r="BK6" s="8"/>
      <c r="BL6" s="8"/>
      <c r="BM6" s="6"/>
      <c r="BN6" s="6">
        <v>1</v>
      </c>
      <c r="BO6" s="97"/>
      <c r="BP6" s="8"/>
      <c r="BQ6" s="8"/>
      <c r="BR6" s="8"/>
      <c r="BS6" s="6"/>
      <c r="BT6" s="6">
        <v>1</v>
      </c>
      <c r="BU6" s="87"/>
      <c r="BV6" s="8"/>
      <c r="BW6" s="8"/>
      <c r="BX6" s="8"/>
      <c r="BY6" s="6"/>
      <c r="BZ6" s="6">
        <v>1</v>
      </c>
      <c r="CA6" s="92"/>
      <c r="CB6" s="8"/>
      <c r="CC6" s="8"/>
      <c r="CD6" s="8"/>
      <c r="CE6" s="6"/>
      <c r="CF6" s="6">
        <v>1</v>
      </c>
      <c r="CG6" s="92"/>
      <c r="CH6" s="8"/>
      <c r="CI6" s="8"/>
      <c r="CJ6" s="8"/>
      <c r="CK6" s="6"/>
      <c r="CL6" s="6"/>
      <c r="CM6" s="92"/>
      <c r="CN6" s="8"/>
      <c r="CO6" s="8"/>
      <c r="CP6" s="8"/>
      <c r="CQ6" s="6"/>
      <c r="CR6" s="6"/>
      <c r="CS6" s="87"/>
      <c r="CT6" s="8"/>
      <c r="CU6" s="8"/>
      <c r="CV6" s="8"/>
      <c r="CW6" s="6"/>
      <c r="CX6" s="6"/>
      <c r="CY6" s="87"/>
      <c r="CZ6" s="8"/>
      <c r="DA6" s="8"/>
      <c r="DB6" s="8"/>
      <c r="DC6" s="6"/>
      <c r="DD6" s="6"/>
      <c r="DE6" s="87"/>
      <c r="DF6" s="8"/>
      <c r="DG6" s="8"/>
      <c r="DH6" s="8"/>
      <c r="DI6" s="6"/>
      <c r="DJ6" s="6"/>
      <c r="DK6" s="87"/>
      <c r="DL6" s="8"/>
      <c r="DM6" s="8"/>
      <c r="DN6" s="8"/>
      <c r="DO6" s="6"/>
      <c r="DP6" s="6"/>
      <c r="DQ6" s="87"/>
      <c r="DR6" s="8"/>
      <c r="DS6" s="8"/>
      <c r="DT6" s="8"/>
      <c r="DU6" s="6"/>
      <c r="DV6" s="6"/>
      <c r="DW6" s="94"/>
      <c r="DX6" s="8"/>
      <c r="DY6" s="8"/>
      <c r="DZ6" s="8"/>
      <c r="EA6" s="6"/>
      <c r="EB6" s="6"/>
      <c r="EC6" s="87"/>
      <c r="ED6" s="8"/>
      <c r="EE6" s="8"/>
      <c r="EF6" s="8"/>
      <c r="EG6" s="6"/>
      <c r="EH6" s="6"/>
      <c r="EI6" s="95"/>
      <c r="EJ6" s="8"/>
      <c r="EK6" s="8"/>
      <c r="EL6" s="8"/>
      <c r="EM6" s="6"/>
      <c r="EN6" s="6"/>
      <c r="EO6" s="96"/>
      <c r="EP6" s="8"/>
      <c r="EQ6" s="8"/>
      <c r="ER6" s="8"/>
      <c r="ES6" s="6"/>
      <c r="ET6" s="89"/>
      <c r="EU6" s="97"/>
      <c r="EV6" s="8"/>
      <c r="EW6" s="8"/>
      <c r="EX6" s="8"/>
      <c r="EY6" s="6"/>
      <c r="EZ6" s="6"/>
      <c r="FA6" s="98"/>
      <c r="FB6" s="8"/>
      <c r="FC6" s="8"/>
      <c r="FD6" s="8"/>
      <c r="FE6" s="6"/>
      <c r="FF6" s="6"/>
      <c r="FG6" s="87"/>
      <c r="FH6" s="8"/>
      <c r="FI6" s="8"/>
      <c r="FJ6" s="8"/>
      <c r="FK6" s="6"/>
      <c r="FL6" s="89"/>
      <c r="FM6" s="99"/>
      <c r="FN6" s="8"/>
      <c r="FO6" s="8"/>
      <c r="FP6" s="8"/>
      <c r="FQ6" s="6"/>
      <c r="FR6" s="6"/>
      <c r="FS6" s="87"/>
      <c r="FT6" s="8"/>
      <c r="FU6" s="8"/>
      <c r="FV6" s="8"/>
      <c r="FW6" s="6"/>
      <c r="FX6" s="6"/>
      <c r="FY6" s="87"/>
      <c r="FZ6" s="8"/>
      <c r="GA6" s="8"/>
      <c r="GB6" s="8"/>
      <c r="GC6" s="6"/>
      <c r="GD6" s="6"/>
      <c r="GE6" s="87"/>
      <c r="GF6" s="8"/>
      <c r="GG6" s="8"/>
      <c r="GH6" s="8"/>
      <c r="GI6" s="6"/>
      <c r="GJ6" s="6"/>
      <c r="GK6" s="87"/>
      <c r="GL6" s="8"/>
      <c r="GM6" s="8"/>
      <c r="GN6" s="8"/>
      <c r="GO6" s="6"/>
      <c r="GP6" s="6"/>
      <c r="GQ6" s="87"/>
      <c r="GR6" s="89"/>
      <c r="GS6" s="89"/>
      <c r="GT6" s="84"/>
      <c r="GU6" s="84"/>
      <c r="GV6" s="84"/>
      <c r="GW6" s="80"/>
      <c r="GX6" s="80"/>
      <c r="GY6" s="84"/>
      <c r="GZ6" s="80"/>
    </row>
    <row r="7" spans="1:208" s="10" customFormat="1" ht="20.100000000000001" customHeight="1">
      <c r="A7" s="80">
        <v>3</v>
      </c>
      <c r="B7" s="80" t="s">
        <v>163</v>
      </c>
      <c r="C7" s="64">
        <v>40257</v>
      </c>
      <c r="D7" s="63" t="s">
        <v>41</v>
      </c>
      <c r="E7" s="9">
        <v>1770</v>
      </c>
      <c r="F7" s="11">
        <f t="shared" si="1"/>
        <v>735.65</v>
      </c>
      <c r="G7" s="11">
        <f t="shared" si="1"/>
        <v>120.86805555555551</v>
      </c>
      <c r="H7" s="11">
        <f t="shared" si="1"/>
        <v>0</v>
      </c>
      <c r="I7" s="11">
        <f t="shared" si="1"/>
        <v>16</v>
      </c>
      <c r="J7" s="62">
        <f t="shared" si="2"/>
        <v>9</v>
      </c>
      <c r="K7" s="62">
        <f>R7+AD7+AJ7+AP7+AV7+BB7+BH7+BN7+BT7+BZ7+CF7+CL7+CR7+CX7+DD7+DJ7+DP7+DV7+EB7+EH7+EN7+ET7+EZ7+FF7+FL7+FR7+FX7+GD7++GJ7+GP7</f>
        <v>2</v>
      </c>
      <c r="L7" s="62"/>
      <c r="M7" s="76">
        <f t="shared" si="0"/>
        <v>872.51805555555552</v>
      </c>
      <c r="N7" s="8"/>
      <c r="O7" s="8">
        <f>8.19444444444444*8+1770/216*0.5*1.5</f>
        <v>71.701388888888843</v>
      </c>
      <c r="P7" s="8"/>
      <c r="Q7" s="6"/>
      <c r="R7" s="6"/>
      <c r="S7" s="87">
        <v>1</v>
      </c>
      <c r="T7" s="8"/>
      <c r="U7" s="8"/>
      <c r="V7" s="8"/>
      <c r="W7" s="6"/>
      <c r="X7" s="6">
        <v>1</v>
      </c>
      <c r="Y7" s="87"/>
      <c r="Z7" s="8">
        <f>192*套标单价!E18</f>
        <v>101.76</v>
      </c>
      <c r="AA7" s="8">
        <f>8.19444444444444*1</f>
        <v>8.1944444444444393</v>
      </c>
      <c r="AB7" s="8"/>
      <c r="AC7" s="6"/>
      <c r="AD7" s="6"/>
      <c r="AE7" s="87">
        <v>1</v>
      </c>
      <c r="AF7" s="8">
        <f>19*18*套标单价!D16+9*18*套标单价!D16</f>
        <v>83.16</v>
      </c>
      <c r="AG7" s="8">
        <f>8.19444444444444*4.5</f>
        <v>36.875</v>
      </c>
      <c r="AH7" s="8"/>
      <c r="AI7" s="6">
        <f>1*4</f>
        <v>4</v>
      </c>
      <c r="AJ7" s="6"/>
      <c r="AK7" s="87">
        <v>1</v>
      </c>
      <c r="AL7" s="8">
        <f>15*18*套标单价!D16+(14+93)*套标单价!E18</f>
        <v>101.26</v>
      </c>
      <c r="AM7" s="8">
        <f>8.19444444444444*0.5</f>
        <v>4.0972222222222223</v>
      </c>
      <c r="AN7" s="8"/>
      <c r="AO7" s="6">
        <f>0.5*4</f>
        <v>2</v>
      </c>
      <c r="AP7" s="6"/>
      <c r="AQ7" s="87">
        <v>1</v>
      </c>
      <c r="AR7" s="103"/>
      <c r="AS7" s="103"/>
      <c r="AT7" s="8"/>
      <c r="AU7" s="6"/>
      <c r="AV7" s="6">
        <v>1</v>
      </c>
      <c r="AW7" s="87"/>
      <c r="AX7" s="8">
        <f>105*单价!I35</f>
        <v>95.55</v>
      </c>
      <c r="AY7" s="8"/>
      <c r="AZ7" s="8"/>
      <c r="BA7" s="6">
        <f>1*4</f>
        <v>4</v>
      </c>
      <c r="BB7" s="6"/>
      <c r="BC7" s="87">
        <v>1</v>
      </c>
      <c r="BD7" s="8">
        <f>132*单价!I33+60*单价!I33</f>
        <v>105.60000000000001</v>
      </c>
      <c r="BE7" s="8"/>
      <c r="BF7" s="8"/>
      <c r="BG7" s="6">
        <f>0.5*4</f>
        <v>2</v>
      </c>
      <c r="BH7" s="6"/>
      <c r="BI7" s="6">
        <v>1</v>
      </c>
      <c r="BJ7" s="8">
        <f>(64+26)*单价!I39</f>
        <v>87.3</v>
      </c>
      <c r="BK7" s="8"/>
      <c r="BL7" s="8"/>
      <c r="BM7" s="6">
        <f>0.5*4</f>
        <v>2</v>
      </c>
      <c r="BN7" s="6"/>
      <c r="BO7" s="97">
        <v>1</v>
      </c>
      <c r="BP7" s="8">
        <f>+(83+83)/2*单价!I39</f>
        <v>80.509999999999991</v>
      </c>
      <c r="BQ7" s="8"/>
      <c r="BR7" s="8"/>
      <c r="BS7" s="6"/>
      <c r="BT7" s="6"/>
      <c r="BU7" s="97">
        <v>1</v>
      </c>
      <c r="BV7" s="8">
        <f>83*单价!I39</f>
        <v>80.509999999999991</v>
      </c>
      <c r="BW7" s="8"/>
      <c r="BX7" s="8"/>
      <c r="BY7" s="6">
        <f>0.5*4</f>
        <v>2</v>
      </c>
      <c r="BZ7" s="6"/>
      <c r="CA7" s="92">
        <v>1</v>
      </c>
      <c r="CB7" s="8"/>
      <c r="CC7" s="8"/>
      <c r="CD7" s="8"/>
      <c r="CE7" s="6"/>
      <c r="CF7" s="6">
        <v>1</v>
      </c>
      <c r="CG7" s="92"/>
      <c r="CH7" s="8"/>
      <c r="CI7" s="8"/>
      <c r="CJ7" s="8"/>
      <c r="CK7" s="6"/>
      <c r="CL7" s="6"/>
      <c r="CM7" s="92"/>
      <c r="CN7" s="8"/>
      <c r="CO7" s="8"/>
      <c r="CP7" s="8"/>
      <c r="CQ7" s="6"/>
      <c r="CR7" s="6"/>
      <c r="CS7" s="87"/>
      <c r="CT7" s="8"/>
      <c r="CU7" s="8"/>
      <c r="CV7" s="8"/>
      <c r="CW7" s="6"/>
      <c r="CX7" s="6"/>
      <c r="CY7" s="87"/>
      <c r="CZ7" s="8"/>
      <c r="DA7" s="8"/>
      <c r="DB7" s="8"/>
      <c r="DC7" s="6"/>
      <c r="DD7" s="6"/>
      <c r="DE7" s="87"/>
      <c r="DF7" s="8"/>
      <c r="DG7" s="8"/>
      <c r="DH7" s="8"/>
      <c r="DI7" s="6"/>
      <c r="DJ7" s="6"/>
      <c r="DK7" s="87"/>
      <c r="DL7" s="8"/>
      <c r="DM7" s="8"/>
      <c r="DN7" s="8"/>
      <c r="DO7" s="6"/>
      <c r="DP7" s="6"/>
      <c r="DQ7" s="87"/>
      <c r="DR7" s="8"/>
      <c r="DS7" s="8"/>
      <c r="DT7" s="8"/>
      <c r="DU7" s="6"/>
      <c r="DV7" s="6"/>
      <c r="DW7" s="94"/>
      <c r="DX7" s="8"/>
      <c r="DY7" s="8"/>
      <c r="DZ7" s="8"/>
      <c r="EA7" s="6"/>
      <c r="EB7" s="6"/>
      <c r="EC7" s="87"/>
      <c r="ED7" s="8"/>
      <c r="EE7" s="8"/>
      <c r="EF7" s="8"/>
      <c r="EG7" s="6"/>
      <c r="EH7" s="6"/>
      <c r="EI7" s="95"/>
      <c r="EJ7" s="8"/>
      <c r="EK7" s="8"/>
      <c r="EL7" s="8"/>
      <c r="EM7" s="6"/>
      <c r="EN7" s="6"/>
      <c r="EO7" s="96"/>
      <c r="EP7" s="8"/>
      <c r="EQ7" s="8"/>
      <c r="ER7" s="8"/>
      <c r="ES7" s="6"/>
      <c r="ET7" s="89"/>
      <c r="EU7" s="97"/>
      <c r="EV7" s="8"/>
      <c r="EW7" s="8"/>
      <c r="EX7" s="8"/>
      <c r="EY7" s="6"/>
      <c r="EZ7" s="6"/>
      <c r="FA7" s="98"/>
      <c r="FB7" s="8"/>
      <c r="FC7" s="8"/>
      <c r="FD7" s="8"/>
      <c r="FE7" s="6"/>
      <c r="FF7" s="6"/>
      <c r="FG7" s="87"/>
      <c r="FH7" s="8"/>
      <c r="FI7" s="8"/>
      <c r="FJ7" s="8"/>
      <c r="FK7" s="6"/>
      <c r="FL7" s="6"/>
      <c r="FM7" s="99"/>
      <c r="FN7" s="8"/>
      <c r="FO7" s="8"/>
      <c r="FP7" s="8"/>
      <c r="FQ7" s="6"/>
      <c r="FR7" s="6"/>
      <c r="FS7" s="87"/>
      <c r="FT7" s="8"/>
      <c r="FU7" s="8"/>
      <c r="FV7" s="8"/>
      <c r="FW7" s="6"/>
      <c r="FX7" s="6"/>
      <c r="FY7" s="87"/>
      <c r="FZ7" s="8"/>
      <c r="GA7" s="8"/>
      <c r="GB7" s="8"/>
      <c r="GC7" s="6"/>
      <c r="GD7" s="6"/>
      <c r="GE7" s="87"/>
      <c r="GF7" s="8"/>
      <c r="GG7" s="8"/>
      <c r="GH7" s="8"/>
      <c r="GI7" s="6"/>
      <c r="GJ7" s="6"/>
      <c r="GK7" s="87"/>
      <c r="GL7" s="8"/>
      <c r="GM7" s="8"/>
      <c r="GN7" s="8"/>
      <c r="GO7" s="6"/>
      <c r="GP7" s="6"/>
      <c r="GQ7" s="87"/>
      <c r="GR7" s="89"/>
      <c r="GS7" s="89"/>
      <c r="GT7" s="84"/>
      <c r="GU7" s="84"/>
      <c r="GV7" s="84"/>
      <c r="GW7" s="80"/>
      <c r="GX7" s="80"/>
      <c r="GY7" s="84"/>
      <c r="GZ7" s="80"/>
    </row>
    <row r="8" spans="1:208" s="10" customFormat="1" ht="20.100000000000001" customHeight="1">
      <c r="A8" s="80">
        <v>4</v>
      </c>
      <c r="B8" s="80" t="s">
        <v>163</v>
      </c>
      <c r="C8" s="64">
        <v>40235</v>
      </c>
      <c r="D8" s="63" t="s">
        <v>40</v>
      </c>
      <c r="E8" s="9">
        <v>1770</v>
      </c>
      <c r="F8" s="11">
        <f t="shared" si="1"/>
        <v>865.23</v>
      </c>
      <c r="G8" s="11">
        <f t="shared" si="1"/>
        <v>102.43055555555553</v>
      </c>
      <c r="H8" s="11">
        <f t="shared" si="1"/>
        <v>0</v>
      </c>
      <c r="I8" s="11">
        <f t="shared" si="1"/>
        <v>4</v>
      </c>
      <c r="J8" s="62">
        <f t="shared" si="2"/>
        <v>11</v>
      </c>
      <c r="K8" s="62">
        <f t="shared" si="3"/>
        <v>1</v>
      </c>
      <c r="L8" s="62"/>
      <c r="M8" s="76">
        <f t="shared" si="0"/>
        <v>971.66055555555556</v>
      </c>
      <c r="N8" s="6"/>
      <c r="O8" s="8"/>
      <c r="P8" s="77"/>
      <c r="Q8" s="6"/>
      <c r="R8" s="6">
        <v>1</v>
      </c>
      <c r="S8" s="87"/>
      <c r="T8" s="6"/>
      <c r="U8" s="8">
        <f>8.19444444444444*7.5</f>
        <v>61.458333333333293</v>
      </c>
      <c r="V8" s="77"/>
      <c r="W8" s="6"/>
      <c r="X8" s="6"/>
      <c r="Y8" s="87">
        <v>1</v>
      </c>
      <c r="Z8" s="6">
        <f>180*套标单价!E18</f>
        <v>95.4</v>
      </c>
      <c r="AA8" s="8">
        <f>8.19444444444444*0.5</f>
        <v>4.0972222222222197</v>
      </c>
      <c r="AB8" s="77"/>
      <c r="AC8" s="6"/>
      <c r="AD8" s="6"/>
      <c r="AE8" s="87">
        <v>1</v>
      </c>
      <c r="AF8" s="6">
        <f>19*18*套标单价!D16+9*18*套标单价!D16</f>
        <v>83.16</v>
      </c>
      <c r="AG8" s="8">
        <f>8.19444444444444*3.5</f>
        <v>28.680555555555557</v>
      </c>
      <c r="AH8" s="77"/>
      <c r="AI8" s="6"/>
      <c r="AJ8" s="6"/>
      <c r="AK8" s="87">
        <v>1</v>
      </c>
      <c r="AL8" s="6">
        <f>15*18*套标单价!D16+(14+65)*套标单价!E18</f>
        <v>86.420000000000016</v>
      </c>
      <c r="AM8" s="8">
        <f>8.19444444444444*0.5</f>
        <v>4.0972222222222223</v>
      </c>
      <c r="AN8" s="77"/>
      <c r="AO8" s="6"/>
      <c r="AP8" s="6"/>
      <c r="AQ8" s="87">
        <v>1</v>
      </c>
      <c r="AR8" s="103">
        <f>90*单价!I35</f>
        <v>81.900000000000006</v>
      </c>
      <c r="AS8" s="103">
        <f>8.19444444444444*0.5</f>
        <v>4.0972222222222223</v>
      </c>
      <c r="AT8" s="77"/>
      <c r="AU8" s="6"/>
      <c r="AV8" s="6"/>
      <c r="AW8" s="87">
        <v>1</v>
      </c>
      <c r="AX8" s="6">
        <f>12*单价!I35+80*单价!I35</f>
        <v>83.72</v>
      </c>
      <c r="AY8" s="8"/>
      <c r="AZ8" s="77"/>
      <c r="BA8" s="6"/>
      <c r="BB8" s="6"/>
      <c r="BC8" s="87">
        <v>1</v>
      </c>
      <c r="BD8" s="6">
        <f>5*单价!I35+122*单价!I33+40*单价!I33</f>
        <v>93.65</v>
      </c>
      <c r="BE8" s="8"/>
      <c r="BF8" s="77"/>
      <c r="BG8" s="6"/>
      <c r="BH8" s="6"/>
      <c r="BI8" s="6">
        <v>1</v>
      </c>
      <c r="BJ8" s="6">
        <f>80*单价!I39</f>
        <v>77.599999999999994</v>
      </c>
      <c r="BK8" s="8"/>
      <c r="BL8" s="77"/>
      <c r="BM8" s="6"/>
      <c r="BN8" s="6"/>
      <c r="BO8" s="97">
        <v>1</v>
      </c>
      <c r="BP8" s="6">
        <f>+(83+83)/2*单价!I39</f>
        <v>80.509999999999991</v>
      </c>
      <c r="BQ8" s="6"/>
      <c r="BR8" s="77"/>
      <c r="BS8" s="6"/>
      <c r="BT8" s="87"/>
      <c r="BU8" s="97">
        <v>1</v>
      </c>
      <c r="BV8" s="8">
        <f>93*单价!I39</f>
        <v>90.21</v>
      </c>
      <c r="BW8" s="8"/>
      <c r="BX8" s="77"/>
      <c r="BY8" s="6">
        <f>0.5*4</f>
        <v>2</v>
      </c>
      <c r="BZ8" s="6"/>
      <c r="CA8" s="92">
        <v>1</v>
      </c>
      <c r="CB8" s="6">
        <f>58*单价!I39+40*单价!I35</f>
        <v>92.66</v>
      </c>
      <c r="CC8" s="8"/>
      <c r="CD8" s="77"/>
      <c r="CE8" s="6">
        <f>0.5*4</f>
        <v>2</v>
      </c>
      <c r="CF8" s="6"/>
      <c r="CG8" s="92">
        <v>1</v>
      </c>
      <c r="CH8" s="6"/>
      <c r="CI8" s="8"/>
      <c r="CJ8" s="77"/>
      <c r="CK8" s="6"/>
      <c r="CL8" s="6"/>
      <c r="CM8" s="92"/>
      <c r="CN8" s="6"/>
      <c r="CO8" s="8"/>
      <c r="CP8" s="77"/>
      <c r="CQ8" s="6"/>
      <c r="CR8" s="6"/>
      <c r="CS8" s="87"/>
      <c r="CT8" s="6"/>
      <c r="CU8" s="8"/>
      <c r="CV8" s="77"/>
      <c r="CW8" s="6"/>
      <c r="CX8" s="6"/>
      <c r="CY8" s="87"/>
      <c r="CZ8" s="6"/>
      <c r="DA8" s="8"/>
      <c r="DB8" s="77"/>
      <c r="DC8" s="6"/>
      <c r="DD8" s="6"/>
      <c r="DE8" s="87"/>
      <c r="DF8" s="6"/>
      <c r="DG8" s="8"/>
      <c r="DH8" s="77"/>
      <c r="DI8" s="6"/>
      <c r="DJ8" s="6"/>
      <c r="DK8" s="87"/>
      <c r="DL8" s="6"/>
      <c r="DM8" s="8"/>
      <c r="DN8" s="77"/>
      <c r="DO8" s="6"/>
      <c r="DP8" s="6"/>
      <c r="DQ8" s="87"/>
      <c r="DR8" s="6"/>
      <c r="DS8" s="8"/>
      <c r="DT8" s="77"/>
      <c r="DU8" s="6"/>
      <c r="DV8" s="6"/>
      <c r="DW8" s="94"/>
      <c r="DX8" s="6"/>
      <c r="DY8" s="8"/>
      <c r="DZ8" s="77"/>
      <c r="EA8" s="6"/>
      <c r="EB8" s="6"/>
      <c r="EC8" s="87"/>
      <c r="ED8" s="8"/>
      <c r="EE8" s="8"/>
      <c r="EF8" s="77"/>
      <c r="EG8" s="6"/>
      <c r="EH8" s="6"/>
      <c r="EI8" s="95"/>
      <c r="EJ8" s="6"/>
      <c r="EK8" s="8"/>
      <c r="EL8" s="77"/>
      <c r="EM8" s="6"/>
      <c r="EN8" s="6"/>
      <c r="EO8" s="96"/>
      <c r="EP8" s="6"/>
      <c r="EQ8" s="8"/>
      <c r="ER8" s="77"/>
      <c r="ES8" s="6"/>
      <c r="ET8" s="89"/>
      <c r="EU8" s="97"/>
      <c r="EV8" s="6"/>
      <c r="EW8" s="8"/>
      <c r="EX8" s="77"/>
      <c r="EY8" s="6"/>
      <c r="EZ8" s="6"/>
      <c r="FA8" s="98"/>
      <c r="FB8" s="6"/>
      <c r="FC8" s="8"/>
      <c r="FD8" s="77"/>
      <c r="FE8" s="6"/>
      <c r="FF8" s="6"/>
      <c r="FG8" s="87"/>
      <c r="FH8" s="6"/>
      <c r="FI8" s="8"/>
      <c r="FJ8" s="77"/>
      <c r="FK8" s="6"/>
      <c r="FL8" s="6"/>
      <c r="FM8" s="99"/>
      <c r="FN8" s="6"/>
      <c r="FO8" s="8"/>
      <c r="FP8" s="77"/>
      <c r="FQ8" s="6"/>
      <c r="FR8" s="6"/>
      <c r="FS8" s="87"/>
      <c r="FT8" s="6"/>
      <c r="FU8" s="8"/>
      <c r="FV8" s="77"/>
      <c r="FW8" s="6"/>
      <c r="FX8" s="6"/>
      <c r="FY8" s="87"/>
      <c r="FZ8" s="6"/>
      <c r="GA8" s="8"/>
      <c r="GB8" s="77"/>
      <c r="GC8" s="6"/>
      <c r="GD8" s="6"/>
      <c r="GE8" s="87"/>
      <c r="GF8" s="6"/>
      <c r="GG8" s="8"/>
      <c r="GH8" s="77"/>
      <c r="GI8" s="6"/>
      <c r="GJ8" s="6"/>
      <c r="GK8" s="87"/>
      <c r="GL8" s="6"/>
      <c r="GM8" s="8"/>
      <c r="GN8" s="77"/>
      <c r="GO8" s="6"/>
      <c r="GP8" s="6"/>
      <c r="GQ8" s="87"/>
      <c r="GR8" s="89"/>
      <c r="GS8" s="89"/>
      <c r="GT8" s="84"/>
      <c r="GU8" s="84"/>
      <c r="GV8" s="84"/>
      <c r="GW8" s="80"/>
      <c r="GX8" s="80"/>
      <c r="GY8" s="84"/>
      <c r="GZ8" s="80"/>
    </row>
    <row r="9" spans="1:208" s="10" customFormat="1" ht="20.100000000000001" customHeight="1">
      <c r="A9" s="80">
        <v>5</v>
      </c>
      <c r="B9" s="80" t="s">
        <v>163</v>
      </c>
      <c r="C9" s="64">
        <v>40865</v>
      </c>
      <c r="D9" s="63" t="s">
        <v>43</v>
      </c>
      <c r="E9" s="9">
        <v>1770</v>
      </c>
      <c r="F9" s="11">
        <f t="shared" si="1"/>
        <v>1076.3699999999999</v>
      </c>
      <c r="G9" s="11">
        <f t="shared" si="1"/>
        <v>268.36805555555543</v>
      </c>
      <c r="H9" s="11">
        <f t="shared" si="1"/>
        <v>0</v>
      </c>
      <c r="I9" s="11">
        <f t="shared" si="1"/>
        <v>44</v>
      </c>
      <c r="J9" s="62">
        <f t="shared" si="2"/>
        <v>12</v>
      </c>
      <c r="K9" s="62">
        <f t="shared" si="3"/>
        <v>0</v>
      </c>
      <c r="L9" s="62"/>
      <c r="M9" s="76">
        <f t="shared" si="0"/>
        <v>1388.7380555555553</v>
      </c>
      <c r="N9" s="8"/>
      <c r="O9" s="8">
        <f>8.19444444444444*8+1770/216*0.5*1.5</f>
        <v>71.701388888888843</v>
      </c>
      <c r="P9" s="8"/>
      <c r="Q9" s="6"/>
      <c r="R9" s="6"/>
      <c r="S9" s="87">
        <v>1</v>
      </c>
      <c r="T9" s="8"/>
      <c r="U9" s="8">
        <f>8.19444444444444*8+8.19444444444444*0.5*1.5</f>
        <v>71.701388888888843</v>
      </c>
      <c r="V9" s="8"/>
      <c r="W9" s="6"/>
      <c r="X9" s="6"/>
      <c r="Y9" s="87">
        <v>1</v>
      </c>
      <c r="Z9" s="8">
        <f>213*单价!I13+6*9*套标单价!D16</f>
        <v>91.98</v>
      </c>
      <c r="AA9" s="8">
        <f>8.19444444444444*1</f>
        <v>8.1944444444444393</v>
      </c>
      <c r="AB9" s="8"/>
      <c r="AC9" s="6"/>
      <c r="AD9" s="6"/>
      <c r="AE9" s="87">
        <v>1</v>
      </c>
      <c r="AF9" s="8">
        <f>+(41+58)*18*套标单价!D16/2</f>
        <v>147.01500000000001</v>
      </c>
      <c r="AG9" s="8">
        <f>8.19444444444444*1</f>
        <v>8.1944444444444446</v>
      </c>
      <c r="AH9" s="8"/>
      <c r="AI9" s="6">
        <f>1.5*4</f>
        <v>6</v>
      </c>
      <c r="AJ9" s="6"/>
      <c r="AK9" s="87">
        <v>1</v>
      </c>
      <c r="AL9" s="8">
        <f>52*9*套标单价!D16+120*套标单价!E18</f>
        <v>140.82</v>
      </c>
      <c r="AM9" s="6">
        <f>8.19444444444444*1</f>
        <v>8.1944444444444393</v>
      </c>
      <c r="AN9" s="8"/>
      <c r="AO9" s="6">
        <f>0.5*4</f>
        <v>2</v>
      </c>
      <c r="AP9" s="6"/>
      <c r="AQ9" s="87">
        <v>1</v>
      </c>
      <c r="AR9" s="103">
        <f>108.5*单价!I35</f>
        <v>98.734999999999999</v>
      </c>
      <c r="AS9" s="103">
        <f>8.19444444444444*2</f>
        <v>16.388888888888879</v>
      </c>
      <c r="AT9" s="8"/>
      <c r="AU9" s="6">
        <f>1.5*4</f>
        <v>6</v>
      </c>
      <c r="AV9" s="6"/>
      <c r="AW9" s="87">
        <v>1</v>
      </c>
      <c r="AX9" s="8">
        <f>121*单价!I35</f>
        <v>110.11</v>
      </c>
      <c r="AY9" s="8"/>
      <c r="AZ9" s="8"/>
      <c r="BA9" s="6">
        <f>1.5*4</f>
        <v>6</v>
      </c>
      <c r="BB9" s="6"/>
      <c r="BC9" s="87">
        <v>1</v>
      </c>
      <c r="BD9" s="6">
        <f>(126+105)*单价!I33+7*单价!I35</f>
        <v>133.42000000000002</v>
      </c>
      <c r="BE9" s="8"/>
      <c r="BF9" s="8"/>
      <c r="BG9" s="6">
        <f>1.5*4</f>
        <v>6</v>
      </c>
      <c r="BH9" s="6"/>
      <c r="BI9" s="6">
        <v>1</v>
      </c>
      <c r="BJ9" s="8">
        <f>120*单价!I39</f>
        <v>116.39999999999999</v>
      </c>
      <c r="BK9" s="8"/>
      <c r="BL9" s="8"/>
      <c r="BM9" s="6">
        <f>1.5*4</f>
        <v>6</v>
      </c>
      <c r="BN9" s="6"/>
      <c r="BO9" s="97">
        <v>1</v>
      </c>
      <c r="BP9" s="8">
        <f>+(88+33)*单价!I39</f>
        <v>117.36999999999999</v>
      </c>
      <c r="BQ9" s="8"/>
      <c r="BR9" s="8"/>
      <c r="BS9" s="6">
        <f>1.5*4</f>
        <v>6</v>
      </c>
      <c r="BT9" s="6"/>
      <c r="BU9" s="97">
        <v>1</v>
      </c>
      <c r="BV9" s="8"/>
      <c r="BW9" s="105">
        <f>8.19444444444444*8+8.19444444444444*1.5*1.5</f>
        <v>83.993055555555557</v>
      </c>
      <c r="BX9" s="8"/>
      <c r="BY9" s="6"/>
      <c r="BZ9" s="6"/>
      <c r="CA9" s="92">
        <v>1</v>
      </c>
      <c r="CB9" s="8">
        <f>37*单价!I39+93*单价!I35</f>
        <v>120.52000000000001</v>
      </c>
      <c r="CC9" s="8"/>
      <c r="CD9" s="8"/>
      <c r="CE9" s="6">
        <f>1.5*4</f>
        <v>6</v>
      </c>
      <c r="CF9" s="6"/>
      <c r="CG9" s="92">
        <v>1</v>
      </c>
      <c r="CH9" s="8"/>
      <c r="CI9" s="8"/>
      <c r="CJ9" s="8"/>
      <c r="CK9" s="6"/>
      <c r="CL9" s="6"/>
      <c r="CM9" s="92"/>
      <c r="CN9" s="8"/>
      <c r="CO9" s="8"/>
      <c r="CP9" s="8"/>
      <c r="CQ9" s="6"/>
      <c r="CR9" s="6"/>
      <c r="CS9" s="87"/>
      <c r="CT9" s="8"/>
      <c r="CU9" s="8"/>
      <c r="CV9" s="8"/>
      <c r="CW9" s="6"/>
      <c r="CX9" s="6"/>
      <c r="CY9" s="87"/>
      <c r="CZ9" s="8"/>
      <c r="DA9" s="8"/>
      <c r="DB9" s="8"/>
      <c r="DC9" s="6"/>
      <c r="DD9" s="6"/>
      <c r="DE9" s="87"/>
      <c r="DF9" s="8"/>
      <c r="DG9" s="8"/>
      <c r="DH9" s="8"/>
      <c r="DI9" s="6"/>
      <c r="DJ9" s="6"/>
      <c r="DK9" s="87"/>
      <c r="DL9" s="8"/>
      <c r="DM9" s="8"/>
      <c r="DN9" s="8"/>
      <c r="DO9" s="6"/>
      <c r="DP9" s="6"/>
      <c r="DQ9" s="87"/>
      <c r="DR9" s="8"/>
      <c r="DS9" s="8"/>
      <c r="DT9" s="8"/>
      <c r="DU9" s="6"/>
      <c r="DV9" s="6"/>
      <c r="DW9" s="94"/>
      <c r="DX9" s="8"/>
      <c r="DY9" s="8"/>
      <c r="DZ9" s="8"/>
      <c r="EA9" s="6"/>
      <c r="EB9" s="6"/>
      <c r="EC9" s="87"/>
      <c r="ED9" s="8"/>
      <c r="EE9" s="8"/>
      <c r="EF9" s="8"/>
      <c r="EG9" s="6"/>
      <c r="EH9" s="6"/>
      <c r="EI9" s="95"/>
      <c r="EJ9" s="8"/>
      <c r="EK9" s="8"/>
      <c r="EL9" s="8"/>
      <c r="EM9" s="6"/>
      <c r="EN9" s="6"/>
      <c r="EO9" s="96"/>
      <c r="EP9" s="8"/>
      <c r="EQ9" s="8"/>
      <c r="ER9" s="8"/>
      <c r="ES9" s="6"/>
      <c r="ET9" s="89"/>
      <c r="EU9" s="97"/>
      <c r="EV9" s="8"/>
      <c r="EW9" s="8"/>
      <c r="EX9" s="8"/>
      <c r="EY9" s="6"/>
      <c r="EZ9" s="6"/>
      <c r="FA9" s="98"/>
      <c r="FB9" s="8"/>
      <c r="FC9" s="8"/>
      <c r="FD9" s="8"/>
      <c r="FE9" s="6"/>
      <c r="FF9" s="6"/>
      <c r="FG9" s="87"/>
      <c r="FH9" s="8"/>
      <c r="FI9" s="8"/>
      <c r="FJ9" s="8"/>
      <c r="FK9" s="6"/>
      <c r="FL9" s="89"/>
      <c r="FM9" s="99"/>
      <c r="FN9" s="8"/>
      <c r="FO9" s="8"/>
      <c r="FP9" s="8"/>
      <c r="FQ9" s="6"/>
      <c r="FR9" s="6"/>
      <c r="FS9" s="87"/>
      <c r="FT9" s="8"/>
      <c r="FU9" s="8"/>
      <c r="FV9" s="8"/>
      <c r="FW9" s="6"/>
      <c r="FX9" s="6"/>
      <c r="FY9" s="87"/>
      <c r="FZ9" s="8"/>
      <c r="GA9" s="8"/>
      <c r="GB9" s="8"/>
      <c r="GC9" s="6"/>
      <c r="GD9" s="6"/>
      <c r="GE9" s="87"/>
      <c r="GF9" s="8"/>
      <c r="GG9" s="8"/>
      <c r="GH9" s="8"/>
      <c r="GI9" s="6"/>
      <c r="GJ9" s="6"/>
      <c r="GK9" s="87"/>
      <c r="GL9" s="8"/>
      <c r="GM9" s="8"/>
      <c r="GN9" s="8"/>
      <c r="GO9" s="6"/>
      <c r="GP9" s="6"/>
      <c r="GQ9" s="87"/>
      <c r="GR9" s="89"/>
      <c r="GS9" s="89"/>
      <c r="GT9" s="84"/>
      <c r="GU9" s="84"/>
      <c r="GV9" s="84"/>
      <c r="GW9" s="80"/>
      <c r="GX9" s="80"/>
      <c r="GY9" s="84"/>
      <c r="GZ9" s="80"/>
    </row>
    <row r="10" spans="1:208" s="15" customFormat="1" ht="20.100000000000001" customHeight="1">
      <c r="A10" s="80">
        <v>6</v>
      </c>
      <c r="B10" s="80" t="s">
        <v>163</v>
      </c>
      <c r="C10" s="61">
        <v>41690</v>
      </c>
      <c r="D10" s="65" t="s">
        <v>44</v>
      </c>
      <c r="E10" s="9">
        <v>1770</v>
      </c>
      <c r="F10" s="11">
        <f t="shared" si="1"/>
        <v>375.61</v>
      </c>
      <c r="G10" s="11">
        <f t="shared" si="1"/>
        <v>0</v>
      </c>
      <c r="H10" s="11">
        <f t="shared" si="1"/>
        <v>0</v>
      </c>
      <c r="I10" s="11">
        <f t="shared" si="1"/>
        <v>16</v>
      </c>
      <c r="J10" s="62">
        <f t="shared" si="2"/>
        <v>4</v>
      </c>
      <c r="K10" s="62">
        <f t="shared" si="3"/>
        <v>7</v>
      </c>
      <c r="L10" s="62"/>
      <c r="M10" s="76">
        <f t="shared" si="0"/>
        <v>391.61</v>
      </c>
      <c r="N10" s="8"/>
      <c r="O10" s="8"/>
      <c r="P10" s="8"/>
      <c r="Q10" s="6"/>
      <c r="R10" s="6">
        <v>1</v>
      </c>
      <c r="S10" s="87"/>
      <c r="T10" s="8"/>
      <c r="U10" s="8"/>
      <c r="V10" s="8"/>
      <c r="W10" s="6"/>
      <c r="X10" s="6">
        <v>1</v>
      </c>
      <c r="Y10" s="87"/>
      <c r="Z10" s="8"/>
      <c r="AA10" s="8"/>
      <c r="AB10" s="8"/>
      <c r="AC10" s="6"/>
      <c r="AD10" s="6">
        <v>1</v>
      </c>
      <c r="AE10" s="87"/>
      <c r="AF10" s="8"/>
      <c r="AG10" s="8"/>
      <c r="AH10" s="8"/>
      <c r="AI10" s="6"/>
      <c r="AJ10" s="6">
        <v>1</v>
      </c>
      <c r="AK10" s="87"/>
      <c r="AL10" s="8"/>
      <c r="AM10" s="8"/>
      <c r="AN10" s="8"/>
      <c r="AO10" s="6"/>
      <c r="AP10" s="6">
        <v>1</v>
      </c>
      <c r="AQ10" s="87"/>
      <c r="AR10" s="8"/>
      <c r="AS10" s="8"/>
      <c r="AT10" s="8"/>
      <c r="AU10" s="6"/>
      <c r="AV10" s="6">
        <v>1</v>
      </c>
      <c r="AW10" s="87"/>
      <c r="AX10" s="8"/>
      <c r="AY10" s="8"/>
      <c r="AZ10" s="8"/>
      <c r="BA10" s="6"/>
      <c r="BB10" s="6">
        <v>1</v>
      </c>
      <c r="BC10" s="87"/>
      <c r="BD10" s="8"/>
      <c r="BE10" s="8"/>
      <c r="BF10" s="8"/>
      <c r="BG10" s="6"/>
      <c r="BH10" s="6">
        <v>1</v>
      </c>
      <c r="BI10" s="6"/>
      <c r="BJ10" s="8">
        <f>103*单价!I39</f>
        <v>99.91</v>
      </c>
      <c r="BK10" s="8"/>
      <c r="BL10" s="8"/>
      <c r="BM10" s="6">
        <f>1*4</f>
        <v>4</v>
      </c>
      <c r="BN10" s="6"/>
      <c r="BO10" s="97">
        <v>1</v>
      </c>
      <c r="BP10" s="8">
        <f>85*单价!I39</f>
        <v>82.45</v>
      </c>
      <c r="BQ10" s="6"/>
      <c r="BR10" s="8"/>
      <c r="BS10" s="6">
        <f>0.5*4</f>
        <v>2</v>
      </c>
      <c r="BT10" s="87"/>
      <c r="BU10" s="97">
        <v>1</v>
      </c>
      <c r="BV10" s="8">
        <f>96*单价!I39</f>
        <v>93.12</v>
      </c>
      <c r="BW10" s="8"/>
      <c r="BX10" s="8"/>
      <c r="BY10" s="6">
        <f>1*4</f>
        <v>4</v>
      </c>
      <c r="BZ10" s="6"/>
      <c r="CA10" s="92">
        <v>1</v>
      </c>
      <c r="CB10" s="8">
        <f>46*单价!I39+61*单价!I35</f>
        <v>100.13</v>
      </c>
      <c r="CC10" s="8"/>
      <c r="CD10" s="8"/>
      <c r="CE10" s="6">
        <f>1.5*4</f>
        <v>6</v>
      </c>
      <c r="CF10" s="6"/>
      <c r="CG10" s="92">
        <v>1</v>
      </c>
      <c r="CH10" s="8"/>
      <c r="CI10" s="8"/>
      <c r="CJ10" s="8"/>
      <c r="CK10" s="6"/>
      <c r="CL10" s="6"/>
      <c r="CM10" s="92"/>
      <c r="CN10" s="8"/>
      <c r="CO10" s="8"/>
      <c r="CP10" s="8"/>
      <c r="CQ10" s="6"/>
      <c r="CR10" s="6"/>
      <c r="CS10" s="87"/>
      <c r="CT10" s="8"/>
      <c r="CU10" s="8"/>
      <c r="CV10" s="8"/>
      <c r="CW10" s="6"/>
      <c r="CX10" s="6"/>
      <c r="CY10" s="87"/>
      <c r="CZ10" s="8"/>
      <c r="DA10" s="8"/>
      <c r="DB10" s="8"/>
      <c r="DC10" s="6"/>
      <c r="DD10" s="6"/>
      <c r="DE10" s="87"/>
      <c r="DF10" s="8"/>
      <c r="DG10" s="8"/>
      <c r="DH10" s="8"/>
      <c r="DI10" s="6"/>
      <c r="DJ10" s="6"/>
      <c r="DK10" s="87"/>
      <c r="DL10" s="8"/>
      <c r="DM10" s="8"/>
      <c r="DN10" s="8"/>
      <c r="DO10" s="6"/>
      <c r="DP10" s="6"/>
      <c r="DQ10" s="87"/>
      <c r="DR10" s="8"/>
      <c r="DS10" s="8"/>
      <c r="DT10" s="8"/>
      <c r="DU10" s="6"/>
      <c r="DV10" s="6"/>
      <c r="DW10" s="94"/>
      <c r="DX10" s="8"/>
      <c r="DY10" s="8"/>
      <c r="DZ10" s="8"/>
      <c r="EA10" s="6"/>
      <c r="EB10" s="6"/>
      <c r="EC10" s="87"/>
      <c r="ED10" s="8"/>
      <c r="EE10" s="8"/>
      <c r="EF10" s="8"/>
      <c r="EG10" s="6"/>
      <c r="EH10" s="6"/>
      <c r="EI10" s="95"/>
      <c r="EJ10" s="8"/>
      <c r="EK10" s="8"/>
      <c r="EL10" s="8"/>
      <c r="EM10" s="6"/>
      <c r="EN10" s="6"/>
      <c r="EO10" s="96"/>
      <c r="EP10" s="8"/>
      <c r="EQ10" s="8"/>
      <c r="ER10" s="8"/>
      <c r="ES10" s="6"/>
      <c r="ET10" s="89"/>
      <c r="EU10" s="97"/>
      <c r="EV10" s="8"/>
      <c r="EW10" s="8"/>
      <c r="EX10" s="8"/>
      <c r="EY10" s="6"/>
      <c r="EZ10" s="6"/>
      <c r="FA10" s="98"/>
      <c r="FB10" s="8"/>
      <c r="FC10" s="8"/>
      <c r="FD10" s="8"/>
      <c r="FE10" s="6"/>
      <c r="FF10" s="6"/>
      <c r="FG10" s="87"/>
      <c r="FH10" s="8"/>
      <c r="FI10" s="8"/>
      <c r="FJ10" s="8"/>
      <c r="FK10" s="6"/>
      <c r="FL10" s="6"/>
      <c r="FM10" s="99"/>
      <c r="FN10" s="8"/>
      <c r="FO10" s="8"/>
      <c r="FP10" s="8"/>
      <c r="FQ10" s="6"/>
      <c r="FR10" s="6"/>
      <c r="FS10" s="87"/>
      <c r="FT10" s="8"/>
      <c r="FU10" s="8"/>
      <c r="FV10" s="8"/>
      <c r="FW10" s="6"/>
      <c r="FX10" s="6"/>
      <c r="FY10" s="87"/>
      <c r="FZ10" s="8"/>
      <c r="GA10" s="8"/>
      <c r="GB10" s="8"/>
      <c r="GC10" s="6"/>
      <c r="GD10" s="6"/>
      <c r="GE10" s="87"/>
      <c r="GF10" s="8"/>
      <c r="GG10" s="8"/>
      <c r="GH10" s="8"/>
      <c r="GI10" s="6"/>
      <c r="GJ10" s="6"/>
      <c r="GK10" s="87"/>
      <c r="GL10" s="8"/>
      <c r="GM10" s="8"/>
      <c r="GN10" s="8"/>
      <c r="GO10" s="6"/>
      <c r="GP10" s="6"/>
      <c r="GQ10" s="87"/>
      <c r="GR10" s="89"/>
      <c r="GS10" s="73"/>
      <c r="GT10" s="84"/>
      <c r="GU10" s="84"/>
      <c r="GV10" s="84"/>
      <c r="GW10" s="73"/>
      <c r="GX10" s="73"/>
      <c r="GY10" s="84"/>
      <c r="GZ10" s="66"/>
    </row>
    <row r="11" spans="1:208" s="15" customFormat="1" ht="20.100000000000001" customHeight="1">
      <c r="A11" s="80">
        <v>7</v>
      </c>
      <c r="B11" s="80" t="s">
        <v>163</v>
      </c>
      <c r="C11" s="61">
        <v>41690</v>
      </c>
      <c r="D11" s="65" t="s">
        <v>48</v>
      </c>
      <c r="E11" s="9">
        <v>1770</v>
      </c>
      <c r="F11" s="11">
        <f t="shared" si="1"/>
        <v>663.52499999999998</v>
      </c>
      <c r="G11" s="11">
        <f t="shared" si="1"/>
        <v>251.97916666666652</v>
      </c>
      <c r="H11" s="11">
        <f t="shared" si="1"/>
        <v>0</v>
      </c>
      <c r="I11" s="11">
        <f t="shared" si="1"/>
        <v>24</v>
      </c>
      <c r="J11" s="62">
        <f t="shared" si="2"/>
        <v>11</v>
      </c>
      <c r="K11" s="62">
        <f t="shared" si="3"/>
        <v>1</v>
      </c>
      <c r="L11" s="62"/>
      <c r="M11" s="76">
        <f t="shared" si="0"/>
        <v>939.50416666666649</v>
      </c>
      <c r="N11" s="6"/>
      <c r="O11" s="8">
        <f>8.19444444444444*8+1770/216*0.5*1.5</f>
        <v>71.701388888888843</v>
      </c>
      <c r="P11" s="77"/>
      <c r="Q11" s="6"/>
      <c r="R11" s="6"/>
      <c r="S11" s="87">
        <v>1</v>
      </c>
      <c r="T11" s="6"/>
      <c r="U11" s="8">
        <f>8.19444444444444*8+8.19444444444444*0.5*1.5</f>
        <v>71.701388888888843</v>
      </c>
      <c r="V11" s="77"/>
      <c r="W11" s="6"/>
      <c r="X11" s="6"/>
      <c r="Y11" s="87">
        <v>1</v>
      </c>
      <c r="Z11" s="6">
        <f>190*单价!I16</f>
        <v>81.7</v>
      </c>
      <c r="AA11" s="8">
        <f>8.19444444444444*0.5</f>
        <v>4.0972222222222197</v>
      </c>
      <c r="AB11" s="77"/>
      <c r="AC11" s="6"/>
      <c r="AD11" s="6"/>
      <c r="AE11" s="87">
        <v>1</v>
      </c>
      <c r="AF11" s="6">
        <f>20*18*套标单价!D16+21*18*套标单价!D16</f>
        <v>121.77000000000001</v>
      </c>
      <c r="AG11" s="6">
        <f>8.19444444444444*1</f>
        <v>8.1944444444444393</v>
      </c>
      <c r="AH11" s="77"/>
      <c r="AI11" s="6">
        <f>1.5*4</f>
        <v>6</v>
      </c>
      <c r="AJ11" s="6"/>
      <c r="AK11" s="87">
        <v>1</v>
      </c>
      <c r="AL11" s="6">
        <f>48*18*套标单价!D16/2+21.5*套标单价!E18</f>
        <v>82.674999999999997</v>
      </c>
      <c r="AM11" s="8">
        <f>8.19444444444444*1</f>
        <v>8.1944444444444446</v>
      </c>
      <c r="AN11" s="77"/>
      <c r="AO11" s="88"/>
      <c r="AP11" s="6"/>
      <c r="AQ11" s="87">
        <v>1</v>
      </c>
      <c r="AR11" s="6">
        <f>78*单价!I35</f>
        <v>70.98</v>
      </c>
      <c r="AS11" s="6">
        <f>8.19444444444444*0.5</f>
        <v>4.0972222222222223</v>
      </c>
      <c r="AT11" s="77"/>
      <c r="AU11" s="6">
        <f>1*4</f>
        <v>4</v>
      </c>
      <c r="AV11" s="6"/>
      <c r="AW11" s="87">
        <v>1</v>
      </c>
      <c r="AX11" s="104"/>
      <c r="AY11" s="105"/>
      <c r="AZ11" s="106"/>
      <c r="BA11" s="104"/>
      <c r="BB11" s="104">
        <v>1</v>
      </c>
      <c r="BC11" s="102"/>
      <c r="BD11" s="6">
        <f>59*单价!I35+50*单价!I33</f>
        <v>81.190000000000012</v>
      </c>
      <c r="BE11" s="8"/>
      <c r="BF11" s="77"/>
      <c r="BG11" s="6">
        <f>0.5*4</f>
        <v>2</v>
      </c>
      <c r="BH11" s="6"/>
      <c r="BI11" s="6">
        <v>1</v>
      </c>
      <c r="BJ11" s="6">
        <f>81*单价!I33+38*单价!I35</f>
        <v>79.13</v>
      </c>
      <c r="BK11" s="8"/>
      <c r="BL11" s="107"/>
      <c r="BM11" s="6">
        <f>1*4</f>
        <v>4</v>
      </c>
      <c r="BN11" s="6"/>
      <c r="BO11" s="97">
        <v>1</v>
      </c>
      <c r="BP11" s="6"/>
      <c r="BQ11" s="8">
        <f>8.19444444444444*8+8.19444444444444*1.5*1.5</f>
        <v>83.9930555555555</v>
      </c>
      <c r="BR11" s="77"/>
      <c r="BS11" s="88"/>
      <c r="BT11" s="6"/>
      <c r="BU11" s="97">
        <v>1</v>
      </c>
      <c r="BV11" s="86">
        <f>77*单价!I39</f>
        <v>74.69</v>
      </c>
      <c r="BW11" s="6"/>
      <c r="BX11" s="77"/>
      <c r="BY11" s="88">
        <f>1*4</f>
        <v>4</v>
      </c>
      <c r="BZ11" s="6"/>
      <c r="CA11" s="92">
        <v>1</v>
      </c>
      <c r="CB11" s="8">
        <f>22*单价!I39+55*单价!I35</f>
        <v>71.39</v>
      </c>
      <c r="CC11" s="8"/>
      <c r="CD11" s="77"/>
      <c r="CE11" s="6">
        <f>1*4</f>
        <v>4</v>
      </c>
      <c r="CF11" s="6"/>
      <c r="CG11" s="92">
        <v>1</v>
      </c>
      <c r="CH11" s="6"/>
      <c r="CI11" s="8"/>
      <c r="CJ11" s="77"/>
      <c r="CK11" s="88"/>
      <c r="CL11" s="6"/>
      <c r="CM11" s="92"/>
      <c r="CN11" s="6"/>
      <c r="CO11" s="8"/>
      <c r="CP11" s="77"/>
      <c r="CQ11" s="6"/>
      <c r="CR11" s="6"/>
      <c r="CS11" s="87"/>
      <c r="CT11" s="6"/>
      <c r="CU11" s="6"/>
      <c r="CV11" s="77"/>
      <c r="CW11" s="6"/>
      <c r="CX11" s="6"/>
      <c r="CY11" s="87"/>
      <c r="CZ11" s="6"/>
      <c r="DA11" s="6"/>
      <c r="DB11" s="77"/>
      <c r="DC11" s="6"/>
      <c r="DD11" s="6"/>
      <c r="DE11" s="87"/>
      <c r="DF11" s="8"/>
      <c r="DG11" s="8"/>
      <c r="DH11" s="77"/>
      <c r="DI11" s="88"/>
      <c r="DJ11" s="6"/>
      <c r="DK11" s="87"/>
      <c r="DL11" s="6"/>
      <c r="DM11" s="6"/>
      <c r="DN11" s="77"/>
      <c r="DO11" s="6"/>
      <c r="DP11" s="6"/>
      <c r="DQ11" s="87"/>
      <c r="DR11" s="6"/>
      <c r="DS11" s="6"/>
      <c r="DT11" s="77"/>
      <c r="DU11" s="6"/>
      <c r="DV11" s="6"/>
      <c r="DW11" s="94"/>
      <c r="DX11" s="6"/>
      <c r="DY11" s="6"/>
      <c r="DZ11" s="77"/>
      <c r="EA11" s="6"/>
      <c r="EB11" s="6"/>
      <c r="EC11" s="87"/>
      <c r="ED11" s="8"/>
      <c r="EE11" s="6"/>
      <c r="EF11" s="77"/>
      <c r="EG11" s="6"/>
      <c r="EH11" s="6"/>
      <c r="EI11" s="95"/>
      <c r="EJ11" s="6"/>
      <c r="EK11" s="8"/>
      <c r="EL11" s="77"/>
      <c r="EM11" s="6"/>
      <c r="EN11" s="6"/>
      <c r="EO11" s="96"/>
      <c r="EP11" s="6"/>
      <c r="EQ11" s="8"/>
      <c r="ER11" s="77"/>
      <c r="ES11" s="6"/>
      <c r="ET11" s="89"/>
      <c r="EU11" s="97"/>
      <c r="EV11" s="6"/>
      <c r="EW11" s="8"/>
      <c r="EX11" s="77"/>
      <c r="EY11" s="88"/>
      <c r="EZ11" s="6"/>
      <c r="FA11" s="98"/>
      <c r="FB11" s="6"/>
      <c r="FC11" s="6"/>
      <c r="FD11" s="77"/>
      <c r="FE11" s="6"/>
      <c r="FF11" s="6"/>
      <c r="FG11" s="87"/>
      <c r="FH11" s="6"/>
      <c r="FI11" s="8"/>
      <c r="FJ11" s="77"/>
      <c r="FK11" s="6"/>
      <c r="FL11" s="6"/>
      <c r="FM11" s="99"/>
      <c r="FN11" s="6"/>
      <c r="FO11" s="8"/>
      <c r="FP11" s="77"/>
      <c r="FQ11" s="6"/>
      <c r="FR11" s="6"/>
      <c r="FS11" s="87"/>
      <c r="FT11" s="6"/>
      <c r="FU11" s="8"/>
      <c r="FV11" s="77"/>
      <c r="FW11" s="6"/>
      <c r="FX11" s="6"/>
      <c r="FY11" s="87"/>
      <c r="FZ11" s="6"/>
      <c r="GA11" s="8"/>
      <c r="GB11" s="77"/>
      <c r="GC11" s="6"/>
      <c r="GD11" s="6"/>
      <c r="GE11" s="87"/>
      <c r="GF11" s="6"/>
      <c r="GG11" s="6"/>
      <c r="GH11" s="77"/>
      <c r="GI11" s="6"/>
      <c r="GJ11" s="6"/>
      <c r="GK11" s="87"/>
      <c r="GL11" s="6"/>
      <c r="GM11" s="6"/>
      <c r="GN11" s="77"/>
      <c r="GO11" s="6"/>
      <c r="GP11" s="6"/>
      <c r="GQ11" s="87"/>
      <c r="GR11" s="89"/>
      <c r="GS11" s="73"/>
      <c r="GT11" s="84"/>
      <c r="GU11" s="84"/>
      <c r="GV11" s="84"/>
      <c r="GW11" s="73"/>
      <c r="GX11" s="73"/>
      <c r="GY11" s="84"/>
      <c r="GZ11" s="66"/>
    </row>
    <row r="12" spans="1:208" s="15" customFormat="1" ht="20.100000000000001" customHeight="1">
      <c r="A12" s="80">
        <v>8</v>
      </c>
      <c r="B12" s="80" t="s">
        <v>163</v>
      </c>
      <c r="C12" s="78">
        <v>42198</v>
      </c>
      <c r="D12" s="82" t="s">
        <v>50</v>
      </c>
      <c r="E12" s="9">
        <v>1770</v>
      </c>
      <c r="F12" s="11">
        <f t="shared" si="1"/>
        <v>644.673</v>
      </c>
      <c r="G12" s="11">
        <f t="shared" si="1"/>
        <v>172.08333333333323</v>
      </c>
      <c r="H12" s="11">
        <f t="shared" si="1"/>
        <v>0</v>
      </c>
      <c r="I12" s="11">
        <f t="shared" si="1"/>
        <v>18</v>
      </c>
      <c r="J12" s="62">
        <f t="shared" si="2"/>
        <v>10</v>
      </c>
      <c r="K12" s="62">
        <f t="shared" si="3"/>
        <v>2</v>
      </c>
      <c r="L12" s="62"/>
      <c r="M12" s="76">
        <f t="shared" si="0"/>
        <v>834.75633333333326</v>
      </c>
      <c r="N12" s="6"/>
      <c r="O12" s="8"/>
      <c r="P12" s="88"/>
      <c r="Q12" s="88"/>
      <c r="R12" s="6">
        <v>1</v>
      </c>
      <c r="S12" s="87"/>
      <c r="T12" s="6"/>
      <c r="U12" s="8">
        <f>8.19444444444444*8+8.19444444444444*0.5*1.5</f>
        <v>71.701388888888843</v>
      </c>
      <c r="V12" s="88"/>
      <c r="W12" s="88"/>
      <c r="X12" s="6"/>
      <c r="Y12" s="87">
        <v>1</v>
      </c>
      <c r="Z12" s="6">
        <f>190*单价!I16</f>
        <v>81.7</v>
      </c>
      <c r="AA12" s="8">
        <f>8.19444444444444*0.5</f>
        <v>4.0972222222222197</v>
      </c>
      <c r="AB12" s="88"/>
      <c r="AC12" s="6"/>
      <c r="AD12" s="6"/>
      <c r="AE12" s="87">
        <v>1</v>
      </c>
      <c r="AF12" s="6"/>
      <c r="AG12" s="6"/>
      <c r="AH12" s="88"/>
      <c r="AI12" s="88"/>
      <c r="AJ12" s="6">
        <v>1</v>
      </c>
      <c r="AK12" s="87"/>
      <c r="AL12" s="6">
        <f>48*18*套标单价!D16/2+21.5*套标单价!E18</f>
        <v>82.674999999999997</v>
      </c>
      <c r="AM12" s="8">
        <f>8.19444444444444*1</f>
        <v>8.1944444444444393</v>
      </c>
      <c r="AN12" s="88"/>
      <c r="AO12" s="88"/>
      <c r="AP12" s="6"/>
      <c r="AQ12" s="87">
        <v>1</v>
      </c>
      <c r="AR12" s="6">
        <f>75*单价!I35</f>
        <v>68.25</v>
      </c>
      <c r="AS12" s="6">
        <f>8.19444444444444*0.5</f>
        <v>4.0972222222222223</v>
      </c>
      <c r="AT12" s="88"/>
      <c r="AU12" s="6">
        <f>0.5*4</f>
        <v>2</v>
      </c>
      <c r="AV12" s="6"/>
      <c r="AW12" s="87">
        <v>1</v>
      </c>
      <c r="AX12" s="6">
        <f>28*19.5*套标单价!D2</f>
        <v>119.02800000000001</v>
      </c>
      <c r="AY12" s="8"/>
      <c r="AZ12" s="88"/>
      <c r="BA12" s="88">
        <f>1*4</f>
        <v>4</v>
      </c>
      <c r="BB12" s="6"/>
      <c r="BC12" s="87">
        <v>1</v>
      </c>
      <c r="BD12" s="6">
        <f>50*单价!I35+50*单价!I33</f>
        <v>73</v>
      </c>
      <c r="BE12" s="8"/>
      <c r="BF12" s="88"/>
      <c r="BG12" s="88">
        <f>0.5*4</f>
        <v>2</v>
      </c>
      <c r="BH12" s="6"/>
      <c r="BI12" s="6">
        <v>1</v>
      </c>
      <c r="BJ12" s="6">
        <f>78*单价!I33+35*单价!I39</f>
        <v>76.849999999999994</v>
      </c>
      <c r="BK12" s="8"/>
      <c r="BL12" s="108"/>
      <c r="BM12" s="88">
        <f>1*4</f>
        <v>4</v>
      </c>
      <c r="BN12" s="6"/>
      <c r="BO12" s="97">
        <v>1</v>
      </c>
      <c r="BP12" s="6"/>
      <c r="BQ12" s="6">
        <f>8.19444444444444*8+8.19444444444444*1.5*1.5</f>
        <v>83.9930555555555</v>
      </c>
      <c r="BR12" s="88"/>
      <c r="BS12" s="88"/>
      <c r="BT12" s="87"/>
      <c r="BU12" s="97">
        <v>1</v>
      </c>
      <c r="BV12" s="6">
        <f>75*单价!I39</f>
        <v>72.75</v>
      </c>
      <c r="BW12" s="6"/>
      <c r="BX12" s="88"/>
      <c r="BY12" s="88">
        <f>0.5*4</f>
        <v>2</v>
      </c>
      <c r="BZ12" s="88"/>
      <c r="CA12" s="92">
        <v>1</v>
      </c>
      <c r="CB12" s="6">
        <f>21*单价!I39+55*单价!I35</f>
        <v>70.42</v>
      </c>
      <c r="CC12" s="6"/>
      <c r="CD12" s="88"/>
      <c r="CE12" s="88">
        <f>1*4</f>
        <v>4</v>
      </c>
      <c r="CF12" s="88"/>
      <c r="CG12" s="92">
        <v>1</v>
      </c>
      <c r="CH12" s="6"/>
      <c r="CI12" s="6"/>
      <c r="CJ12" s="88"/>
      <c r="CK12" s="88"/>
      <c r="CL12" s="88"/>
      <c r="CM12" s="92"/>
      <c r="CN12" s="6"/>
      <c r="CO12" s="8"/>
      <c r="CP12" s="88"/>
      <c r="CQ12" s="93"/>
      <c r="CR12" s="88"/>
      <c r="CS12" s="87"/>
      <c r="CT12" s="6"/>
      <c r="CU12" s="6"/>
      <c r="CV12" s="88"/>
      <c r="CW12" s="88"/>
      <c r="CX12" s="88"/>
      <c r="CY12" s="87"/>
      <c r="CZ12" s="6"/>
      <c r="DA12" s="6"/>
      <c r="DB12" s="88"/>
      <c r="DC12" s="88"/>
      <c r="DD12" s="88"/>
      <c r="DE12" s="87"/>
      <c r="DF12" s="6"/>
      <c r="DG12" s="6"/>
      <c r="DH12" s="88"/>
      <c r="DI12" s="88"/>
      <c r="DJ12" s="88"/>
      <c r="DK12" s="87"/>
      <c r="DL12" s="6"/>
      <c r="DM12" s="6"/>
      <c r="DN12" s="88"/>
      <c r="DO12" s="88"/>
      <c r="DP12" s="88"/>
      <c r="DQ12" s="87"/>
      <c r="DR12" s="6"/>
      <c r="DS12" s="6"/>
      <c r="DT12" s="88"/>
      <c r="DU12" s="88"/>
      <c r="DV12" s="88"/>
      <c r="DW12" s="94"/>
      <c r="DX12" s="6"/>
      <c r="DY12" s="6"/>
      <c r="DZ12" s="88"/>
      <c r="EA12" s="88"/>
      <c r="EB12" s="88"/>
      <c r="EC12" s="87"/>
      <c r="ED12" s="8"/>
      <c r="EE12" s="6"/>
      <c r="EF12" s="88"/>
      <c r="EG12" s="88"/>
      <c r="EH12" s="88"/>
      <c r="EI12" s="95"/>
      <c r="EJ12" s="6"/>
      <c r="EK12" s="8"/>
      <c r="EL12" s="88"/>
      <c r="EM12" s="88"/>
      <c r="EN12" s="88"/>
      <c r="EO12" s="96"/>
      <c r="EP12" s="6"/>
      <c r="EQ12" s="8"/>
      <c r="ER12" s="88"/>
      <c r="ES12" s="88"/>
      <c r="ET12" s="89"/>
      <c r="EU12" s="97"/>
      <c r="EV12" s="6"/>
      <c r="EW12" s="8"/>
      <c r="EX12" s="88"/>
      <c r="EY12" s="88"/>
      <c r="EZ12" s="6"/>
      <c r="FA12" s="98"/>
      <c r="FB12" s="6"/>
      <c r="FC12" s="6"/>
      <c r="FD12" s="88"/>
      <c r="FE12" s="88"/>
      <c r="FF12" s="6"/>
      <c r="FG12" s="87"/>
      <c r="FH12" s="6"/>
      <c r="FI12" s="8"/>
      <c r="FJ12" s="88"/>
      <c r="FK12" s="88"/>
      <c r="FL12" s="88"/>
      <c r="FM12" s="99"/>
      <c r="FN12" s="6"/>
      <c r="FO12" s="8"/>
      <c r="FP12" s="88"/>
      <c r="FQ12" s="88"/>
      <c r="FR12" s="6"/>
      <c r="FS12" s="87"/>
      <c r="FT12" s="6"/>
      <c r="FU12" s="8"/>
      <c r="FV12" s="88"/>
      <c r="FW12" s="88"/>
      <c r="FX12" s="88"/>
      <c r="FY12" s="87"/>
      <c r="FZ12" s="6"/>
      <c r="GA12" s="8"/>
      <c r="GB12" s="88"/>
      <c r="GC12" s="88"/>
      <c r="GD12" s="6"/>
      <c r="GE12" s="87"/>
      <c r="GF12" s="6"/>
      <c r="GG12" s="6"/>
      <c r="GH12" s="88"/>
      <c r="GI12" s="88"/>
      <c r="GJ12" s="6"/>
      <c r="GK12" s="87"/>
      <c r="GL12" s="6"/>
      <c r="GM12" s="6"/>
      <c r="GN12" s="88"/>
      <c r="GO12" s="88"/>
      <c r="GP12" s="6"/>
      <c r="GQ12" s="87"/>
      <c r="GR12" s="89"/>
      <c r="GS12" s="73"/>
      <c r="GT12" s="84"/>
      <c r="GU12" s="85"/>
      <c r="GV12" s="85"/>
      <c r="GW12" s="73"/>
      <c r="GX12" s="73"/>
      <c r="GY12" s="85"/>
      <c r="GZ12" s="66"/>
    </row>
    <row r="13" spans="1:208" ht="20.100000000000001" customHeight="1">
      <c r="A13" s="80">
        <v>9</v>
      </c>
      <c r="B13" s="67" t="s">
        <v>163</v>
      </c>
      <c r="C13" s="72">
        <v>42352</v>
      </c>
      <c r="D13" s="67" t="s">
        <v>51</v>
      </c>
      <c r="E13" s="68">
        <v>1770</v>
      </c>
      <c r="F13" s="69">
        <f t="shared" si="1"/>
        <v>1026.105</v>
      </c>
      <c r="G13" s="11">
        <f>+O13+U13+AA13+AG13+AM13+AS13+AY13+BE13+BK13+BQ13+BW13+CC13+CI13+CO13+CU13+DA13+DG13+DM13+DS13+DY13+EE13+EK13+EQ13+EW13+FC13+FI13+FO13+FU13+GA13+GG13+GM13</f>
        <v>232.65096618357478</v>
      </c>
      <c r="H13" s="69">
        <f t="shared" si="1"/>
        <v>0</v>
      </c>
      <c r="I13" s="69">
        <f t="shared" si="1"/>
        <v>42</v>
      </c>
      <c r="J13" s="62">
        <f t="shared" si="2"/>
        <v>12</v>
      </c>
      <c r="K13" s="70">
        <f t="shared" si="3"/>
        <v>0</v>
      </c>
      <c r="L13" s="70"/>
      <c r="M13" s="101">
        <f>+F13+G13+H13+I13+L13</f>
        <v>1300.7559661835749</v>
      </c>
      <c r="N13" s="8"/>
      <c r="O13" s="8">
        <f>8.19444444444444*8+1770/216*0.5*1.5</f>
        <v>71.701388888888843</v>
      </c>
      <c r="P13" s="8"/>
      <c r="Q13" s="6"/>
      <c r="R13" s="6"/>
      <c r="S13" s="87">
        <v>1</v>
      </c>
      <c r="T13" s="8"/>
      <c r="U13" s="8">
        <f>8.19444444444444*8+8.19444444444444*0.5*1.5</f>
        <v>71.701388888888843</v>
      </c>
      <c r="V13" s="8"/>
      <c r="W13" s="6"/>
      <c r="X13" s="6"/>
      <c r="Y13" s="87">
        <v>1</v>
      </c>
      <c r="Z13" s="8"/>
      <c r="AA13" s="8">
        <f>9.6195652173913*8</f>
        <v>76.956521739130395</v>
      </c>
      <c r="AB13" s="8"/>
      <c r="AC13" s="89"/>
      <c r="AD13" s="6"/>
      <c r="AE13" s="87">
        <v>1</v>
      </c>
      <c r="AF13" s="8">
        <f>45*18*套标单价!D16</f>
        <v>133.65</v>
      </c>
      <c r="AG13" s="8">
        <f>8.19444444444444*1</f>
        <v>8.1944444444444446</v>
      </c>
      <c r="AH13" s="8"/>
      <c r="AI13" s="6">
        <f>1.5*4</f>
        <v>6</v>
      </c>
      <c r="AJ13" s="6"/>
      <c r="AK13" s="87">
        <v>1</v>
      </c>
      <c r="AL13" s="8">
        <f>23*18*套标单价!D16+110*套标单价!E18</f>
        <v>126.61000000000001</v>
      </c>
      <c r="AM13" s="8">
        <f>8.19444444444444*0.5</f>
        <v>4.0972222222222223</v>
      </c>
      <c r="AN13" s="8"/>
      <c r="AO13" s="89">
        <f>0.5*4</f>
        <v>2</v>
      </c>
      <c r="AP13" s="6"/>
      <c r="AQ13" s="87">
        <v>1</v>
      </c>
      <c r="AR13" s="8">
        <f>113.5*单价!I35</f>
        <v>103.285</v>
      </c>
      <c r="AS13" s="8"/>
      <c r="AT13" s="8"/>
      <c r="AU13" s="6">
        <f>1.5*4</f>
        <v>6</v>
      </c>
      <c r="AV13" s="6"/>
      <c r="AW13" s="87">
        <v>1</v>
      </c>
      <c r="AX13" s="8">
        <f>(223+7)/2*单价!I35</f>
        <v>104.65</v>
      </c>
      <c r="AY13" s="8"/>
      <c r="AZ13" s="8"/>
      <c r="BA13" s="6">
        <f>1.5*4</f>
        <v>6</v>
      </c>
      <c r="BB13" s="6"/>
      <c r="BC13" s="87">
        <v>1</v>
      </c>
      <c r="BD13" s="6">
        <f>(145+90)*单价!I33+6*单价!I35</f>
        <v>134.71</v>
      </c>
      <c r="BE13" s="8"/>
      <c r="BF13" s="8"/>
      <c r="BG13" s="6">
        <f>1.5*4</f>
        <v>6</v>
      </c>
      <c r="BH13" s="6"/>
      <c r="BI13" s="6">
        <v>1</v>
      </c>
      <c r="BJ13" s="8">
        <f>113*单价!I39</f>
        <v>109.61</v>
      </c>
      <c r="BK13" s="8"/>
      <c r="BL13" s="8"/>
      <c r="BM13" s="6">
        <f>1*4</f>
        <v>4</v>
      </c>
      <c r="BN13" s="6"/>
      <c r="BO13" s="97">
        <v>1</v>
      </c>
      <c r="BP13" s="8">
        <f>104*单价!I39</f>
        <v>100.88</v>
      </c>
      <c r="BQ13" s="8"/>
      <c r="BR13" s="8"/>
      <c r="BS13" s="6">
        <f>0.5*4</f>
        <v>2</v>
      </c>
      <c r="BT13" s="89"/>
      <c r="BU13" s="97">
        <v>1</v>
      </c>
      <c r="BV13" s="8">
        <f>113*单价!I39</f>
        <v>109.61</v>
      </c>
      <c r="BW13" s="8"/>
      <c r="BX13" s="8"/>
      <c r="BY13" s="6">
        <f>1*4</f>
        <v>4</v>
      </c>
      <c r="BZ13" s="89"/>
      <c r="CA13" s="92">
        <v>1</v>
      </c>
      <c r="CB13" s="8">
        <f>50*单价!I39+60*单价!I35</f>
        <v>103.1</v>
      </c>
      <c r="CC13" s="8"/>
      <c r="CD13" s="8"/>
      <c r="CE13" s="6">
        <f>1.5*4</f>
        <v>6</v>
      </c>
      <c r="CF13" s="89"/>
      <c r="CG13" s="92">
        <v>1</v>
      </c>
      <c r="CH13" s="8"/>
      <c r="CI13" s="8"/>
      <c r="CJ13" s="8"/>
      <c r="CK13" s="6"/>
      <c r="CL13" s="89"/>
      <c r="CM13" s="92"/>
      <c r="CN13" s="8"/>
      <c r="CO13" s="8"/>
      <c r="CP13" s="8"/>
      <c r="CQ13" s="6"/>
      <c r="CR13" s="89"/>
      <c r="CS13" s="87"/>
      <c r="CT13" s="8"/>
      <c r="CU13" s="8"/>
      <c r="CV13" s="8"/>
      <c r="CW13" s="6"/>
      <c r="CX13" s="89"/>
      <c r="CY13" s="87"/>
      <c r="CZ13" s="8"/>
      <c r="DA13" s="8"/>
      <c r="DB13" s="8"/>
      <c r="DC13" s="6"/>
      <c r="DD13" s="89"/>
      <c r="DE13" s="87"/>
      <c r="DF13" s="8"/>
      <c r="DG13" s="8"/>
      <c r="DH13" s="8"/>
      <c r="DI13" s="6"/>
      <c r="DJ13" s="89"/>
      <c r="DK13" s="87"/>
      <c r="DL13" s="8"/>
      <c r="DM13" s="8"/>
      <c r="DN13" s="8"/>
      <c r="DO13" s="89"/>
      <c r="DP13" s="89"/>
      <c r="DQ13" s="87"/>
      <c r="DR13" s="8"/>
      <c r="DS13" s="8"/>
      <c r="DT13" s="8"/>
      <c r="DU13" s="6"/>
      <c r="DV13" s="89"/>
      <c r="DW13" s="94"/>
      <c r="DX13" s="8"/>
      <c r="DY13" s="8"/>
      <c r="DZ13" s="8"/>
      <c r="EA13" s="6"/>
      <c r="EB13" s="89"/>
      <c r="EC13" s="87"/>
      <c r="ED13" s="8"/>
      <c r="EE13" s="8"/>
      <c r="EF13" s="8"/>
      <c r="EG13" s="6"/>
      <c r="EH13" s="89"/>
      <c r="EI13" s="95"/>
      <c r="EJ13" s="8"/>
      <c r="EK13" s="8"/>
      <c r="EL13" s="8"/>
      <c r="EM13" s="89"/>
      <c r="EN13" s="89"/>
      <c r="EO13" s="96"/>
      <c r="EP13" s="8"/>
      <c r="EQ13" s="8"/>
      <c r="ER13" s="8"/>
      <c r="ES13" s="6"/>
      <c r="ET13" s="89"/>
      <c r="EU13" s="97"/>
      <c r="EV13" s="8"/>
      <c r="EW13" s="8"/>
      <c r="EX13" s="8"/>
      <c r="EY13" s="89"/>
      <c r="EZ13" s="6"/>
      <c r="FA13" s="98"/>
      <c r="FB13" s="8"/>
      <c r="FC13" s="8"/>
      <c r="FD13" s="8"/>
      <c r="FE13" s="6"/>
      <c r="FF13" s="6"/>
      <c r="FG13" s="87"/>
      <c r="FH13" s="8"/>
      <c r="FI13" s="8"/>
      <c r="FJ13" s="8"/>
      <c r="FK13" s="6"/>
      <c r="FL13" s="89"/>
      <c r="FM13" s="99"/>
      <c r="FN13" s="8"/>
      <c r="FO13" s="8"/>
      <c r="FP13" s="8"/>
      <c r="FQ13" s="89"/>
      <c r="FR13" s="89"/>
      <c r="FS13" s="87"/>
      <c r="FT13" s="8"/>
      <c r="FU13" s="8"/>
      <c r="FV13" s="8"/>
      <c r="FW13" s="89"/>
      <c r="FX13" s="6"/>
      <c r="FY13" s="87"/>
      <c r="FZ13" s="8"/>
      <c r="GA13" s="8"/>
      <c r="GB13" s="8"/>
      <c r="GC13" s="89"/>
      <c r="GD13" s="6"/>
      <c r="GE13" s="87"/>
      <c r="GF13" s="8"/>
      <c r="GG13" s="8"/>
      <c r="GH13" s="8"/>
      <c r="GI13" s="89"/>
      <c r="GJ13" s="6"/>
      <c r="GK13" s="87"/>
      <c r="GL13" s="8"/>
      <c r="GM13" s="8"/>
      <c r="GN13" s="8"/>
      <c r="GO13" s="89"/>
      <c r="GP13" s="6"/>
      <c r="GQ13" s="87"/>
      <c r="GR13" s="89"/>
      <c r="GS13" s="73"/>
      <c r="GT13" s="84"/>
      <c r="GU13" s="84"/>
      <c r="GV13" s="84"/>
      <c r="GW13" s="75"/>
      <c r="GX13" s="75"/>
      <c r="GY13" s="84"/>
      <c r="GZ13" s="71"/>
    </row>
    <row r="14" spans="1:208" ht="14.25" customHeight="1">
      <c r="M14" s="13"/>
      <c r="N14" s="13">
        <f t="shared" ref="N14:S14" si="4">+SUM(N5:N13)</f>
        <v>0</v>
      </c>
      <c r="O14" s="13">
        <f>+SUM(O5:O13)</f>
        <v>430.20833333333309</v>
      </c>
      <c r="P14" s="13">
        <f t="shared" si="4"/>
        <v>0</v>
      </c>
      <c r="Q14" s="13">
        <f t="shared" si="4"/>
        <v>0</v>
      </c>
      <c r="R14" s="13"/>
      <c r="S14" s="13">
        <f t="shared" si="4"/>
        <v>6</v>
      </c>
    </row>
    <row r="15" spans="1:208" ht="14.25" customHeight="1">
      <c r="B15" s="7" t="s">
        <v>173</v>
      </c>
      <c r="F15" s="5"/>
      <c r="G15" s="5"/>
      <c r="H15" s="5"/>
      <c r="I15" s="5" t="s">
        <v>174</v>
      </c>
      <c r="J15" s="79"/>
      <c r="K15" s="5"/>
      <c r="M15" s="12"/>
      <c r="N15" s="7" t="s">
        <v>52</v>
      </c>
      <c r="GR15" s="74" t="s">
        <v>175</v>
      </c>
      <c r="GT15" s="14" t="s">
        <v>49</v>
      </c>
      <c r="GU15" s="83"/>
      <c r="GV15" s="83"/>
      <c r="GW15" s="83"/>
      <c r="GX15" s="83"/>
      <c r="GY15" s="83" t="s">
        <v>52</v>
      </c>
    </row>
  </sheetData>
  <mergeCells count="55">
    <mergeCell ref="L3:L4"/>
    <mergeCell ref="A3:A4"/>
    <mergeCell ref="B3:B4"/>
    <mergeCell ref="C3:C4"/>
    <mergeCell ref="D3:D4"/>
    <mergeCell ref="E3:E4"/>
    <mergeCell ref="F3:F4"/>
    <mergeCell ref="G3:G4"/>
    <mergeCell ref="H3:H4"/>
    <mergeCell ref="I3:I4"/>
    <mergeCell ref="J3:J4"/>
    <mergeCell ref="K3:K4"/>
    <mergeCell ref="BV3:CA3"/>
    <mergeCell ref="M3:M4"/>
    <mergeCell ref="N3:S3"/>
    <mergeCell ref="T3:Y3"/>
    <mergeCell ref="Z3:AE3"/>
    <mergeCell ref="AF3:AK3"/>
    <mergeCell ref="AL3:AQ3"/>
    <mergeCell ref="AR3:AW3"/>
    <mergeCell ref="AX3:BC3"/>
    <mergeCell ref="BD3:BI3"/>
    <mergeCell ref="BJ3:BO3"/>
    <mergeCell ref="BP3:BU3"/>
    <mergeCell ref="DX3:EC3"/>
    <mergeCell ref="ED3:EI3"/>
    <mergeCell ref="EJ3:EO3"/>
    <mergeCell ref="EP3:EU3"/>
    <mergeCell ref="CB3:CG3"/>
    <mergeCell ref="CH3:CM3"/>
    <mergeCell ref="CN3:CS3"/>
    <mergeCell ref="CT3:CY3"/>
    <mergeCell ref="CZ3:DE3"/>
    <mergeCell ref="DF3:DK3"/>
    <mergeCell ref="A1:GZ1"/>
    <mergeCell ref="A2:GZ2"/>
    <mergeCell ref="GF3:GK3"/>
    <mergeCell ref="GL3:GQ3"/>
    <mergeCell ref="GR3:GR4"/>
    <mergeCell ref="GS3:GS4"/>
    <mergeCell ref="GT3:GT4"/>
    <mergeCell ref="GU3:GU4"/>
    <mergeCell ref="EV3:FA3"/>
    <mergeCell ref="FB3:FG3"/>
    <mergeCell ref="FH3:FM3"/>
    <mergeCell ref="FN3:FS3"/>
    <mergeCell ref="FT3:FY3"/>
    <mergeCell ref="FZ3:GE3"/>
    <mergeCell ref="DL3:DQ3"/>
    <mergeCell ref="DR3:DW3"/>
    <mergeCell ref="GV3:GV4"/>
    <mergeCell ref="GW3:GW4"/>
    <mergeCell ref="GX3:GX4"/>
    <mergeCell ref="GY3:GY4"/>
    <mergeCell ref="GZ3:GZ4"/>
  </mergeCells>
  <phoneticPr fontId="3" type="noConversion"/>
  <printOptions horizontalCentered="1"/>
  <pageMargins left="0" right="0" top="0.15748031496062992" bottom="0.31496062992125984" header="0.19685039370078741" footer="0.15748031496062992"/>
  <pageSetup paperSize="9" firstPageNumber="429496319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FJ1"/>
  <sheetViews>
    <sheetView workbookViewId="0">
      <selection activeCell="D11" sqref="D11"/>
    </sheetView>
  </sheetViews>
  <sheetFormatPr defaultRowHeight="14.25"/>
  <cols>
    <col min="1" max="1" width="2.875" style="1" customWidth="1"/>
    <col min="2" max="2" width="6.375" style="1" customWidth="1"/>
    <col min="3" max="3" width="9.875" style="1" customWidth="1"/>
    <col min="4" max="4" width="5.25" style="1" customWidth="1"/>
    <col min="5" max="5" width="7.5" style="1" customWidth="1"/>
    <col min="6" max="6" width="6" style="1" customWidth="1"/>
    <col min="7" max="7" width="6.75" style="1" customWidth="1"/>
    <col min="8" max="8" width="5.75" style="2" customWidth="1"/>
    <col min="9" max="9" width="6.25" style="1" customWidth="1"/>
    <col min="10" max="10" width="6" style="1" customWidth="1"/>
    <col min="11" max="11" width="8.375" style="1" customWidth="1"/>
    <col min="12" max="12" width="5.875" style="1" customWidth="1"/>
    <col min="13" max="13" width="4.875" style="1" customWidth="1"/>
    <col min="14" max="14" width="3.75" style="1" customWidth="1"/>
    <col min="15" max="16" width="4.875" style="1" customWidth="1"/>
    <col min="17" max="17" width="5.375" style="1" customWidth="1"/>
    <col min="18" max="18" width="5.5" style="1" customWidth="1"/>
    <col min="19" max="19" width="6.875" style="1" customWidth="1"/>
    <col min="20" max="21" width="4.875" style="1" customWidth="1"/>
    <col min="22" max="22" width="7.5" style="1" customWidth="1"/>
    <col min="23" max="23" width="6" style="1" customWidth="1"/>
    <col min="24" max="24" width="5.5" style="1" customWidth="1"/>
    <col min="25" max="25" width="4.875" style="1" customWidth="1"/>
    <col min="26" max="26" width="5" style="1" customWidth="1"/>
    <col min="27" max="27" width="8" style="1" customWidth="1"/>
    <col min="28" max="28" width="7.75" style="1" customWidth="1"/>
    <col min="29" max="29" width="4.875" style="1" customWidth="1"/>
    <col min="30" max="30" width="6" style="1" customWidth="1"/>
    <col min="31" max="31" width="4.875" style="1" customWidth="1"/>
    <col min="32" max="32" width="6.625" style="1" customWidth="1"/>
    <col min="33" max="33" width="5.5" style="1" customWidth="1"/>
    <col min="34" max="34" width="3.25" style="1" customWidth="1"/>
    <col min="35" max="36" width="4.875" style="1" customWidth="1"/>
    <col min="37" max="37" width="6" style="1" customWidth="1"/>
    <col min="38" max="38" width="5.125" style="1" customWidth="1"/>
    <col min="39" max="39" width="6.75" style="1" customWidth="1"/>
    <col min="40" max="40" width="4.875" style="1" customWidth="1"/>
    <col min="41" max="46" width="5" style="1" customWidth="1"/>
    <col min="47" max="47" width="7.625" style="1" customWidth="1"/>
    <col min="48" max="48" width="7.125" style="1" customWidth="1"/>
    <col min="49" max="56" width="5" style="1" customWidth="1"/>
    <col min="57" max="57" width="6.625" style="1" customWidth="1"/>
    <col min="58" max="66" width="5" style="1" customWidth="1"/>
    <col min="67" max="67" width="7.5" style="1" customWidth="1"/>
    <col min="68" max="81" width="5" style="1" customWidth="1"/>
    <col min="82" max="82" width="7.625" style="1" customWidth="1"/>
    <col min="83" max="98" width="5" style="1" customWidth="1"/>
    <col min="99" max="99" width="7.625" style="1" customWidth="1"/>
    <col min="100" max="101" width="5" style="1" customWidth="1"/>
    <col min="102" max="102" width="6.75" style="1" customWidth="1"/>
    <col min="103" max="111" width="5" style="1" customWidth="1"/>
    <col min="112" max="112" width="6.5" style="1" customWidth="1"/>
    <col min="113" max="116" width="5" style="1" customWidth="1"/>
    <col min="117" max="117" width="7.25" style="1" customWidth="1"/>
    <col min="118" max="159" width="5" style="1" customWidth="1"/>
    <col min="160" max="160" width="10.25" style="1" customWidth="1"/>
    <col min="161" max="161" width="6.25" style="1" customWidth="1"/>
    <col min="162" max="166" width="5" style="1" hidden="1" customWidth="1"/>
    <col min="167" max="167" width="33" style="1" customWidth="1"/>
    <col min="168" max="16384" width="9" style="1"/>
  </cols>
  <sheetData/>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topLeftCell="C28" workbookViewId="0">
      <selection activeCell="I39" sqref="I39"/>
    </sheetView>
  </sheetViews>
  <sheetFormatPr defaultRowHeight="18.75"/>
  <cols>
    <col min="1" max="1" width="3.625" style="55" hidden="1" customWidth="1"/>
    <col min="2" max="2" width="16.5" style="56" hidden="1" customWidth="1"/>
    <col min="3" max="3" width="16.875" style="56" customWidth="1"/>
    <col min="4" max="4" width="16.125" style="47" customWidth="1"/>
    <col min="5" max="5" width="8.75" style="47" hidden="1" customWidth="1"/>
    <col min="6" max="6" width="21" style="47" hidden="1" customWidth="1"/>
    <col min="7" max="7" width="13.75" style="47" hidden="1" customWidth="1"/>
    <col min="8" max="8" width="10.375" style="47" customWidth="1"/>
    <col min="9" max="9" width="12.125" style="47" customWidth="1"/>
    <col min="10" max="10" width="8.75" style="47" hidden="1" customWidth="1"/>
    <col min="11" max="11" width="10.5" style="47" hidden="1" customWidth="1"/>
    <col min="12" max="12" width="9" style="47" hidden="1" customWidth="1"/>
    <col min="13" max="16384" width="9" style="47"/>
  </cols>
  <sheetData>
    <row r="1" spans="1:15" ht="20.25">
      <c r="A1" s="47"/>
      <c r="B1" s="178" t="s">
        <v>80</v>
      </c>
      <c r="C1" s="179"/>
      <c r="D1" s="179"/>
      <c r="E1" s="179"/>
      <c r="F1" s="179"/>
      <c r="G1" s="179"/>
      <c r="H1" s="179"/>
      <c r="I1" s="179"/>
      <c r="J1" s="179"/>
      <c r="K1" s="179"/>
      <c r="L1" s="179"/>
      <c r="M1" s="179"/>
      <c r="N1" s="179"/>
      <c r="O1" s="179"/>
    </row>
    <row r="2" spans="1:15">
      <c r="A2" s="47"/>
      <c r="B2" s="180" t="s">
        <v>81</v>
      </c>
      <c r="C2" s="180" t="s">
        <v>82</v>
      </c>
      <c r="D2" s="180"/>
      <c r="E2" s="181" t="s">
        <v>83</v>
      </c>
      <c r="F2" s="182"/>
      <c r="G2" s="183"/>
      <c r="H2" s="181" t="s">
        <v>84</v>
      </c>
      <c r="I2" s="182"/>
      <c r="J2" s="183"/>
      <c r="K2" s="177" t="s">
        <v>85</v>
      </c>
      <c r="L2" s="184" t="s">
        <v>86</v>
      </c>
      <c r="M2" s="186">
        <v>0.6</v>
      </c>
      <c r="N2" s="186">
        <v>0.75</v>
      </c>
      <c r="O2" s="186">
        <v>0.9</v>
      </c>
    </row>
    <row r="3" spans="1:15">
      <c r="A3" s="47"/>
      <c r="B3" s="180"/>
      <c r="C3" s="180"/>
      <c r="D3" s="180"/>
      <c r="E3" s="16" t="s">
        <v>87</v>
      </c>
      <c r="F3" s="48" t="s">
        <v>88</v>
      </c>
      <c r="G3" s="16" t="s">
        <v>89</v>
      </c>
      <c r="H3" s="16" t="s">
        <v>87</v>
      </c>
      <c r="I3" s="16" t="s">
        <v>90</v>
      </c>
      <c r="J3" s="16" t="s">
        <v>89</v>
      </c>
      <c r="K3" s="148"/>
      <c r="L3" s="185"/>
      <c r="M3" s="187"/>
      <c r="N3" s="187"/>
      <c r="O3" s="187"/>
    </row>
    <row r="4" spans="1:15" ht="18.75" customHeight="1">
      <c r="A4" s="47"/>
      <c r="B4" s="169" t="s">
        <v>91</v>
      </c>
      <c r="C4" s="151" t="s">
        <v>92</v>
      </c>
      <c r="D4" s="26" t="s">
        <v>93</v>
      </c>
      <c r="E4" s="45">
        <v>23.5</v>
      </c>
      <c r="F4" s="45">
        <v>0.33</v>
      </c>
      <c r="G4" s="17">
        <f>F4*E4</f>
        <v>7.7550000000000008</v>
      </c>
      <c r="H4" s="166">
        <v>23.5</v>
      </c>
      <c r="I4" s="153">
        <v>0.36</v>
      </c>
      <c r="J4" s="45">
        <v>8.5</v>
      </c>
      <c r="K4" s="18">
        <f t="shared" ref="K4:K50" si="0">(I4-F4)/F4</f>
        <v>9.0909090909090814E-2</v>
      </c>
      <c r="L4" s="19"/>
      <c r="M4" s="172">
        <f>+H4*0.6</f>
        <v>14.1</v>
      </c>
      <c r="N4" s="172">
        <f>+H4*0.75</f>
        <v>17.625</v>
      </c>
      <c r="O4" s="172">
        <f>+H4*0.9</f>
        <v>21.150000000000002</v>
      </c>
    </row>
    <row r="5" spans="1:15">
      <c r="A5" s="47"/>
      <c r="B5" s="170"/>
      <c r="C5" s="152"/>
      <c r="D5" s="26" t="s">
        <v>94</v>
      </c>
      <c r="E5" s="45">
        <v>23.5</v>
      </c>
      <c r="F5" s="45">
        <v>0.33</v>
      </c>
      <c r="G5" s="17">
        <f t="shared" ref="G5:G50" si="1">F5*E5</f>
        <v>7.7550000000000008</v>
      </c>
      <c r="H5" s="168"/>
      <c r="I5" s="154"/>
      <c r="J5" s="45">
        <v>8.5</v>
      </c>
      <c r="K5" s="18">
        <f t="shared" si="0"/>
        <v>-1</v>
      </c>
      <c r="L5" s="19"/>
      <c r="M5" s="173"/>
      <c r="N5" s="173"/>
      <c r="O5" s="173"/>
    </row>
    <row r="6" spans="1:15">
      <c r="A6" s="47"/>
      <c r="B6" s="170"/>
      <c r="C6" s="151" t="s">
        <v>95</v>
      </c>
      <c r="D6" s="26" t="s">
        <v>93</v>
      </c>
      <c r="E6" s="45">
        <v>23</v>
      </c>
      <c r="F6" s="45">
        <v>0.34</v>
      </c>
      <c r="G6" s="17">
        <f t="shared" si="1"/>
        <v>7.82</v>
      </c>
      <c r="H6" s="166">
        <v>23</v>
      </c>
      <c r="I6" s="153">
        <v>0.37</v>
      </c>
      <c r="J6" s="45">
        <v>8.5</v>
      </c>
      <c r="K6" s="18">
        <f t="shared" si="0"/>
        <v>8.8235294117646967E-2</v>
      </c>
      <c r="L6" s="19"/>
      <c r="M6" s="172">
        <f>+H6*0.6</f>
        <v>13.799999999999999</v>
      </c>
      <c r="N6" s="172">
        <f>+H6*0.75</f>
        <v>17.25</v>
      </c>
      <c r="O6" s="172">
        <f>+H6*0.9</f>
        <v>20.7</v>
      </c>
    </row>
    <row r="7" spans="1:15">
      <c r="A7" s="47"/>
      <c r="B7" s="170"/>
      <c r="C7" s="152"/>
      <c r="D7" s="26" t="s">
        <v>94</v>
      </c>
      <c r="E7" s="45">
        <v>23</v>
      </c>
      <c r="F7" s="45">
        <v>0.34</v>
      </c>
      <c r="G7" s="17">
        <f t="shared" si="1"/>
        <v>7.82</v>
      </c>
      <c r="H7" s="168"/>
      <c r="I7" s="154"/>
      <c r="J7" s="45">
        <v>8.5</v>
      </c>
      <c r="K7" s="18">
        <f t="shared" si="0"/>
        <v>-1</v>
      </c>
      <c r="L7" s="19"/>
      <c r="M7" s="173"/>
      <c r="N7" s="173"/>
      <c r="O7" s="173"/>
    </row>
    <row r="8" spans="1:15">
      <c r="A8" s="47"/>
      <c r="B8" s="170"/>
      <c r="C8" s="26" t="s">
        <v>96</v>
      </c>
      <c r="D8" s="26" t="s">
        <v>93</v>
      </c>
      <c r="E8" s="45">
        <v>19</v>
      </c>
      <c r="F8" s="45">
        <v>0.41</v>
      </c>
      <c r="G8" s="17">
        <f t="shared" si="1"/>
        <v>7.7899999999999991</v>
      </c>
      <c r="H8" s="45">
        <v>19</v>
      </c>
      <c r="I8" s="49">
        <v>0.45</v>
      </c>
      <c r="J8" s="45">
        <v>8.5</v>
      </c>
      <c r="K8" s="18">
        <f t="shared" si="0"/>
        <v>9.7560975609756184E-2</v>
      </c>
      <c r="L8" s="19"/>
      <c r="M8" s="24">
        <f>+H8*0.6</f>
        <v>11.4</v>
      </c>
      <c r="N8" s="24">
        <f>+H8*0.75</f>
        <v>14.25</v>
      </c>
      <c r="O8" s="24">
        <f>+H8*0.9</f>
        <v>17.100000000000001</v>
      </c>
    </row>
    <row r="9" spans="1:15">
      <c r="A9" s="47"/>
      <c r="B9" s="170"/>
      <c r="C9" s="151" t="s">
        <v>97</v>
      </c>
      <c r="D9" s="26" t="s">
        <v>98</v>
      </c>
      <c r="E9" s="45">
        <v>24</v>
      </c>
      <c r="F9" s="45">
        <v>0.33</v>
      </c>
      <c r="G9" s="17">
        <f t="shared" si="1"/>
        <v>7.92</v>
      </c>
      <c r="H9" s="166">
        <v>24</v>
      </c>
      <c r="I9" s="153">
        <v>0.35</v>
      </c>
      <c r="J9" s="45">
        <v>8.5</v>
      </c>
      <c r="K9" s="18">
        <f t="shared" si="0"/>
        <v>6.060606060606049E-2</v>
      </c>
      <c r="L9" s="19"/>
      <c r="M9" s="174">
        <f>+H9*0.6</f>
        <v>14.399999999999999</v>
      </c>
      <c r="N9" s="172">
        <f>+H9*0.75</f>
        <v>18</v>
      </c>
      <c r="O9" s="172">
        <f>+H9*0.9</f>
        <v>21.6</v>
      </c>
    </row>
    <row r="10" spans="1:15">
      <c r="A10" s="47"/>
      <c r="B10" s="170"/>
      <c r="C10" s="152"/>
      <c r="D10" s="26" t="s">
        <v>99</v>
      </c>
      <c r="E10" s="45">
        <v>24</v>
      </c>
      <c r="F10" s="45">
        <v>0.33</v>
      </c>
      <c r="G10" s="17">
        <f t="shared" si="1"/>
        <v>7.92</v>
      </c>
      <c r="H10" s="168"/>
      <c r="I10" s="154"/>
      <c r="J10" s="45">
        <v>8.5</v>
      </c>
      <c r="K10" s="18">
        <f t="shared" si="0"/>
        <v>-1</v>
      </c>
      <c r="L10" s="19"/>
      <c r="M10" s="175"/>
      <c r="N10" s="173"/>
      <c r="O10" s="173"/>
    </row>
    <row r="11" spans="1:15">
      <c r="A11" s="47"/>
      <c r="B11" s="170"/>
      <c r="C11" s="151" t="s">
        <v>100</v>
      </c>
      <c r="D11" s="26" t="s">
        <v>93</v>
      </c>
      <c r="E11" s="45">
        <v>17</v>
      </c>
      <c r="F11" s="45">
        <v>0.46</v>
      </c>
      <c r="G11" s="17">
        <f t="shared" si="1"/>
        <v>7.82</v>
      </c>
      <c r="H11" s="166">
        <v>17</v>
      </c>
      <c r="I11" s="153">
        <v>0.5</v>
      </c>
      <c r="J11" s="45">
        <v>8.5</v>
      </c>
      <c r="K11" s="18">
        <f t="shared" si="0"/>
        <v>8.6956521739130391E-2</v>
      </c>
      <c r="L11" s="19"/>
      <c r="M11" s="174">
        <f>+H11*0.6</f>
        <v>10.199999999999999</v>
      </c>
      <c r="N11" s="172">
        <f>+H11*0.75</f>
        <v>12.75</v>
      </c>
      <c r="O11" s="172">
        <f>+H11*0.9</f>
        <v>15.3</v>
      </c>
    </row>
    <row r="12" spans="1:15">
      <c r="A12" s="47"/>
      <c r="B12" s="170"/>
      <c r="C12" s="152"/>
      <c r="D12" s="26" t="s">
        <v>94</v>
      </c>
      <c r="E12" s="45">
        <v>17</v>
      </c>
      <c r="F12" s="45">
        <v>0.46</v>
      </c>
      <c r="G12" s="17">
        <f t="shared" si="1"/>
        <v>7.82</v>
      </c>
      <c r="H12" s="168"/>
      <c r="I12" s="154"/>
      <c r="J12" s="45">
        <v>8.5</v>
      </c>
      <c r="K12" s="18">
        <f t="shared" si="0"/>
        <v>-1</v>
      </c>
      <c r="L12" s="19"/>
      <c r="M12" s="175"/>
      <c r="N12" s="173"/>
      <c r="O12" s="173"/>
    </row>
    <row r="13" spans="1:15">
      <c r="A13" s="47"/>
      <c r="B13" s="170"/>
      <c r="C13" s="26" t="s">
        <v>101</v>
      </c>
      <c r="D13" s="26" t="s">
        <v>102</v>
      </c>
      <c r="E13" s="45">
        <v>22</v>
      </c>
      <c r="F13" s="45">
        <v>0.35</v>
      </c>
      <c r="G13" s="17">
        <f t="shared" si="1"/>
        <v>7.6999999999999993</v>
      </c>
      <c r="H13" s="45">
        <v>22</v>
      </c>
      <c r="I13" s="49">
        <v>0.39</v>
      </c>
      <c r="J13" s="45">
        <v>8.5</v>
      </c>
      <c r="K13" s="18">
        <f t="shared" si="0"/>
        <v>0.11428571428571439</v>
      </c>
      <c r="L13" s="19"/>
      <c r="M13" s="24">
        <f>+H13*0.6</f>
        <v>13.2</v>
      </c>
      <c r="N13" s="24">
        <f>+H13*0.75</f>
        <v>16.5</v>
      </c>
      <c r="O13" s="24">
        <f>+H13*0.9</f>
        <v>19.8</v>
      </c>
    </row>
    <row r="14" spans="1:15">
      <c r="A14" s="47"/>
      <c r="B14" s="170"/>
      <c r="C14" s="26" t="s">
        <v>103</v>
      </c>
      <c r="D14" s="26" t="s">
        <v>102</v>
      </c>
      <c r="E14" s="45">
        <v>24</v>
      </c>
      <c r="F14" s="45">
        <v>0.33</v>
      </c>
      <c r="G14" s="17">
        <f>F14*E14</f>
        <v>7.92</v>
      </c>
      <c r="H14" s="45">
        <v>24</v>
      </c>
      <c r="I14" s="49">
        <v>0.35</v>
      </c>
      <c r="J14" s="45">
        <v>8.5</v>
      </c>
      <c r="K14" s="18">
        <f t="shared" si="0"/>
        <v>6.060606060606049E-2</v>
      </c>
      <c r="L14" s="19"/>
      <c r="M14" s="24">
        <f>+H14*0.6</f>
        <v>14.399999999999999</v>
      </c>
      <c r="N14" s="24">
        <f>+H14*0.75</f>
        <v>18</v>
      </c>
      <c r="O14" s="24">
        <f>+H14*0.9</f>
        <v>21.6</v>
      </c>
    </row>
    <row r="15" spans="1:15">
      <c r="A15" s="47"/>
      <c r="B15" s="170"/>
      <c r="C15" s="151" t="s">
        <v>104</v>
      </c>
      <c r="D15" s="26" t="s">
        <v>105</v>
      </c>
      <c r="E15" s="45">
        <v>19</v>
      </c>
      <c r="F15" s="45">
        <v>0.41</v>
      </c>
      <c r="G15" s="17">
        <f t="shared" si="1"/>
        <v>7.7899999999999991</v>
      </c>
      <c r="H15" s="45">
        <v>19</v>
      </c>
      <c r="I15" s="49">
        <v>0.45</v>
      </c>
      <c r="J15" s="45">
        <v>8.5</v>
      </c>
      <c r="K15" s="18">
        <f t="shared" si="0"/>
        <v>9.7560975609756184E-2</v>
      </c>
      <c r="L15" s="19"/>
      <c r="M15" s="24">
        <f>+H15*0.6</f>
        <v>11.4</v>
      </c>
      <c r="N15" s="24">
        <f>+H15*0.75</f>
        <v>14.25</v>
      </c>
      <c r="O15" s="24">
        <f>+H15*0.9</f>
        <v>17.100000000000001</v>
      </c>
    </row>
    <row r="16" spans="1:15">
      <c r="A16" s="47"/>
      <c r="B16" s="170"/>
      <c r="C16" s="152"/>
      <c r="D16" s="26" t="s">
        <v>106</v>
      </c>
      <c r="E16" s="45">
        <v>20</v>
      </c>
      <c r="F16" s="45">
        <v>0.39</v>
      </c>
      <c r="G16" s="17">
        <f t="shared" si="1"/>
        <v>7.8000000000000007</v>
      </c>
      <c r="H16" s="45">
        <v>20</v>
      </c>
      <c r="I16" s="49">
        <v>0.43</v>
      </c>
      <c r="J16" s="45">
        <v>8.5</v>
      </c>
      <c r="K16" s="18">
        <f t="shared" si="0"/>
        <v>0.10256410256410251</v>
      </c>
      <c r="L16" s="19"/>
      <c r="M16" s="24">
        <f>+H16*0.6</f>
        <v>12</v>
      </c>
      <c r="N16" s="24">
        <f>+H16*0.75</f>
        <v>15</v>
      </c>
      <c r="O16" s="24">
        <f>+H16*0.9</f>
        <v>18</v>
      </c>
    </row>
    <row r="17" spans="1:15">
      <c r="A17" s="47"/>
      <c r="B17" s="170"/>
      <c r="C17" s="151" t="s">
        <v>107</v>
      </c>
      <c r="D17" s="26" t="s">
        <v>94</v>
      </c>
      <c r="E17" s="45">
        <v>21.5</v>
      </c>
      <c r="F17" s="45">
        <v>0.36</v>
      </c>
      <c r="G17" s="17">
        <f t="shared" si="1"/>
        <v>7.7399999999999993</v>
      </c>
      <c r="H17" s="166">
        <v>21.5</v>
      </c>
      <c r="I17" s="153">
        <v>0.4</v>
      </c>
      <c r="J17" s="45">
        <v>8.5</v>
      </c>
      <c r="K17" s="18">
        <f t="shared" si="0"/>
        <v>0.11111111111111122</v>
      </c>
      <c r="L17" s="19"/>
      <c r="M17" s="174">
        <f>+H17*0.6</f>
        <v>12.9</v>
      </c>
      <c r="N17" s="172">
        <f>+H17*0.75</f>
        <v>16.125</v>
      </c>
      <c r="O17" s="172">
        <f>+H17*0.9</f>
        <v>19.350000000000001</v>
      </c>
    </row>
    <row r="18" spans="1:15">
      <c r="A18" s="47"/>
      <c r="B18" s="170"/>
      <c r="C18" s="152"/>
      <c r="D18" s="26" t="s">
        <v>106</v>
      </c>
      <c r="E18" s="45">
        <v>21.5</v>
      </c>
      <c r="F18" s="45">
        <v>0.36</v>
      </c>
      <c r="G18" s="17">
        <f t="shared" si="1"/>
        <v>7.7399999999999993</v>
      </c>
      <c r="H18" s="168"/>
      <c r="I18" s="154"/>
      <c r="J18" s="45">
        <v>8.5</v>
      </c>
      <c r="K18" s="18">
        <f t="shared" si="0"/>
        <v>-1</v>
      </c>
      <c r="L18" s="19"/>
      <c r="M18" s="175"/>
      <c r="N18" s="173"/>
      <c r="O18" s="173"/>
    </row>
    <row r="19" spans="1:15">
      <c r="A19" s="47"/>
      <c r="B19" s="170"/>
      <c r="C19" s="151" t="s">
        <v>108</v>
      </c>
      <c r="D19" s="26" t="s">
        <v>105</v>
      </c>
      <c r="E19" s="45">
        <v>19</v>
      </c>
      <c r="F19" s="45">
        <v>0.41</v>
      </c>
      <c r="G19" s="17">
        <f t="shared" si="1"/>
        <v>7.7899999999999991</v>
      </c>
      <c r="H19" s="45">
        <v>19</v>
      </c>
      <c r="I19" s="49">
        <v>0.45</v>
      </c>
      <c r="J19" s="45">
        <v>8.5</v>
      </c>
      <c r="K19" s="18">
        <f t="shared" si="0"/>
        <v>9.7560975609756184E-2</v>
      </c>
      <c r="L19" s="19"/>
      <c r="M19" s="24">
        <f>+H19*0.6</f>
        <v>11.4</v>
      </c>
      <c r="N19" s="24">
        <f>+H19*0.75</f>
        <v>14.25</v>
      </c>
      <c r="O19" s="24">
        <f>+H19*0.9</f>
        <v>17.100000000000001</v>
      </c>
    </row>
    <row r="20" spans="1:15">
      <c r="A20" s="47"/>
      <c r="B20" s="170"/>
      <c r="C20" s="152"/>
      <c r="D20" s="26" t="s">
        <v>109</v>
      </c>
      <c r="E20" s="45">
        <v>20</v>
      </c>
      <c r="F20" s="45">
        <v>0.39</v>
      </c>
      <c r="G20" s="17">
        <f t="shared" si="1"/>
        <v>7.8000000000000007</v>
      </c>
      <c r="H20" s="45">
        <v>20</v>
      </c>
      <c r="I20" s="49">
        <v>0.43</v>
      </c>
      <c r="J20" s="45">
        <v>8.5</v>
      </c>
      <c r="K20" s="18">
        <f t="shared" si="0"/>
        <v>0.10256410256410251</v>
      </c>
      <c r="L20" s="19"/>
      <c r="M20" s="24">
        <f>+H20*0.6</f>
        <v>12</v>
      </c>
      <c r="N20" s="24">
        <f>+H20*0.75</f>
        <v>15</v>
      </c>
      <c r="O20" s="24">
        <f>+H20*0.9</f>
        <v>18</v>
      </c>
    </row>
    <row r="21" spans="1:15" ht="18.75" customHeight="1">
      <c r="A21" s="47"/>
      <c r="B21" s="170"/>
      <c r="C21" s="27" t="s">
        <v>110</v>
      </c>
      <c r="D21" s="26" t="s">
        <v>102</v>
      </c>
      <c r="E21" s="45">
        <v>50</v>
      </c>
      <c r="F21" s="45">
        <v>0.17</v>
      </c>
      <c r="G21" s="17">
        <f t="shared" si="1"/>
        <v>8.5</v>
      </c>
      <c r="H21" s="45">
        <v>50</v>
      </c>
      <c r="I21" s="49">
        <v>0.17</v>
      </c>
      <c r="J21" s="45">
        <v>8.5</v>
      </c>
      <c r="K21" s="18">
        <f t="shared" si="0"/>
        <v>0</v>
      </c>
      <c r="L21" s="149" t="s">
        <v>111</v>
      </c>
      <c r="M21" s="24">
        <f>+H21*0.6</f>
        <v>30</v>
      </c>
      <c r="N21" s="24">
        <f>+H21*0.75</f>
        <v>37.5</v>
      </c>
      <c r="O21" s="24">
        <f>+H21*0.9</f>
        <v>45</v>
      </c>
    </row>
    <row r="22" spans="1:15">
      <c r="A22" s="47"/>
      <c r="B22" s="170"/>
      <c r="C22" s="26" t="s">
        <v>112</v>
      </c>
      <c r="D22" s="26" t="s">
        <v>102</v>
      </c>
      <c r="E22" s="45">
        <v>50</v>
      </c>
      <c r="F22" s="45">
        <v>0.17</v>
      </c>
      <c r="G22" s="17">
        <f t="shared" si="1"/>
        <v>8.5</v>
      </c>
      <c r="H22" s="45">
        <v>50</v>
      </c>
      <c r="I22" s="49">
        <v>0.17</v>
      </c>
      <c r="J22" s="45">
        <v>8.5</v>
      </c>
      <c r="K22" s="18">
        <f t="shared" si="0"/>
        <v>0</v>
      </c>
      <c r="L22" s="150"/>
      <c r="M22" s="24">
        <f>+H22*0.6</f>
        <v>30</v>
      </c>
      <c r="N22" s="24">
        <f>+H22*0.75</f>
        <v>37.5</v>
      </c>
      <c r="O22" s="24">
        <f>+H22*0.9</f>
        <v>45</v>
      </c>
    </row>
    <row r="23" spans="1:15">
      <c r="A23" s="47"/>
      <c r="B23" s="170"/>
      <c r="C23" s="151" t="s">
        <v>113</v>
      </c>
      <c r="D23" s="26" t="s">
        <v>98</v>
      </c>
      <c r="E23" s="45">
        <v>25</v>
      </c>
      <c r="F23" s="45">
        <v>0.31</v>
      </c>
      <c r="G23" s="17">
        <f t="shared" si="1"/>
        <v>7.75</v>
      </c>
      <c r="H23" s="166">
        <v>25</v>
      </c>
      <c r="I23" s="153">
        <v>0.34</v>
      </c>
      <c r="J23" s="45">
        <v>8.5</v>
      </c>
      <c r="K23" s="18">
        <f t="shared" si="0"/>
        <v>9.6774193548387177E-2</v>
      </c>
      <c r="L23" s="19"/>
      <c r="M23" s="174">
        <f>+H23*0.6</f>
        <v>15</v>
      </c>
      <c r="N23" s="172">
        <f>+H23*0.75</f>
        <v>18.75</v>
      </c>
      <c r="O23" s="172">
        <f>+H23*0.9</f>
        <v>22.5</v>
      </c>
    </row>
    <row r="24" spans="1:15">
      <c r="A24" s="47"/>
      <c r="B24" s="170"/>
      <c r="C24" s="152"/>
      <c r="D24" s="26" t="s">
        <v>99</v>
      </c>
      <c r="E24" s="45">
        <v>25</v>
      </c>
      <c r="F24" s="45">
        <v>0.31</v>
      </c>
      <c r="G24" s="17">
        <f t="shared" si="1"/>
        <v>7.75</v>
      </c>
      <c r="H24" s="168"/>
      <c r="I24" s="154"/>
      <c r="J24" s="45">
        <v>8.5</v>
      </c>
      <c r="K24" s="18">
        <f t="shared" si="0"/>
        <v>-1</v>
      </c>
      <c r="L24" s="19"/>
      <c r="M24" s="175"/>
      <c r="N24" s="173"/>
      <c r="O24" s="173"/>
    </row>
    <row r="25" spans="1:15">
      <c r="A25" s="47"/>
      <c r="B25" s="170"/>
      <c r="C25" s="27" t="s">
        <v>114</v>
      </c>
      <c r="D25" s="26" t="s">
        <v>102</v>
      </c>
      <c r="E25" s="45">
        <v>54</v>
      </c>
      <c r="F25" s="45">
        <v>0.15</v>
      </c>
      <c r="G25" s="17">
        <f t="shared" si="1"/>
        <v>8.1</v>
      </c>
      <c r="H25" s="45">
        <v>54</v>
      </c>
      <c r="I25" s="49">
        <v>0.16</v>
      </c>
      <c r="J25" s="45">
        <v>8.5</v>
      </c>
      <c r="K25" s="18">
        <f t="shared" si="0"/>
        <v>6.6666666666666735E-2</v>
      </c>
      <c r="L25" s="19"/>
      <c r="M25" s="24">
        <f t="shared" ref="M25:M35" si="2">+H25*0.6</f>
        <v>32.4</v>
      </c>
      <c r="N25" s="24">
        <f t="shared" ref="N25:N35" si="3">+H25*0.75</f>
        <v>40.5</v>
      </c>
      <c r="O25" s="24">
        <f t="shared" ref="O25:O34" si="4">+H25*0.9</f>
        <v>48.6</v>
      </c>
    </row>
    <row r="26" spans="1:15">
      <c r="A26" s="47"/>
      <c r="B26" s="170"/>
      <c r="C26" s="26" t="s">
        <v>115</v>
      </c>
      <c r="D26" s="26" t="s">
        <v>105</v>
      </c>
      <c r="E26" s="45">
        <v>16</v>
      </c>
      <c r="F26" s="45">
        <v>0.49</v>
      </c>
      <c r="G26" s="17">
        <f t="shared" si="1"/>
        <v>7.84</v>
      </c>
      <c r="H26" s="45">
        <v>16</v>
      </c>
      <c r="I26" s="49">
        <v>0.53</v>
      </c>
      <c r="J26" s="45">
        <v>8.5</v>
      </c>
      <c r="K26" s="18">
        <f t="shared" si="0"/>
        <v>8.1632653061224567E-2</v>
      </c>
      <c r="L26" s="19"/>
      <c r="M26" s="24">
        <f t="shared" si="2"/>
        <v>9.6</v>
      </c>
      <c r="N26" s="24">
        <f t="shared" si="3"/>
        <v>12</v>
      </c>
      <c r="O26" s="24">
        <f t="shared" si="4"/>
        <v>14.4</v>
      </c>
    </row>
    <row r="27" spans="1:15" ht="114">
      <c r="A27" s="47"/>
      <c r="B27" s="170"/>
      <c r="C27" s="50" t="s">
        <v>116</v>
      </c>
      <c r="D27" s="50" t="s">
        <v>102</v>
      </c>
      <c r="E27" s="41">
        <v>34</v>
      </c>
      <c r="F27" s="41">
        <v>0.24</v>
      </c>
      <c r="G27" s="20">
        <f t="shared" si="1"/>
        <v>8.16</v>
      </c>
      <c r="H27" s="41">
        <v>40</v>
      </c>
      <c r="I27" s="49">
        <v>0.21</v>
      </c>
      <c r="J27" s="41">
        <v>8.5</v>
      </c>
      <c r="K27" s="51">
        <f t="shared" si="0"/>
        <v>-0.125</v>
      </c>
      <c r="L27" s="21" t="s">
        <v>117</v>
      </c>
      <c r="M27" s="24">
        <f t="shared" si="2"/>
        <v>24</v>
      </c>
      <c r="N27" s="24">
        <f t="shared" si="3"/>
        <v>30</v>
      </c>
      <c r="O27" s="24">
        <f t="shared" si="4"/>
        <v>36</v>
      </c>
    </row>
    <row r="28" spans="1:15" ht="18.75" customHeight="1">
      <c r="A28" s="47"/>
      <c r="B28" s="170"/>
      <c r="C28" s="50" t="s">
        <v>118</v>
      </c>
      <c r="D28" s="50" t="s">
        <v>102</v>
      </c>
      <c r="E28" s="41">
        <v>21</v>
      </c>
      <c r="F28" s="41">
        <v>0.4</v>
      </c>
      <c r="G28" s="20">
        <f t="shared" si="1"/>
        <v>8.4</v>
      </c>
      <c r="H28" s="41">
        <v>21</v>
      </c>
      <c r="I28" s="49">
        <v>0.4</v>
      </c>
      <c r="J28" s="41">
        <v>8.5</v>
      </c>
      <c r="K28" s="51">
        <f t="shared" si="0"/>
        <v>0</v>
      </c>
      <c r="L28" s="155" t="s">
        <v>119</v>
      </c>
      <c r="M28" s="24">
        <f t="shared" si="2"/>
        <v>12.6</v>
      </c>
      <c r="N28" s="24">
        <f t="shared" si="3"/>
        <v>15.75</v>
      </c>
      <c r="O28" s="24">
        <f t="shared" si="4"/>
        <v>18.900000000000002</v>
      </c>
    </row>
    <row r="29" spans="1:15">
      <c r="A29" s="47"/>
      <c r="B29" s="170"/>
      <c r="C29" s="50" t="s">
        <v>120</v>
      </c>
      <c r="D29" s="50" t="s">
        <v>102</v>
      </c>
      <c r="E29" s="41">
        <v>54</v>
      </c>
      <c r="F29" s="41">
        <v>0.15</v>
      </c>
      <c r="G29" s="20">
        <f t="shared" si="1"/>
        <v>8.1</v>
      </c>
      <c r="H29" s="41">
        <v>56</v>
      </c>
      <c r="I29" s="49">
        <v>0.15</v>
      </c>
      <c r="J29" s="41">
        <v>8.5</v>
      </c>
      <c r="K29" s="51">
        <f t="shared" si="0"/>
        <v>0</v>
      </c>
      <c r="L29" s="156"/>
      <c r="M29" s="24">
        <f t="shared" si="2"/>
        <v>33.6</v>
      </c>
      <c r="N29" s="24">
        <f t="shared" si="3"/>
        <v>42</v>
      </c>
      <c r="O29" s="24">
        <f t="shared" si="4"/>
        <v>50.4</v>
      </c>
    </row>
    <row r="30" spans="1:15">
      <c r="A30" s="47"/>
      <c r="B30" s="170"/>
      <c r="C30" s="50" t="s">
        <v>121</v>
      </c>
      <c r="D30" s="50" t="s">
        <v>102</v>
      </c>
      <c r="E30" s="41">
        <v>52</v>
      </c>
      <c r="F30" s="41">
        <v>0.16</v>
      </c>
      <c r="G30" s="20">
        <f t="shared" si="1"/>
        <v>8.32</v>
      </c>
      <c r="H30" s="41">
        <v>52</v>
      </c>
      <c r="I30" s="49">
        <v>0.16</v>
      </c>
      <c r="J30" s="41">
        <v>8.5</v>
      </c>
      <c r="K30" s="51">
        <f t="shared" si="0"/>
        <v>0</v>
      </c>
      <c r="L30" s="156"/>
      <c r="M30" s="24">
        <f t="shared" si="2"/>
        <v>31.2</v>
      </c>
      <c r="N30" s="24">
        <f t="shared" si="3"/>
        <v>39</v>
      </c>
      <c r="O30" s="24">
        <f t="shared" si="4"/>
        <v>46.800000000000004</v>
      </c>
    </row>
    <row r="31" spans="1:15">
      <c r="A31" s="47"/>
      <c r="B31" s="171"/>
      <c r="C31" s="50" t="s">
        <v>122</v>
      </c>
      <c r="D31" s="50" t="s">
        <v>102</v>
      </c>
      <c r="E31" s="41">
        <v>52</v>
      </c>
      <c r="F31" s="41">
        <v>0.16</v>
      </c>
      <c r="G31" s="20">
        <f t="shared" si="1"/>
        <v>8.32</v>
      </c>
      <c r="H31" s="41">
        <v>52</v>
      </c>
      <c r="I31" s="49">
        <v>0.16</v>
      </c>
      <c r="J31" s="41">
        <v>8.5</v>
      </c>
      <c r="K31" s="51">
        <f t="shared" si="0"/>
        <v>0</v>
      </c>
      <c r="L31" s="157"/>
      <c r="M31" s="24">
        <f t="shared" si="2"/>
        <v>31.2</v>
      </c>
      <c r="N31" s="24">
        <f t="shared" si="3"/>
        <v>39</v>
      </c>
      <c r="O31" s="24">
        <f t="shared" si="4"/>
        <v>46.800000000000004</v>
      </c>
    </row>
    <row r="32" spans="1:15" ht="18.75" customHeight="1">
      <c r="A32" s="47"/>
      <c r="B32" s="158" t="s">
        <v>123</v>
      </c>
      <c r="C32" s="26" t="s">
        <v>124</v>
      </c>
      <c r="D32" s="26" t="s">
        <v>102</v>
      </c>
      <c r="E32" s="45">
        <v>9</v>
      </c>
      <c r="F32" s="45">
        <v>0.92</v>
      </c>
      <c r="G32" s="17">
        <f t="shared" si="1"/>
        <v>8.2800000000000011</v>
      </c>
      <c r="H32" s="45">
        <v>9</v>
      </c>
      <c r="I32" s="49">
        <v>1</v>
      </c>
      <c r="J32" s="45">
        <v>9</v>
      </c>
      <c r="K32" s="18">
        <f t="shared" si="0"/>
        <v>8.6956521739130391E-2</v>
      </c>
      <c r="L32" s="19"/>
      <c r="M32" s="24">
        <f t="shared" si="2"/>
        <v>5.3999999999999995</v>
      </c>
      <c r="N32" s="24">
        <f t="shared" si="3"/>
        <v>6.75</v>
      </c>
      <c r="O32" s="24">
        <f t="shared" si="4"/>
        <v>8.1</v>
      </c>
    </row>
    <row r="33" spans="1:15">
      <c r="A33" s="47"/>
      <c r="B33" s="159"/>
      <c r="C33" s="26" t="s">
        <v>125</v>
      </c>
      <c r="D33" s="26" t="s">
        <v>102</v>
      </c>
      <c r="E33" s="45">
        <v>15.5</v>
      </c>
      <c r="F33" s="45">
        <v>0.5</v>
      </c>
      <c r="G33" s="17">
        <f t="shared" si="1"/>
        <v>7.75</v>
      </c>
      <c r="H33" s="45">
        <v>15.5</v>
      </c>
      <c r="I33" s="49">
        <v>0.55000000000000004</v>
      </c>
      <c r="J33" s="45">
        <v>8.5</v>
      </c>
      <c r="K33" s="18">
        <f t="shared" si="0"/>
        <v>0.10000000000000009</v>
      </c>
      <c r="L33" s="19"/>
      <c r="M33" s="24">
        <f t="shared" si="2"/>
        <v>9.2999999999999989</v>
      </c>
      <c r="N33" s="24">
        <f t="shared" si="3"/>
        <v>11.625</v>
      </c>
      <c r="O33" s="24">
        <f t="shared" si="4"/>
        <v>13.950000000000001</v>
      </c>
    </row>
    <row r="34" spans="1:15" ht="18.75" customHeight="1">
      <c r="A34" s="47"/>
      <c r="B34" s="159"/>
      <c r="C34" s="46" t="s">
        <v>126</v>
      </c>
      <c r="D34" s="26" t="s">
        <v>102</v>
      </c>
      <c r="E34" s="45">
        <v>9.1999999999999993</v>
      </c>
      <c r="F34" s="45">
        <v>0.85</v>
      </c>
      <c r="G34" s="17">
        <f t="shared" si="1"/>
        <v>7.8199999999999994</v>
      </c>
      <c r="H34" s="45">
        <v>10</v>
      </c>
      <c r="I34" s="49">
        <v>0.85</v>
      </c>
      <c r="J34" s="45">
        <v>8.5</v>
      </c>
      <c r="K34" s="18">
        <f t="shared" si="0"/>
        <v>0</v>
      </c>
      <c r="L34" s="161" t="s">
        <v>127</v>
      </c>
      <c r="M34" s="24">
        <f t="shared" si="2"/>
        <v>6</v>
      </c>
      <c r="N34" s="24">
        <f t="shared" si="3"/>
        <v>7.5</v>
      </c>
      <c r="O34" s="24">
        <f t="shared" si="4"/>
        <v>9</v>
      </c>
    </row>
    <row r="35" spans="1:15">
      <c r="A35" s="47"/>
      <c r="B35" s="159"/>
      <c r="C35" s="151" t="s">
        <v>128</v>
      </c>
      <c r="D35" s="26" t="s">
        <v>129</v>
      </c>
      <c r="E35" s="45">
        <v>8.6</v>
      </c>
      <c r="F35" s="45">
        <v>0.91</v>
      </c>
      <c r="G35" s="17">
        <f t="shared" si="1"/>
        <v>7.8259999999999996</v>
      </c>
      <c r="H35" s="166">
        <v>9.3000000000000007</v>
      </c>
      <c r="I35" s="153">
        <v>0.91</v>
      </c>
      <c r="J35" s="45">
        <v>8.5</v>
      </c>
      <c r="K35" s="18">
        <f t="shared" si="0"/>
        <v>0</v>
      </c>
      <c r="L35" s="162"/>
      <c r="M35" s="174">
        <f t="shared" si="2"/>
        <v>5.58</v>
      </c>
      <c r="N35" s="174">
        <f t="shared" si="3"/>
        <v>6.9750000000000005</v>
      </c>
      <c r="O35" s="174">
        <f>+H35*0.95</f>
        <v>8.8350000000000009</v>
      </c>
    </row>
    <row r="36" spans="1:15">
      <c r="A36" s="47"/>
      <c r="B36" s="159"/>
      <c r="C36" s="164"/>
      <c r="D36" s="26" t="s">
        <v>130</v>
      </c>
      <c r="E36" s="45">
        <v>8.6</v>
      </c>
      <c r="F36" s="45">
        <v>0.91</v>
      </c>
      <c r="G36" s="17">
        <f t="shared" si="1"/>
        <v>7.8259999999999996</v>
      </c>
      <c r="H36" s="167"/>
      <c r="I36" s="165"/>
      <c r="J36" s="45">
        <v>8.5</v>
      </c>
      <c r="K36" s="18">
        <f t="shared" si="0"/>
        <v>-1</v>
      </c>
      <c r="L36" s="162"/>
      <c r="M36" s="176"/>
      <c r="N36" s="176"/>
      <c r="O36" s="176"/>
    </row>
    <row r="37" spans="1:15">
      <c r="A37" s="47"/>
      <c r="B37" s="159"/>
      <c r="C37" s="164"/>
      <c r="D37" s="45" t="s">
        <v>131</v>
      </c>
      <c r="E37" s="45">
        <v>8.6</v>
      </c>
      <c r="F37" s="45">
        <v>0.91</v>
      </c>
      <c r="G37" s="17">
        <f t="shared" si="1"/>
        <v>7.8259999999999996</v>
      </c>
      <c r="H37" s="167"/>
      <c r="I37" s="165"/>
      <c r="J37" s="45">
        <v>8.5</v>
      </c>
      <c r="K37" s="18">
        <f t="shared" si="0"/>
        <v>-1</v>
      </c>
      <c r="L37" s="162"/>
      <c r="M37" s="176"/>
      <c r="N37" s="176"/>
      <c r="O37" s="176"/>
    </row>
    <row r="38" spans="1:15">
      <c r="A38" s="47"/>
      <c r="B38" s="159"/>
      <c r="C38" s="152"/>
      <c r="D38" s="26" t="s">
        <v>132</v>
      </c>
      <c r="E38" s="45">
        <v>8.6</v>
      </c>
      <c r="F38" s="45">
        <v>0.91</v>
      </c>
      <c r="G38" s="17">
        <f t="shared" si="1"/>
        <v>7.8259999999999996</v>
      </c>
      <c r="H38" s="168"/>
      <c r="I38" s="154"/>
      <c r="J38" s="45">
        <v>8.5</v>
      </c>
      <c r="K38" s="18">
        <f t="shared" si="0"/>
        <v>-1</v>
      </c>
      <c r="L38" s="163"/>
      <c r="M38" s="175"/>
      <c r="N38" s="175"/>
      <c r="O38" s="175"/>
    </row>
    <row r="39" spans="1:15">
      <c r="A39" s="47"/>
      <c r="B39" s="159"/>
      <c r="C39" s="26" t="s">
        <v>133</v>
      </c>
      <c r="D39" s="26" t="s">
        <v>102</v>
      </c>
      <c r="E39" s="45">
        <v>8.1999999999999993</v>
      </c>
      <c r="F39" s="45">
        <v>0.95</v>
      </c>
      <c r="G39" s="17">
        <f t="shared" si="1"/>
        <v>7.7899999999999991</v>
      </c>
      <c r="H39" s="45">
        <v>8.8000000000000007</v>
      </c>
      <c r="I39" s="49">
        <v>0.97</v>
      </c>
      <c r="J39" s="45">
        <v>8.5</v>
      </c>
      <c r="K39" s="18">
        <f t="shared" si="0"/>
        <v>2.1052631578947389E-2</v>
      </c>
      <c r="L39" s="19"/>
      <c r="M39" s="24">
        <f t="shared" ref="M39:M50" si="5">+H39*0.6</f>
        <v>5.28</v>
      </c>
      <c r="N39" s="24">
        <f t="shared" ref="N39:N50" si="6">+H39*0.75</f>
        <v>6.6000000000000005</v>
      </c>
      <c r="O39" s="24">
        <f t="shared" ref="O39:O50" si="7">+H39*0.9</f>
        <v>7.9200000000000008</v>
      </c>
    </row>
    <row r="40" spans="1:15">
      <c r="A40" s="47"/>
      <c r="B40" s="159"/>
      <c r="C40" s="26" t="s">
        <v>134</v>
      </c>
      <c r="D40" s="26" t="s">
        <v>102</v>
      </c>
      <c r="E40" s="45">
        <v>8</v>
      </c>
      <c r="F40" s="45">
        <v>1</v>
      </c>
      <c r="G40" s="17">
        <f>F40*E40</f>
        <v>8</v>
      </c>
      <c r="H40" s="45">
        <v>8</v>
      </c>
      <c r="I40" s="49">
        <v>1.06</v>
      </c>
      <c r="J40" s="45">
        <v>8.5</v>
      </c>
      <c r="K40" s="18">
        <f t="shared" si="0"/>
        <v>6.0000000000000053E-2</v>
      </c>
      <c r="L40" s="19"/>
      <c r="M40" s="24">
        <f t="shared" si="5"/>
        <v>4.8</v>
      </c>
      <c r="N40" s="24">
        <f t="shared" si="6"/>
        <v>6</v>
      </c>
      <c r="O40" s="24">
        <f t="shared" si="7"/>
        <v>7.2</v>
      </c>
    </row>
    <row r="41" spans="1:15">
      <c r="A41" s="47"/>
      <c r="B41" s="159"/>
      <c r="C41" s="26" t="s">
        <v>135</v>
      </c>
      <c r="D41" s="26" t="s">
        <v>102</v>
      </c>
      <c r="E41" s="45">
        <v>6</v>
      </c>
      <c r="F41" s="45">
        <v>1.3</v>
      </c>
      <c r="G41" s="17">
        <f t="shared" si="1"/>
        <v>7.8000000000000007</v>
      </c>
      <c r="H41" s="45">
        <v>6</v>
      </c>
      <c r="I41" s="49">
        <v>1.42</v>
      </c>
      <c r="J41" s="45">
        <v>8.5</v>
      </c>
      <c r="K41" s="18">
        <f t="shared" si="0"/>
        <v>9.2307692307692216E-2</v>
      </c>
      <c r="L41" s="19"/>
      <c r="M41" s="24">
        <f t="shared" si="5"/>
        <v>3.5999999999999996</v>
      </c>
      <c r="N41" s="24">
        <f t="shared" si="6"/>
        <v>4.5</v>
      </c>
      <c r="O41" s="24">
        <f t="shared" si="7"/>
        <v>5.4</v>
      </c>
    </row>
    <row r="42" spans="1:15">
      <c r="A42" s="47"/>
      <c r="B42" s="159"/>
      <c r="C42" s="26" t="s">
        <v>136</v>
      </c>
      <c r="D42" s="45" t="s">
        <v>53</v>
      </c>
      <c r="E42" s="45">
        <v>7.5</v>
      </c>
      <c r="F42" s="45">
        <v>1.04</v>
      </c>
      <c r="G42" s="17">
        <f t="shared" si="1"/>
        <v>7.8000000000000007</v>
      </c>
      <c r="H42" s="45">
        <v>7.5</v>
      </c>
      <c r="I42" s="49">
        <v>1.1299999999999999</v>
      </c>
      <c r="J42" s="45">
        <v>8.5</v>
      </c>
      <c r="K42" s="18">
        <f t="shared" si="0"/>
        <v>8.6538461538461398E-2</v>
      </c>
      <c r="L42" s="19"/>
      <c r="M42" s="24">
        <f t="shared" si="5"/>
        <v>4.5</v>
      </c>
      <c r="N42" s="24">
        <f t="shared" si="6"/>
        <v>5.625</v>
      </c>
      <c r="O42" s="24">
        <f t="shared" si="7"/>
        <v>6.75</v>
      </c>
    </row>
    <row r="43" spans="1:15">
      <c r="A43" s="47"/>
      <c r="B43" s="159"/>
      <c r="C43" s="26" t="s">
        <v>137</v>
      </c>
      <c r="D43" s="26" t="s">
        <v>102</v>
      </c>
      <c r="E43" s="45">
        <v>5</v>
      </c>
      <c r="F43" s="45">
        <v>1.6</v>
      </c>
      <c r="G43" s="17">
        <f t="shared" si="1"/>
        <v>8</v>
      </c>
      <c r="H43" s="45">
        <v>5</v>
      </c>
      <c r="I43" s="49">
        <v>1.7</v>
      </c>
      <c r="J43" s="45">
        <v>8.5</v>
      </c>
      <c r="K43" s="18">
        <f t="shared" si="0"/>
        <v>6.2499999999999917E-2</v>
      </c>
      <c r="L43" s="19"/>
      <c r="M43" s="24">
        <f t="shared" si="5"/>
        <v>3</v>
      </c>
      <c r="N43" s="24">
        <f t="shared" si="6"/>
        <v>3.75</v>
      </c>
      <c r="O43" s="24">
        <f t="shared" si="7"/>
        <v>4.5</v>
      </c>
    </row>
    <row r="44" spans="1:15">
      <c r="A44" s="47"/>
      <c r="B44" s="159"/>
      <c r="C44" s="26" t="s">
        <v>138</v>
      </c>
      <c r="D44" s="26" t="s">
        <v>102</v>
      </c>
      <c r="E44" s="45">
        <v>6</v>
      </c>
      <c r="F44" s="45">
        <v>1.3</v>
      </c>
      <c r="G44" s="17">
        <f t="shared" si="1"/>
        <v>7.8000000000000007</v>
      </c>
      <c r="H44" s="45">
        <v>6</v>
      </c>
      <c r="I44" s="49">
        <v>1.42</v>
      </c>
      <c r="J44" s="45">
        <v>8.5</v>
      </c>
      <c r="K44" s="18">
        <f t="shared" si="0"/>
        <v>9.2307692307692216E-2</v>
      </c>
      <c r="L44" s="19"/>
      <c r="M44" s="24">
        <f t="shared" si="5"/>
        <v>3.5999999999999996</v>
      </c>
      <c r="N44" s="24">
        <f t="shared" si="6"/>
        <v>4.5</v>
      </c>
      <c r="O44" s="24">
        <f t="shared" si="7"/>
        <v>5.4</v>
      </c>
    </row>
    <row r="45" spans="1:15">
      <c r="A45" s="47"/>
      <c r="B45" s="159"/>
      <c r="C45" s="26" t="s">
        <v>139</v>
      </c>
      <c r="D45" s="26" t="s">
        <v>102</v>
      </c>
      <c r="E45" s="45">
        <v>5</v>
      </c>
      <c r="F45" s="45">
        <v>1.6</v>
      </c>
      <c r="G45" s="17">
        <f t="shared" si="1"/>
        <v>8</v>
      </c>
      <c r="H45" s="45">
        <v>5</v>
      </c>
      <c r="I45" s="49">
        <v>1.7</v>
      </c>
      <c r="J45" s="45">
        <v>8.5</v>
      </c>
      <c r="K45" s="18">
        <f t="shared" si="0"/>
        <v>6.2499999999999917E-2</v>
      </c>
      <c r="L45" s="19"/>
      <c r="M45" s="24">
        <f t="shared" si="5"/>
        <v>3</v>
      </c>
      <c r="N45" s="24">
        <f t="shared" si="6"/>
        <v>3.75</v>
      </c>
      <c r="O45" s="24">
        <f t="shared" si="7"/>
        <v>4.5</v>
      </c>
    </row>
    <row r="46" spans="1:15">
      <c r="A46" s="47"/>
      <c r="B46" s="159"/>
      <c r="C46" s="151" t="s">
        <v>140</v>
      </c>
      <c r="D46" s="26" t="s">
        <v>141</v>
      </c>
      <c r="E46" s="45">
        <v>4.5999999999999996</v>
      </c>
      <c r="F46" s="45">
        <v>1.7</v>
      </c>
      <c r="G46" s="17">
        <f t="shared" si="1"/>
        <v>7.8199999999999994</v>
      </c>
      <c r="H46" s="45">
        <v>4.5999999999999996</v>
      </c>
      <c r="I46" s="49">
        <v>1.85</v>
      </c>
      <c r="J46" s="45">
        <v>8.5</v>
      </c>
      <c r="K46" s="18">
        <f t="shared" si="0"/>
        <v>8.8235294117647134E-2</v>
      </c>
      <c r="L46" s="19"/>
      <c r="M46" s="24">
        <f t="shared" si="5"/>
        <v>2.76</v>
      </c>
      <c r="N46" s="24">
        <f t="shared" si="6"/>
        <v>3.4499999999999997</v>
      </c>
      <c r="O46" s="24">
        <f t="shared" si="7"/>
        <v>4.1399999999999997</v>
      </c>
    </row>
    <row r="47" spans="1:15">
      <c r="A47" s="47"/>
      <c r="B47" s="159"/>
      <c r="C47" s="164"/>
      <c r="D47" s="26" t="s">
        <v>142</v>
      </c>
      <c r="E47" s="45">
        <v>5</v>
      </c>
      <c r="F47" s="45">
        <v>1.56</v>
      </c>
      <c r="G47" s="17">
        <f t="shared" si="1"/>
        <v>7.8000000000000007</v>
      </c>
      <c r="H47" s="45">
        <v>5</v>
      </c>
      <c r="I47" s="49">
        <v>1.7</v>
      </c>
      <c r="J47" s="45">
        <v>8.5</v>
      </c>
      <c r="K47" s="18">
        <f t="shared" si="0"/>
        <v>8.9743589743589675E-2</v>
      </c>
      <c r="L47" s="19"/>
      <c r="M47" s="24">
        <f t="shared" si="5"/>
        <v>3</v>
      </c>
      <c r="N47" s="24">
        <f t="shared" si="6"/>
        <v>3.75</v>
      </c>
      <c r="O47" s="24">
        <f t="shared" si="7"/>
        <v>4.5</v>
      </c>
    </row>
    <row r="48" spans="1:15">
      <c r="A48" s="47"/>
      <c r="B48" s="159"/>
      <c r="C48" s="164"/>
      <c r="D48" s="26" t="s">
        <v>143</v>
      </c>
      <c r="E48" s="45">
        <v>5.8</v>
      </c>
      <c r="F48" s="45">
        <v>1.34</v>
      </c>
      <c r="G48" s="17">
        <f t="shared" si="1"/>
        <v>7.7720000000000002</v>
      </c>
      <c r="H48" s="45">
        <v>5.8</v>
      </c>
      <c r="I48" s="49">
        <v>1.47</v>
      </c>
      <c r="J48" s="45">
        <v>8.5</v>
      </c>
      <c r="K48" s="18">
        <f t="shared" si="0"/>
        <v>9.7014925373134248E-2</v>
      </c>
      <c r="L48" s="19"/>
      <c r="M48" s="24">
        <f t="shared" si="5"/>
        <v>3.48</v>
      </c>
      <c r="N48" s="24">
        <f t="shared" si="6"/>
        <v>4.3499999999999996</v>
      </c>
      <c r="O48" s="24">
        <f t="shared" si="7"/>
        <v>5.22</v>
      </c>
    </row>
    <row r="49" spans="1:15">
      <c r="A49" s="47"/>
      <c r="B49" s="159"/>
      <c r="C49" s="164"/>
      <c r="D49" s="26" t="s">
        <v>144</v>
      </c>
      <c r="E49" s="45">
        <v>5</v>
      </c>
      <c r="F49" s="45">
        <v>1.56</v>
      </c>
      <c r="G49" s="17">
        <f t="shared" si="1"/>
        <v>7.8000000000000007</v>
      </c>
      <c r="H49" s="45">
        <v>5</v>
      </c>
      <c r="I49" s="49">
        <v>1.7</v>
      </c>
      <c r="J49" s="45">
        <v>8.5</v>
      </c>
      <c r="K49" s="18">
        <f t="shared" si="0"/>
        <v>8.9743589743589675E-2</v>
      </c>
      <c r="L49" s="19"/>
      <c r="M49" s="24">
        <f t="shared" si="5"/>
        <v>3</v>
      </c>
      <c r="N49" s="24">
        <f t="shared" si="6"/>
        <v>3.75</v>
      </c>
      <c r="O49" s="24">
        <f t="shared" si="7"/>
        <v>4.5</v>
      </c>
    </row>
    <row r="50" spans="1:15">
      <c r="A50" s="47"/>
      <c r="B50" s="160"/>
      <c r="C50" s="152"/>
      <c r="D50" s="26" t="s">
        <v>145</v>
      </c>
      <c r="E50" s="45">
        <v>6</v>
      </c>
      <c r="F50" s="45">
        <v>1.38</v>
      </c>
      <c r="G50" s="17">
        <f t="shared" si="1"/>
        <v>8.2799999999999994</v>
      </c>
      <c r="H50" s="45">
        <v>6</v>
      </c>
      <c r="I50" s="49">
        <v>1.42</v>
      </c>
      <c r="J50" s="45">
        <v>8.5</v>
      </c>
      <c r="K50" s="18">
        <f t="shared" si="0"/>
        <v>2.898550724637684E-2</v>
      </c>
      <c r="L50" s="19"/>
      <c r="M50" s="24">
        <f t="shared" si="5"/>
        <v>3.5999999999999996</v>
      </c>
      <c r="N50" s="24">
        <f t="shared" si="6"/>
        <v>4.5</v>
      </c>
      <c r="O50" s="24">
        <f t="shared" si="7"/>
        <v>5.4</v>
      </c>
    </row>
    <row r="51" spans="1:15" ht="18.75" customHeight="1">
      <c r="A51" s="47"/>
      <c r="B51" s="130" t="s">
        <v>146</v>
      </c>
      <c r="C51" s="132" t="s">
        <v>147</v>
      </c>
      <c r="D51" s="133"/>
      <c r="E51" s="136" t="s">
        <v>148</v>
      </c>
      <c r="F51" s="137"/>
      <c r="G51" s="137"/>
      <c r="H51" s="136" t="s">
        <v>149</v>
      </c>
      <c r="I51" s="140"/>
      <c r="J51" s="141"/>
      <c r="K51" s="147">
        <v>0.08</v>
      </c>
      <c r="L51" s="145"/>
      <c r="M51" s="52"/>
      <c r="N51" s="52"/>
      <c r="O51" s="52"/>
    </row>
    <row r="52" spans="1:15" ht="36.75" customHeight="1">
      <c r="A52" s="47"/>
      <c r="B52" s="131"/>
      <c r="C52" s="134"/>
      <c r="D52" s="135"/>
      <c r="E52" s="138"/>
      <c r="F52" s="139"/>
      <c r="G52" s="139"/>
      <c r="H52" s="142"/>
      <c r="I52" s="143"/>
      <c r="J52" s="144"/>
      <c r="K52" s="148"/>
      <c r="L52" s="146"/>
      <c r="M52" s="52"/>
      <c r="N52" s="52"/>
      <c r="O52" s="52"/>
    </row>
    <row r="53" spans="1:15" ht="20.25">
      <c r="A53" s="47"/>
      <c r="B53" s="44" t="s">
        <v>150</v>
      </c>
      <c r="C53" s="22"/>
      <c r="D53" s="22"/>
      <c r="E53" s="23"/>
      <c r="F53" s="53">
        <f>F50+F49+F48+F47+F46+F45+F44+F43+F42+F41+F40+F39+F38+F37+F36+F35+F34+F33+F32+F31+F30+F29+F28+F27+F26+F25+F24+F23+F22+F21+F20+F19+F18+F17+F16+F15+F14+F13+F12+F11+F10+F9+F8+F7+F6+F5+F4</f>
        <v>31.279999999999994</v>
      </c>
      <c r="G53" s="23"/>
      <c r="H53" s="42"/>
      <c r="I53" s="54">
        <f>I50+I49+I48+I47+I46+I45+I44+I43+I42+I41+I40+I39+I38+I36+I35+I34+I33+I32+I31+I30+I29+I28+I27+I26+I25+I24+I23+I22+I21+I20+I19+I18+I17+I16+I15+I14+I13+I12+I11+I10+I9+I8+I7+I6+I5+I4</f>
        <v>28.230000000000004</v>
      </c>
      <c r="J53" s="42"/>
      <c r="K53" s="25">
        <f>(I53-F53)/F53</f>
        <v>-9.750639386189229E-2</v>
      </c>
      <c r="L53" s="43"/>
      <c r="M53" s="52"/>
      <c r="N53" s="52"/>
      <c r="O53" s="52"/>
    </row>
    <row r="54" spans="1:15" ht="18.75" customHeight="1">
      <c r="A54" s="47"/>
      <c r="B54" s="128" t="s">
        <v>151</v>
      </c>
      <c r="C54" s="128"/>
      <c r="D54" s="128"/>
      <c r="E54" s="128"/>
      <c r="F54" s="128"/>
      <c r="G54" s="128"/>
      <c r="H54" s="128"/>
      <c r="I54" s="128"/>
      <c r="J54" s="128"/>
      <c r="K54" s="128"/>
      <c r="L54" s="128"/>
      <c r="M54" s="128"/>
      <c r="N54" s="128"/>
      <c r="O54" s="128"/>
    </row>
    <row r="55" spans="1:15" ht="18.75" customHeight="1">
      <c r="A55" s="47"/>
      <c r="B55" s="129"/>
      <c r="C55" s="129"/>
      <c r="D55" s="129"/>
      <c r="E55" s="129"/>
      <c r="F55" s="129"/>
      <c r="G55" s="129"/>
      <c r="H55" s="129"/>
      <c r="I55" s="129"/>
      <c r="J55" s="129"/>
      <c r="K55" s="129"/>
      <c r="L55" s="129"/>
      <c r="M55" s="129"/>
      <c r="N55" s="129"/>
      <c r="O55" s="129"/>
    </row>
    <row r="56" spans="1:15" ht="18.75" customHeight="1">
      <c r="A56" s="47"/>
      <c r="B56" s="129"/>
      <c r="C56" s="129"/>
      <c r="D56" s="129"/>
      <c r="E56" s="129"/>
      <c r="F56" s="129"/>
      <c r="G56" s="129"/>
      <c r="H56" s="129"/>
      <c r="I56" s="129"/>
      <c r="J56" s="129"/>
      <c r="K56" s="129"/>
      <c r="L56" s="129"/>
      <c r="M56" s="129"/>
      <c r="N56" s="129"/>
      <c r="O56" s="129"/>
    </row>
    <row r="57" spans="1:15" ht="18.75" customHeight="1">
      <c r="A57" s="47"/>
      <c r="B57" s="129"/>
      <c r="C57" s="129"/>
      <c r="D57" s="129"/>
      <c r="E57" s="129"/>
      <c r="F57" s="129"/>
      <c r="G57" s="129"/>
      <c r="H57" s="129"/>
      <c r="I57" s="129"/>
      <c r="J57" s="129"/>
      <c r="K57" s="129"/>
      <c r="L57" s="129"/>
      <c r="M57" s="129"/>
      <c r="N57" s="129"/>
      <c r="O57" s="129"/>
    </row>
    <row r="58" spans="1:15" ht="18.75" customHeight="1">
      <c r="A58" s="47"/>
      <c r="B58" s="129"/>
      <c r="C58" s="129"/>
      <c r="D58" s="129"/>
      <c r="E58" s="129"/>
      <c r="F58" s="129"/>
      <c r="G58" s="129"/>
      <c r="H58" s="129"/>
      <c r="I58" s="129"/>
      <c r="J58" s="129"/>
      <c r="K58" s="129"/>
      <c r="L58" s="129"/>
      <c r="M58" s="129"/>
      <c r="N58" s="129"/>
      <c r="O58" s="129"/>
    </row>
    <row r="59" spans="1:15" ht="18.75" customHeight="1">
      <c r="A59" s="47"/>
      <c r="B59" s="129"/>
      <c r="C59" s="129"/>
      <c r="D59" s="129"/>
      <c r="E59" s="129"/>
      <c r="F59" s="129"/>
      <c r="G59" s="129"/>
      <c r="H59" s="129"/>
      <c r="I59" s="129"/>
      <c r="J59" s="129"/>
      <c r="K59" s="129"/>
      <c r="L59" s="129"/>
      <c r="M59" s="129"/>
      <c r="N59" s="129"/>
      <c r="O59" s="129"/>
    </row>
    <row r="60" spans="1:15" ht="18.75" customHeight="1">
      <c r="A60" s="47"/>
      <c r="B60" s="129"/>
      <c r="C60" s="129"/>
      <c r="D60" s="129"/>
      <c r="E60" s="129"/>
      <c r="F60" s="129"/>
      <c r="G60" s="129"/>
      <c r="H60" s="129"/>
      <c r="I60" s="129"/>
      <c r="J60" s="129"/>
      <c r="K60" s="129"/>
      <c r="L60" s="129"/>
      <c r="M60" s="129"/>
      <c r="N60" s="129"/>
      <c r="O60" s="129"/>
    </row>
    <row r="61" spans="1:15" ht="18.75" customHeight="1">
      <c r="A61" s="47"/>
      <c r="B61" s="129"/>
      <c r="C61" s="129"/>
      <c r="D61" s="129"/>
      <c r="E61" s="129"/>
      <c r="F61" s="129"/>
      <c r="G61" s="129"/>
      <c r="H61" s="129"/>
      <c r="I61" s="129"/>
      <c r="J61" s="129"/>
      <c r="K61" s="129"/>
      <c r="L61" s="129"/>
      <c r="M61" s="129"/>
      <c r="N61" s="129"/>
      <c r="O61" s="129"/>
    </row>
    <row r="62" spans="1:15" ht="18.75" customHeight="1">
      <c r="A62" s="47"/>
      <c r="B62" s="129"/>
      <c r="C62" s="129"/>
      <c r="D62" s="129"/>
      <c r="E62" s="129"/>
      <c r="F62" s="129"/>
      <c r="G62" s="129"/>
      <c r="H62" s="129"/>
      <c r="I62" s="129"/>
      <c r="J62" s="129"/>
      <c r="K62" s="129"/>
      <c r="L62" s="129"/>
      <c r="M62" s="129"/>
      <c r="N62" s="129"/>
      <c r="O62" s="129"/>
    </row>
    <row r="63" spans="1:15" ht="18.75" customHeight="1">
      <c r="A63" s="47"/>
      <c r="B63" s="129"/>
      <c r="C63" s="129"/>
      <c r="D63" s="129"/>
      <c r="E63" s="129"/>
      <c r="F63" s="129"/>
      <c r="G63" s="129"/>
      <c r="H63" s="129"/>
      <c r="I63" s="129"/>
      <c r="J63" s="129"/>
      <c r="K63" s="129"/>
      <c r="L63" s="129"/>
      <c r="M63" s="129"/>
      <c r="N63" s="129"/>
      <c r="O63" s="129"/>
    </row>
    <row r="64" spans="1:15" ht="18.75" customHeight="1">
      <c r="A64" s="47"/>
      <c r="B64" s="129"/>
      <c r="C64" s="129"/>
      <c r="D64" s="129"/>
      <c r="E64" s="129"/>
      <c r="F64" s="129"/>
      <c r="G64" s="129"/>
      <c r="H64" s="129"/>
      <c r="I64" s="129"/>
      <c r="J64" s="129"/>
      <c r="K64" s="129"/>
      <c r="L64" s="129"/>
      <c r="M64" s="129"/>
      <c r="N64" s="129"/>
      <c r="O64" s="129"/>
    </row>
  </sheetData>
  <mergeCells count="67">
    <mergeCell ref="B1:O1"/>
    <mergeCell ref="B2:B3"/>
    <mergeCell ref="C2:D3"/>
    <mergeCell ref="E2:G2"/>
    <mergeCell ref="H2:J2"/>
    <mergeCell ref="L2:L3"/>
    <mergeCell ref="M2:M3"/>
    <mergeCell ref="N2:N3"/>
    <mergeCell ref="O2:O3"/>
    <mergeCell ref="H23:H24"/>
    <mergeCell ref="H4:H5"/>
    <mergeCell ref="H6:H7"/>
    <mergeCell ref="H9:H10"/>
    <mergeCell ref="H11:H12"/>
    <mergeCell ref="H17:H18"/>
    <mergeCell ref="I4:I5"/>
    <mergeCell ref="I6:I7"/>
    <mergeCell ref="I9:I10"/>
    <mergeCell ref="K2:K3"/>
    <mergeCell ref="M9:M10"/>
    <mergeCell ref="M4:M5"/>
    <mergeCell ref="N9:N10"/>
    <mergeCell ref="O9:O10"/>
    <mergeCell ref="M11:M12"/>
    <mergeCell ref="N11:N12"/>
    <mergeCell ref="O11:O12"/>
    <mergeCell ref="N4:N5"/>
    <mergeCell ref="O4:O5"/>
    <mergeCell ref="M6:M7"/>
    <mergeCell ref="N6:N7"/>
    <mergeCell ref="O6:O7"/>
    <mergeCell ref="M23:M24"/>
    <mergeCell ref="N23:N24"/>
    <mergeCell ref="O23:O24"/>
    <mergeCell ref="M35:M38"/>
    <mergeCell ref="N35:N38"/>
    <mergeCell ref="O35:O38"/>
    <mergeCell ref="C17:C18"/>
    <mergeCell ref="I17:I18"/>
    <mergeCell ref="C19:C20"/>
    <mergeCell ref="C11:C12"/>
    <mergeCell ref="O17:O18"/>
    <mergeCell ref="M17:M18"/>
    <mergeCell ref="N17:N18"/>
    <mergeCell ref="L21:L22"/>
    <mergeCell ref="C23:C24"/>
    <mergeCell ref="I23:I24"/>
    <mergeCell ref="L28:L31"/>
    <mergeCell ref="B32:B50"/>
    <mergeCell ref="L34:L38"/>
    <mergeCell ref="C35:C38"/>
    <mergeCell ref="I35:I38"/>
    <mergeCell ref="C46:C50"/>
    <mergeCell ref="H35:H38"/>
    <mergeCell ref="B4:B31"/>
    <mergeCell ref="C4:C5"/>
    <mergeCell ref="C6:C7"/>
    <mergeCell ref="C9:C10"/>
    <mergeCell ref="I11:I12"/>
    <mergeCell ref="C15:C16"/>
    <mergeCell ref="B54:O64"/>
    <mergeCell ref="B51:B52"/>
    <mergeCell ref="C51:D52"/>
    <mergeCell ref="E51:G52"/>
    <mergeCell ref="H51:J52"/>
    <mergeCell ref="L51:L52"/>
    <mergeCell ref="K51:K52"/>
  </mergeCells>
  <phoneticPr fontId="1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D2" sqref="D2"/>
    </sheetView>
  </sheetViews>
  <sheetFormatPr defaultRowHeight="14.25"/>
  <cols>
    <col min="2" max="6" width="16.375" customWidth="1"/>
  </cols>
  <sheetData>
    <row r="1" spans="1:9" ht="15" thickBot="1">
      <c r="A1" s="198" t="s">
        <v>54</v>
      </c>
      <c r="B1" s="28" t="s">
        <v>55</v>
      </c>
      <c r="C1" s="28" t="s">
        <v>56</v>
      </c>
      <c r="D1" s="28" t="s">
        <v>57</v>
      </c>
      <c r="E1" s="28" t="s">
        <v>58</v>
      </c>
      <c r="F1" s="28" t="s">
        <v>59</v>
      </c>
      <c r="G1" s="57"/>
      <c r="H1" s="57"/>
      <c r="I1" s="57"/>
    </row>
    <row r="2" spans="1:9" ht="15" thickBot="1">
      <c r="A2" s="193"/>
      <c r="B2" s="195">
        <v>1.7</v>
      </c>
      <c r="C2" s="29">
        <v>50</v>
      </c>
      <c r="D2" s="33">
        <v>0.218</v>
      </c>
      <c r="E2" s="29">
        <v>1.0900000000000001</v>
      </c>
      <c r="F2" s="30">
        <v>0.64</v>
      </c>
      <c r="G2" s="57"/>
      <c r="H2" s="57"/>
      <c r="I2" s="57"/>
    </row>
    <row r="3" spans="1:9" ht="15" thickBot="1">
      <c r="A3" s="193"/>
      <c r="B3" s="196"/>
      <c r="C3" s="31" t="s">
        <v>60</v>
      </c>
      <c r="D3" s="31" t="s">
        <v>61</v>
      </c>
      <c r="E3" s="31" t="s">
        <v>62</v>
      </c>
      <c r="F3" s="31"/>
      <c r="G3" s="58">
        <v>0.6</v>
      </c>
      <c r="H3" s="58">
        <v>0.75</v>
      </c>
      <c r="I3" s="58">
        <v>0.9</v>
      </c>
    </row>
    <row r="4" spans="1:9" ht="15" thickBot="1">
      <c r="A4" s="193"/>
      <c r="B4" s="196"/>
      <c r="C4" s="29">
        <v>12</v>
      </c>
      <c r="D4" s="29">
        <v>135</v>
      </c>
      <c r="E4" s="33">
        <v>0.54</v>
      </c>
      <c r="F4" s="30">
        <v>0.32</v>
      </c>
      <c r="G4" s="59">
        <f>+C4*0.6</f>
        <v>7.1999999999999993</v>
      </c>
      <c r="H4" s="59">
        <f>+C4*0.75</f>
        <v>9</v>
      </c>
      <c r="I4" s="59">
        <f>+C4*0.9</f>
        <v>10.8</v>
      </c>
    </row>
    <row r="5" spans="1:9" ht="15" thickBot="1">
      <c r="A5" s="193"/>
      <c r="B5" s="196"/>
      <c r="C5" s="31" t="s">
        <v>63</v>
      </c>
      <c r="D5" s="31"/>
      <c r="E5" s="31"/>
      <c r="F5" s="31"/>
      <c r="G5" s="57"/>
      <c r="H5" s="57"/>
      <c r="I5" s="57"/>
    </row>
    <row r="6" spans="1:9" ht="15" thickBot="1">
      <c r="A6" s="193"/>
      <c r="B6" s="196"/>
      <c r="C6" s="29" t="s">
        <v>64</v>
      </c>
      <c r="D6" s="31"/>
      <c r="E6" s="31"/>
      <c r="F6" s="31"/>
      <c r="G6" s="57"/>
      <c r="H6" s="57"/>
      <c r="I6" s="57"/>
    </row>
    <row r="7" spans="1:9" ht="15" thickBot="1">
      <c r="A7" s="194"/>
      <c r="B7" s="197"/>
      <c r="C7" s="32"/>
      <c r="D7" s="32"/>
      <c r="E7" s="31" t="s">
        <v>65</v>
      </c>
      <c r="F7" s="30">
        <v>0.96</v>
      </c>
      <c r="G7" s="57"/>
      <c r="H7" s="57"/>
      <c r="I7" s="57"/>
    </row>
    <row r="8" spans="1:9" ht="15" customHeight="1" thickBot="1">
      <c r="A8" s="192" t="s">
        <v>66</v>
      </c>
      <c r="B8" s="31" t="s">
        <v>55</v>
      </c>
      <c r="C8" s="31" t="s">
        <v>56</v>
      </c>
      <c r="D8" s="31" t="s">
        <v>57</v>
      </c>
      <c r="E8" s="31" t="s">
        <v>58</v>
      </c>
      <c r="F8" s="31" t="s">
        <v>59</v>
      </c>
      <c r="G8" s="57"/>
      <c r="H8" s="57"/>
      <c r="I8" s="57"/>
    </row>
    <row r="9" spans="1:9" ht="15" thickBot="1">
      <c r="A9" s="193"/>
      <c r="B9" s="195">
        <v>1</v>
      </c>
      <c r="C9" s="29">
        <v>64</v>
      </c>
      <c r="D9" s="33">
        <v>0.113</v>
      </c>
      <c r="E9" s="29">
        <v>0.56999999999999995</v>
      </c>
      <c r="F9" s="30">
        <v>0.56999999999999995</v>
      </c>
      <c r="G9" s="57"/>
      <c r="H9" s="57"/>
      <c r="I9" s="57"/>
    </row>
    <row r="10" spans="1:9" ht="15" thickBot="1">
      <c r="A10" s="193"/>
      <c r="B10" s="196"/>
      <c r="C10" s="31" t="s">
        <v>60</v>
      </c>
      <c r="D10" s="31" t="s">
        <v>61</v>
      </c>
      <c r="E10" s="31" t="s">
        <v>62</v>
      </c>
      <c r="F10" s="31"/>
      <c r="G10" s="58">
        <v>0.6</v>
      </c>
      <c r="H10" s="58">
        <v>0.75</v>
      </c>
      <c r="I10" s="58">
        <v>0.9</v>
      </c>
    </row>
    <row r="11" spans="1:9" ht="15" thickBot="1">
      <c r="A11" s="193"/>
      <c r="B11" s="196"/>
      <c r="C11" s="29">
        <v>21</v>
      </c>
      <c r="D11" s="29">
        <v>236</v>
      </c>
      <c r="E11" s="33">
        <v>0.36</v>
      </c>
      <c r="F11" s="30">
        <v>0.36</v>
      </c>
      <c r="G11" s="59">
        <f>+C11*0.6</f>
        <v>12.6</v>
      </c>
      <c r="H11" s="59">
        <f>+C11*0.75</f>
        <v>15.75</v>
      </c>
      <c r="I11" s="59">
        <f>+C11*0.9</f>
        <v>18.900000000000002</v>
      </c>
    </row>
    <row r="12" spans="1:9" ht="15" thickBot="1">
      <c r="A12" s="193"/>
      <c r="B12" s="196"/>
      <c r="C12" s="31" t="s">
        <v>63</v>
      </c>
      <c r="D12" s="31"/>
      <c r="E12" s="31"/>
      <c r="F12" s="31"/>
      <c r="G12" s="57"/>
      <c r="H12" s="57"/>
      <c r="I12" s="57"/>
    </row>
    <row r="13" spans="1:9" ht="15" thickBot="1">
      <c r="A13" s="193"/>
      <c r="B13" s="196"/>
      <c r="C13" s="29" t="s">
        <v>64</v>
      </c>
      <c r="D13" s="31"/>
      <c r="E13" s="31"/>
      <c r="F13" s="31"/>
      <c r="G13" s="57"/>
      <c r="H13" s="57"/>
      <c r="I13" s="57"/>
    </row>
    <row r="14" spans="1:9" ht="15" thickBot="1">
      <c r="A14" s="194"/>
      <c r="B14" s="197"/>
      <c r="C14" s="32"/>
      <c r="D14" s="32"/>
      <c r="E14" s="31" t="s">
        <v>65</v>
      </c>
      <c r="F14" s="30">
        <v>0.93</v>
      </c>
      <c r="G14" s="57"/>
      <c r="H14" s="57"/>
      <c r="I14" s="57"/>
    </row>
    <row r="15" spans="1:9" ht="15" customHeight="1" thickBot="1">
      <c r="A15" s="192" t="s">
        <v>67</v>
      </c>
      <c r="B15" s="31" t="s">
        <v>55</v>
      </c>
      <c r="C15" s="31" t="s">
        <v>56</v>
      </c>
      <c r="D15" s="31" t="s">
        <v>152</v>
      </c>
      <c r="E15" s="31" t="s">
        <v>58</v>
      </c>
      <c r="F15" s="31" t="s">
        <v>59</v>
      </c>
      <c r="G15" s="60"/>
      <c r="H15" s="57"/>
      <c r="I15" s="57"/>
    </row>
    <row r="16" spans="1:9" ht="15" thickBot="1">
      <c r="A16" s="193"/>
      <c r="B16" s="195">
        <v>1.42</v>
      </c>
      <c r="C16" s="29">
        <v>60</v>
      </c>
      <c r="D16" s="33">
        <v>0.16500000000000001</v>
      </c>
      <c r="E16" s="29">
        <v>0.83</v>
      </c>
      <c r="F16" s="30">
        <v>0.57999999999999996</v>
      </c>
      <c r="G16" s="57"/>
      <c r="H16" s="57"/>
      <c r="I16" s="57"/>
    </row>
    <row r="17" spans="1:9" ht="15" thickBot="1">
      <c r="A17" s="193"/>
      <c r="B17" s="196"/>
      <c r="C17" s="31" t="s">
        <v>60</v>
      </c>
      <c r="D17" s="31" t="s">
        <v>61</v>
      </c>
      <c r="E17" s="31" t="s">
        <v>62</v>
      </c>
      <c r="F17" s="31"/>
      <c r="G17" s="58">
        <v>0.6</v>
      </c>
      <c r="H17" s="58">
        <v>0.75</v>
      </c>
      <c r="I17" s="58">
        <v>0.9</v>
      </c>
    </row>
    <row r="18" spans="1:9" ht="15" thickBot="1">
      <c r="A18" s="193"/>
      <c r="B18" s="196"/>
      <c r="C18" s="29">
        <v>12</v>
      </c>
      <c r="D18" s="29">
        <v>135</v>
      </c>
      <c r="E18" s="33">
        <v>0.53</v>
      </c>
      <c r="F18" s="30">
        <v>0.37</v>
      </c>
      <c r="G18" s="59">
        <f>+C18*0.6</f>
        <v>7.1999999999999993</v>
      </c>
      <c r="H18" s="59">
        <f>+C18*0.75</f>
        <v>9</v>
      </c>
      <c r="I18" s="59">
        <f>+C18*0.9</f>
        <v>10.8</v>
      </c>
    </row>
    <row r="19" spans="1:9" ht="15" thickBot="1">
      <c r="A19" s="193"/>
      <c r="B19" s="196"/>
      <c r="C19" s="31" t="s">
        <v>63</v>
      </c>
      <c r="D19" s="31"/>
      <c r="E19" s="31"/>
      <c r="F19" s="31"/>
      <c r="G19" s="57"/>
      <c r="H19" s="57"/>
      <c r="I19" s="57"/>
    </row>
    <row r="20" spans="1:9" ht="15" thickBot="1">
      <c r="A20" s="193"/>
      <c r="B20" s="196"/>
      <c r="C20" s="29" t="s">
        <v>64</v>
      </c>
      <c r="D20" s="31"/>
      <c r="E20" s="31"/>
      <c r="F20" s="31"/>
      <c r="G20" s="57"/>
      <c r="H20" s="57"/>
      <c r="I20" s="57"/>
    </row>
    <row r="21" spans="1:9" ht="15" thickBot="1">
      <c r="A21" s="194"/>
      <c r="B21" s="197"/>
      <c r="C21" s="32"/>
      <c r="D21" s="32"/>
      <c r="E21" s="31" t="s">
        <v>65</v>
      </c>
      <c r="F21" s="30">
        <v>0.95</v>
      </c>
      <c r="G21" s="57"/>
      <c r="H21" s="57"/>
      <c r="I21" s="57"/>
    </row>
    <row r="22" spans="1:9" ht="15" thickBot="1">
      <c r="A22" s="192" t="s">
        <v>68</v>
      </c>
      <c r="B22" s="31" t="s">
        <v>55</v>
      </c>
      <c r="C22" s="31" t="s">
        <v>56</v>
      </c>
      <c r="D22" s="31" t="s">
        <v>57</v>
      </c>
      <c r="E22" s="31" t="s">
        <v>58</v>
      </c>
      <c r="F22" s="31" t="s">
        <v>59</v>
      </c>
      <c r="G22" s="57"/>
      <c r="H22" s="57"/>
      <c r="I22" s="57"/>
    </row>
    <row r="23" spans="1:9" ht="15" thickBot="1">
      <c r="A23" s="193"/>
      <c r="B23" s="195">
        <v>1.7</v>
      </c>
      <c r="C23" s="29">
        <v>45</v>
      </c>
      <c r="D23" s="33">
        <v>0.186</v>
      </c>
      <c r="E23" s="29">
        <v>0.93</v>
      </c>
      <c r="F23" s="30">
        <v>0.55000000000000004</v>
      </c>
      <c r="G23" s="57"/>
      <c r="H23" s="57"/>
      <c r="I23" s="57"/>
    </row>
    <row r="24" spans="1:9" ht="15" thickBot="1">
      <c r="A24" s="193"/>
      <c r="B24" s="196"/>
      <c r="C24" s="31" t="s">
        <v>60</v>
      </c>
      <c r="D24" s="31" t="s">
        <v>61</v>
      </c>
      <c r="E24" s="31" t="s">
        <v>62</v>
      </c>
      <c r="F24" s="31"/>
      <c r="G24" s="58">
        <v>0.6</v>
      </c>
      <c r="H24" s="58">
        <v>0.75</v>
      </c>
      <c r="I24" s="58">
        <v>0.9</v>
      </c>
    </row>
    <row r="25" spans="1:9" ht="15" thickBot="1">
      <c r="A25" s="193"/>
      <c r="B25" s="196"/>
      <c r="C25" s="29">
        <v>9</v>
      </c>
      <c r="D25" s="29">
        <v>101</v>
      </c>
      <c r="E25" s="33">
        <v>0.68</v>
      </c>
      <c r="F25" s="30">
        <v>0.4</v>
      </c>
      <c r="G25" s="59">
        <f>+C25*0.6</f>
        <v>5.3999999999999995</v>
      </c>
      <c r="H25" s="59">
        <f>+C25*0.75</f>
        <v>6.75</v>
      </c>
      <c r="I25" s="59">
        <f>+C25*0.9</f>
        <v>8.1</v>
      </c>
    </row>
    <row r="26" spans="1:9" ht="15" thickBot="1">
      <c r="A26" s="193"/>
      <c r="B26" s="196"/>
      <c r="C26" s="31" t="s">
        <v>63</v>
      </c>
      <c r="D26" s="31"/>
      <c r="E26" s="31"/>
      <c r="F26" s="31"/>
      <c r="G26" s="57"/>
      <c r="H26" s="57"/>
      <c r="I26" s="57"/>
    </row>
    <row r="27" spans="1:9" ht="15" thickBot="1">
      <c r="A27" s="193"/>
      <c r="B27" s="196"/>
      <c r="C27" s="29" t="s">
        <v>64</v>
      </c>
      <c r="D27" s="31"/>
      <c r="E27" s="31"/>
      <c r="F27" s="31"/>
      <c r="G27" s="57"/>
      <c r="H27" s="57"/>
      <c r="I27" s="57"/>
    </row>
    <row r="28" spans="1:9" ht="15" thickBot="1">
      <c r="A28" s="194"/>
      <c r="B28" s="197"/>
      <c r="C28" s="32"/>
      <c r="D28" s="32"/>
      <c r="E28" s="31" t="s">
        <v>65</v>
      </c>
      <c r="F28" s="30">
        <v>0.95</v>
      </c>
      <c r="G28" s="57"/>
      <c r="H28" s="57"/>
      <c r="I28" s="57"/>
    </row>
    <row r="29" spans="1:9" ht="15" thickBot="1"/>
    <row r="30" spans="1:9" ht="15" thickBot="1">
      <c r="B30" s="34" t="s">
        <v>69</v>
      </c>
      <c r="C30" s="35" t="s">
        <v>70</v>
      </c>
      <c r="D30" s="35" t="s">
        <v>71</v>
      </c>
      <c r="E30" s="36" t="s">
        <v>35</v>
      </c>
    </row>
    <row r="31" spans="1:9" ht="15" thickBot="1">
      <c r="B31" s="37" t="s">
        <v>72</v>
      </c>
      <c r="C31" s="38">
        <v>4</v>
      </c>
      <c r="D31" s="40">
        <v>2.13</v>
      </c>
      <c r="E31" s="188" t="s">
        <v>73</v>
      </c>
      <c r="F31" s="39"/>
    </row>
    <row r="32" spans="1:9" ht="15" thickBot="1">
      <c r="B32" s="37" t="s">
        <v>74</v>
      </c>
      <c r="C32" s="38">
        <v>3.5</v>
      </c>
      <c r="D32" s="40">
        <v>2.42</v>
      </c>
      <c r="E32" s="189"/>
      <c r="F32" s="39"/>
    </row>
    <row r="33" spans="2:6" ht="15" thickBot="1">
      <c r="B33" s="37" t="s">
        <v>75</v>
      </c>
      <c r="C33" s="38">
        <v>4</v>
      </c>
      <c r="D33" s="40">
        <v>2.13</v>
      </c>
      <c r="E33" s="189"/>
      <c r="F33" s="39"/>
    </row>
    <row r="34" spans="2:6" ht="15" thickBot="1">
      <c r="B34" s="37" t="s">
        <v>76</v>
      </c>
      <c r="C34" s="38">
        <v>3</v>
      </c>
      <c r="D34" s="40">
        <v>2.83</v>
      </c>
      <c r="E34" s="189"/>
      <c r="F34" s="39"/>
    </row>
    <row r="35" spans="2:6" ht="15" thickBot="1">
      <c r="B35" s="37" t="s">
        <v>77</v>
      </c>
      <c r="C35" s="38">
        <v>3.5</v>
      </c>
      <c r="D35" s="40">
        <v>2.42</v>
      </c>
      <c r="E35" s="189"/>
      <c r="F35" s="39"/>
    </row>
    <row r="36" spans="2:6" ht="15" thickBot="1">
      <c r="B36" s="37" t="s">
        <v>78</v>
      </c>
      <c r="C36" s="38">
        <v>3.5</v>
      </c>
      <c r="D36" s="40">
        <v>2.42</v>
      </c>
      <c r="E36" s="190"/>
      <c r="F36" s="39"/>
    </row>
    <row r="37" spans="2:6" ht="18.75">
      <c r="B37" s="191" t="s">
        <v>79</v>
      </c>
      <c r="C37" s="191"/>
      <c r="D37" s="191"/>
      <c r="E37" s="191"/>
    </row>
    <row r="41" spans="2:6">
      <c r="D41" s="39"/>
    </row>
  </sheetData>
  <mergeCells count="10">
    <mergeCell ref="E31:E36"/>
    <mergeCell ref="B37:E37"/>
    <mergeCell ref="A22:A28"/>
    <mergeCell ref="B23:B28"/>
    <mergeCell ref="A1:A7"/>
    <mergeCell ref="B2:B7"/>
    <mergeCell ref="A8:A14"/>
    <mergeCell ref="B9:B14"/>
    <mergeCell ref="A15:A21"/>
    <mergeCell ref="B16:B21"/>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临时工工资</vt:lpstr>
      <vt:lpstr>辞职</vt:lpstr>
      <vt:lpstr>单价</vt:lpstr>
      <vt:lpstr>套标单价</vt:lpstr>
      <vt:lpstr>临时工工资!Print_Area</vt:lpstr>
    </vt:vector>
  </TitlesOfParts>
  <Manager/>
  <Company/>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cp:lastPrinted>2016-11-30T01:07:03Z</cp:lastPrinted>
  <dcterms:created xsi:type="dcterms:W3CDTF">2009-05-04T01:09:13Z</dcterms:created>
  <dcterms:modified xsi:type="dcterms:W3CDTF">2017-03-13T02:51:31Z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2052-8.1.0.3405</vt:lpwstr>
  </property>
</Properties>
</file>