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6"/>
  </bookViews>
  <sheets>
    <sheet name="31" sheetId="543" r:id="rId1"/>
    <sheet name="1" sheetId="542" r:id="rId2"/>
    <sheet name="2" sheetId="541" r:id="rId3"/>
    <sheet name="3" sheetId="544" r:id="rId4"/>
    <sheet name="4" sheetId="545" r:id="rId5"/>
    <sheet name="5" sheetId="546" r:id="rId6"/>
    <sheet name="6" sheetId="547" r:id="rId7"/>
    <sheet name="7" sheetId="548" r:id="rId8"/>
    <sheet name="8" sheetId="549" r:id="rId9"/>
    <sheet name="9" sheetId="550" r:id="rId10"/>
    <sheet name="10" sheetId="551" r:id="rId11"/>
    <sheet name="11" sheetId="553" r:id="rId12"/>
    <sheet name="12" sheetId="554" r:id="rId13"/>
    <sheet name="13" sheetId="555" r:id="rId14"/>
    <sheet name="14" sheetId="556" r:id="rId15"/>
    <sheet name="15" sheetId="557" r:id="rId16"/>
    <sheet name="16" sheetId="558" r:id="rId17"/>
    <sheet name="表样" sheetId="434" r:id="rId18"/>
    <sheet name="周汇总" sheetId="508" r:id="rId19"/>
    <sheet name="汇总" sheetId="505" r:id="rId20"/>
    <sheet name="直接人工成本" sheetId="489" r:id="rId21"/>
    <sheet name="分类汇总" sheetId="534" r:id="rId22"/>
  </sheets>
  <definedNames>
    <definedName name="_xlnm._FilterDatabase" localSheetId="19" hidden="1">汇总!$A$1:$BA$536</definedName>
    <definedName name="_xlnm._FilterDatabase" localSheetId="20" hidden="1">直接人工成本!$A$1:$BA$507</definedName>
    <definedName name="_xlnm._FilterDatabase" localSheetId="18" hidden="1">周汇总!$A$1:$BA$536</definedName>
  </definedNames>
  <calcPr calcId="145621"/>
</workbook>
</file>

<file path=xl/calcChain.xml><?xml version="1.0" encoding="utf-8"?>
<calcChain xmlns="http://schemas.openxmlformats.org/spreadsheetml/2006/main">
  <c r="P535" i="505" l="1"/>
  <c r="O535" i="505"/>
  <c r="N535" i="505"/>
  <c r="M535" i="505"/>
  <c r="L535" i="505"/>
  <c r="K535" i="505"/>
  <c r="I535" i="505"/>
  <c r="H535" i="505"/>
  <c r="G535" i="505"/>
  <c r="F535" i="505"/>
  <c r="E535" i="505"/>
  <c r="D535" i="505"/>
  <c r="C535" i="505"/>
  <c r="P534" i="505"/>
  <c r="O534" i="505"/>
  <c r="N534" i="505"/>
  <c r="M534" i="505"/>
  <c r="L534" i="505"/>
  <c r="K534" i="505"/>
  <c r="I534" i="505"/>
  <c r="H534" i="505"/>
  <c r="G534" i="505"/>
  <c r="F534" i="505"/>
  <c r="E534" i="505"/>
  <c r="D534" i="505"/>
  <c r="C534" i="505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C533" i="505"/>
  <c r="C511" i="505"/>
  <c r="C510" i="505"/>
  <c r="C509" i="505"/>
  <c r="AA505" i="505"/>
  <c r="Z505" i="505"/>
  <c r="Y505" i="505"/>
  <c r="X505" i="505"/>
  <c r="U505" i="505"/>
  <c r="T505" i="505"/>
  <c r="S505" i="505"/>
  <c r="R505" i="505"/>
  <c r="Q505" i="505"/>
  <c r="P505" i="505"/>
  <c r="O505" i="505"/>
  <c r="I505" i="505"/>
  <c r="G505" i="505"/>
  <c r="AA504" i="505"/>
  <c r="Z504" i="505"/>
  <c r="Y504" i="505"/>
  <c r="X504" i="505"/>
  <c r="U504" i="505"/>
  <c r="T504" i="505"/>
  <c r="S504" i="505"/>
  <c r="R504" i="505"/>
  <c r="Q504" i="505"/>
  <c r="P504" i="505"/>
  <c r="O504" i="505"/>
  <c r="I504" i="505"/>
  <c r="G504" i="505"/>
  <c r="I503" i="505"/>
  <c r="G503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G500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AA497" i="505"/>
  <c r="Z497" i="505"/>
  <c r="Y497" i="505"/>
  <c r="X497" i="505"/>
  <c r="U497" i="505"/>
  <c r="T497" i="505"/>
  <c r="S497" i="505"/>
  <c r="R497" i="505"/>
  <c r="Q497" i="505"/>
  <c r="P497" i="505"/>
  <c r="O497" i="505"/>
  <c r="I497" i="505"/>
  <c r="G497" i="505"/>
  <c r="AA496" i="505"/>
  <c r="Z496" i="505"/>
  <c r="Y496" i="505"/>
  <c r="X496" i="505"/>
  <c r="U496" i="505"/>
  <c r="T496" i="505"/>
  <c r="S496" i="505"/>
  <c r="R496" i="505"/>
  <c r="Q496" i="505"/>
  <c r="P496" i="505"/>
  <c r="O496" i="505"/>
  <c r="I496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I488" i="505"/>
  <c r="G488" i="505"/>
  <c r="I487" i="505"/>
  <c r="G487" i="505"/>
  <c r="I486" i="505"/>
  <c r="G486" i="505"/>
  <c r="I485" i="505"/>
  <c r="G485" i="505"/>
  <c r="AA484" i="505"/>
  <c r="Z484" i="505"/>
  <c r="Y484" i="505"/>
  <c r="X484" i="505"/>
  <c r="U484" i="505"/>
  <c r="T484" i="505"/>
  <c r="S484" i="505"/>
  <c r="R484" i="505"/>
  <c r="Q484" i="505"/>
  <c r="P484" i="505"/>
  <c r="O484" i="505"/>
  <c r="I484" i="505"/>
  <c r="G484" i="505"/>
  <c r="AA483" i="505"/>
  <c r="Z483" i="505"/>
  <c r="Y483" i="505"/>
  <c r="X483" i="505"/>
  <c r="U483" i="505"/>
  <c r="T483" i="505"/>
  <c r="S483" i="505"/>
  <c r="R483" i="505"/>
  <c r="Q483" i="505"/>
  <c r="P483" i="505"/>
  <c r="O483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7" i="505"/>
  <c r="Z477" i="505"/>
  <c r="Y477" i="505"/>
  <c r="X477" i="505"/>
  <c r="U477" i="505"/>
  <c r="T477" i="505"/>
  <c r="S477" i="505"/>
  <c r="R477" i="505"/>
  <c r="Q477" i="505"/>
  <c r="P477" i="505"/>
  <c r="O477" i="505"/>
  <c r="I477" i="505"/>
  <c r="G477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1" i="505"/>
  <c r="Z461" i="505"/>
  <c r="Y461" i="505"/>
  <c r="X461" i="505"/>
  <c r="U461" i="505"/>
  <c r="T461" i="505"/>
  <c r="S461" i="505"/>
  <c r="R461" i="505"/>
  <c r="Q461" i="505"/>
  <c r="P461" i="505"/>
  <c r="O461" i="505"/>
  <c r="I461" i="505"/>
  <c r="G461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I459" i="505"/>
  <c r="G459" i="505"/>
  <c r="I458" i="505"/>
  <c r="G458" i="505"/>
  <c r="I457" i="505"/>
  <c r="G457" i="505"/>
  <c r="AA456" i="505"/>
  <c r="Z456" i="505"/>
  <c r="Y456" i="505"/>
  <c r="X456" i="505"/>
  <c r="U456" i="505"/>
  <c r="T456" i="505"/>
  <c r="S456" i="505"/>
  <c r="R456" i="505"/>
  <c r="Q456" i="505"/>
  <c r="P456" i="505"/>
  <c r="O456" i="505"/>
  <c r="I456" i="505"/>
  <c r="G456" i="505"/>
  <c r="AA455" i="505"/>
  <c r="Z455" i="505"/>
  <c r="Y455" i="505"/>
  <c r="X455" i="505"/>
  <c r="U455" i="505"/>
  <c r="T455" i="505"/>
  <c r="S455" i="505"/>
  <c r="R455" i="505"/>
  <c r="Q455" i="505"/>
  <c r="P455" i="505"/>
  <c r="O455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6" i="505"/>
  <c r="Z426" i="505"/>
  <c r="Y426" i="505"/>
  <c r="X426" i="505"/>
  <c r="U426" i="505"/>
  <c r="T426" i="505"/>
  <c r="S426" i="505"/>
  <c r="R426" i="505"/>
  <c r="Q426" i="505"/>
  <c r="P426" i="505"/>
  <c r="O426" i="505"/>
  <c r="I426" i="505"/>
  <c r="G426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I424" i="505"/>
  <c r="G424" i="505"/>
  <c r="I423" i="505"/>
  <c r="G423" i="505"/>
  <c r="I422" i="505"/>
  <c r="G422" i="505"/>
  <c r="AA421" i="505"/>
  <c r="Z421" i="505"/>
  <c r="Y421" i="505"/>
  <c r="X421" i="505"/>
  <c r="U421" i="505"/>
  <c r="T421" i="505"/>
  <c r="S421" i="505"/>
  <c r="R421" i="505"/>
  <c r="Q421" i="505"/>
  <c r="P421" i="505"/>
  <c r="O421" i="505"/>
  <c r="I421" i="505"/>
  <c r="G421" i="505"/>
  <c r="AA420" i="505"/>
  <c r="Z420" i="505"/>
  <c r="Y420" i="505"/>
  <c r="X420" i="505"/>
  <c r="U420" i="505"/>
  <c r="T420" i="505"/>
  <c r="S420" i="505"/>
  <c r="R420" i="505"/>
  <c r="Q420" i="505"/>
  <c r="P420" i="505"/>
  <c r="O420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AA407" i="505"/>
  <c r="Z407" i="505"/>
  <c r="Y407" i="505"/>
  <c r="X407" i="505"/>
  <c r="U407" i="505"/>
  <c r="T407" i="505"/>
  <c r="S407" i="505"/>
  <c r="R407" i="505"/>
  <c r="Q407" i="505"/>
  <c r="P407" i="505"/>
  <c r="O407" i="505"/>
  <c r="I407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I378" i="505"/>
  <c r="G378" i="505"/>
  <c r="I377" i="505"/>
  <c r="G377" i="505"/>
  <c r="I376" i="505"/>
  <c r="G376" i="505"/>
  <c r="AA375" i="505"/>
  <c r="Z375" i="505"/>
  <c r="Y375" i="505"/>
  <c r="X375" i="505"/>
  <c r="U375" i="505"/>
  <c r="T375" i="505"/>
  <c r="S375" i="505"/>
  <c r="R375" i="505"/>
  <c r="Q375" i="505"/>
  <c r="P375" i="505"/>
  <c r="O375" i="505"/>
  <c r="I375" i="505"/>
  <c r="G375" i="505"/>
  <c r="AA374" i="505"/>
  <c r="Z374" i="505"/>
  <c r="Y374" i="505"/>
  <c r="X374" i="505"/>
  <c r="U374" i="505"/>
  <c r="T374" i="505"/>
  <c r="S374" i="505"/>
  <c r="R374" i="505"/>
  <c r="Q374" i="505"/>
  <c r="P374" i="505"/>
  <c r="O374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8" i="505"/>
  <c r="Z368" i="505"/>
  <c r="Y368" i="505"/>
  <c r="X368" i="505"/>
  <c r="U368" i="505"/>
  <c r="T368" i="505"/>
  <c r="S368" i="505"/>
  <c r="R368" i="505"/>
  <c r="Q368" i="505"/>
  <c r="P368" i="505"/>
  <c r="O368" i="505"/>
  <c r="I368" i="505"/>
  <c r="G368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G360" i="505"/>
  <c r="G359" i="505"/>
  <c r="AA358" i="505"/>
  <c r="Z358" i="505"/>
  <c r="Y358" i="505"/>
  <c r="X358" i="505"/>
  <c r="U358" i="505"/>
  <c r="T358" i="505"/>
  <c r="S358" i="505"/>
  <c r="R358" i="505"/>
  <c r="Q358" i="505"/>
  <c r="P358" i="505"/>
  <c r="O358" i="505"/>
  <c r="I358" i="505"/>
  <c r="G358" i="505"/>
  <c r="AA357" i="505"/>
  <c r="Z357" i="505"/>
  <c r="Y357" i="505"/>
  <c r="X357" i="505"/>
  <c r="U357" i="505"/>
  <c r="T357" i="505"/>
  <c r="S357" i="505"/>
  <c r="R357" i="505"/>
  <c r="Q357" i="505"/>
  <c r="P357" i="505"/>
  <c r="O357" i="505"/>
  <c r="I357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G340" i="505"/>
  <c r="C340" i="505"/>
  <c r="G339" i="505"/>
  <c r="C339" i="505"/>
  <c r="G338" i="505"/>
  <c r="C338" i="505"/>
  <c r="G337" i="505"/>
  <c r="C337" i="505"/>
  <c r="AA333" i="505"/>
  <c r="Z333" i="505"/>
  <c r="Y333" i="505"/>
  <c r="X333" i="505"/>
  <c r="U333" i="505"/>
  <c r="T333" i="505"/>
  <c r="S333" i="505"/>
  <c r="R333" i="505"/>
  <c r="Q333" i="505"/>
  <c r="P333" i="505"/>
  <c r="O333" i="505"/>
  <c r="I333" i="505"/>
  <c r="G333" i="505"/>
  <c r="AA332" i="505"/>
  <c r="Z332" i="505"/>
  <c r="Y332" i="505"/>
  <c r="X332" i="505"/>
  <c r="U332" i="505"/>
  <c r="T332" i="505"/>
  <c r="S332" i="505"/>
  <c r="R332" i="505"/>
  <c r="Q332" i="505"/>
  <c r="P332" i="505"/>
  <c r="O332" i="505"/>
  <c r="I332" i="505"/>
  <c r="G332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I327" i="505"/>
  <c r="G327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AA325" i="505"/>
  <c r="Z325" i="505"/>
  <c r="Y325" i="505"/>
  <c r="X325" i="505"/>
  <c r="U325" i="505"/>
  <c r="T325" i="505"/>
  <c r="S325" i="505"/>
  <c r="R325" i="505"/>
  <c r="Q325" i="505"/>
  <c r="P325" i="505"/>
  <c r="O325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I317" i="505"/>
  <c r="G317" i="505"/>
  <c r="I316" i="505"/>
  <c r="G316" i="505"/>
  <c r="I315" i="505"/>
  <c r="G315" i="505"/>
  <c r="I314" i="505"/>
  <c r="G314" i="505"/>
  <c r="AA313" i="505"/>
  <c r="Z313" i="505"/>
  <c r="Y313" i="505"/>
  <c r="X313" i="505"/>
  <c r="U313" i="505"/>
  <c r="T313" i="505"/>
  <c r="S313" i="505"/>
  <c r="R313" i="505"/>
  <c r="Q313" i="505"/>
  <c r="P313" i="505"/>
  <c r="O313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7" i="505"/>
  <c r="Z307" i="505"/>
  <c r="Y307" i="505"/>
  <c r="X307" i="505"/>
  <c r="U307" i="505"/>
  <c r="T307" i="505"/>
  <c r="S307" i="505"/>
  <c r="R307" i="505"/>
  <c r="Q307" i="505"/>
  <c r="P307" i="505"/>
  <c r="O307" i="505"/>
  <c r="I307" i="505"/>
  <c r="G307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1" i="505"/>
  <c r="Z291" i="505"/>
  <c r="Y291" i="505"/>
  <c r="X291" i="505"/>
  <c r="U291" i="505"/>
  <c r="T291" i="505"/>
  <c r="S291" i="505"/>
  <c r="R291" i="505"/>
  <c r="Q291" i="505"/>
  <c r="P291" i="505"/>
  <c r="O291" i="505"/>
  <c r="I291" i="505"/>
  <c r="G291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I288" i="505"/>
  <c r="G288" i="505"/>
  <c r="I287" i="505"/>
  <c r="G287" i="505"/>
  <c r="I286" i="505"/>
  <c r="G286" i="505"/>
  <c r="AA285" i="505"/>
  <c r="Z285" i="505"/>
  <c r="Y285" i="505"/>
  <c r="X285" i="505"/>
  <c r="U285" i="505"/>
  <c r="T285" i="505"/>
  <c r="S285" i="505"/>
  <c r="R285" i="505"/>
  <c r="Q285" i="505"/>
  <c r="P285" i="505"/>
  <c r="O285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6" i="505"/>
  <c r="Z256" i="505"/>
  <c r="Y256" i="505"/>
  <c r="X256" i="505"/>
  <c r="U256" i="505"/>
  <c r="T256" i="505"/>
  <c r="S256" i="505"/>
  <c r="R256" i="505"/>
  <c r="Q256" i="505"/>
  <c r="P256" i="505"/>
  <c r="O256" i="505"/>
  <c r="I256" i="505"/>
  <c r="G256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I253" i="505"/>
  <c r="G253" i="505"/>
  <c r="I252" i="505"/>
  <c r="G252" i="505"/>
  <c r="I251" i="505"/>
  <c r="G251" i="505"/>
  <c r="AA250" i="505"/>
  <c r="Z250" i="505"/>
  <c r="Y250" i="505"/>
  <c r="X250" i="505"/>
  <c r="U250" i="505"/>
  <c r="T250" i="505"/>
  <c r="S250" i="505"/>
  <c r="R250" i="505"/>
  <c r="Q250" i="505"/>
  <c r="P250" i="505"/>
  <c r="O250" i="505"/>
  <c r="N250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I238" i="505"/>
  <c r="G238" i="505"/>
  <c r="AA237" i="505"/>
  <c r="Z237" i="505"/>
  <c r="Y237" i="505"/>
  <c r="X237" i="505"/>
  <c r="U237" i="505"/>
  <c r="T237" i="505"/>
  <c r="S237" i="505"/>
  <c r="R237" i="505"/>
  <c r="Q237" i="505"/>
  <c r="P237" i="505"/>
  <c r="O237" i="505"/>
  <c r="N237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I207" i="505"/>
  <c r="G207" i="505"/>
  <c r="I206" i="505"/>
  <c r="G206" i="505"/>
  <c r="I205" i="505"/>
  <c r="G205" i="505"/>
  <c r="AA204" i="505"/>
  <c r="Z204" i="505"/>
  <c r="Y204" i="505"/>
  <c r="X204" i="505"/>
  <c r="U204" i="505"/>
  <c r="T204" i="505"/>
  <c r="S204" i="505"/>
  <c r="R204" i="505"/>
  <c r="Q204" i="505"/>
  <c r="P204" i="505"/>
  <c r="O204" i="505"/>
  <c r="N204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I201" i="505"/>
  <c r="G201" i="505"/>
  <c r="AA200" i="505"/>
  <c r="Z200" i="505"/>
  <c r="Y200" i="505"/>
  <c r="X200" i="505"/>
  <c r="U200" i="505"/>
  <c r="T200" i="505"/>
  <c r="S200" i="505"/>
  <c r="R200" i="505"/>
  <c r="Q200" i="505"/>
  <c r="P200" i="505"/>
  <c r="O200" i="505"/>
  <c r="N200" i="505"/>
  <c r="I200" i="505"/>
  <c r="G200" i="505"/>
  <c r="AA198" i="505"/>
  <c r="Z198" i="505"/>
  <c r="Y198" i="505"/>
  <c r="X198" i="505"/>
  <c r="U198" i="505"/>
  <c r="T198" i="505"/>
  <c r="S198" i="505"/>
  <c r="R198" i="505"/>
  <c r="Q198" i="505"/>
  <c r="P198" i="505"/>
  <c r="O198" i="505"/>
  <c r="N198" i="505"/>
  <c r="I198" i="505"/>
  <c r="G198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G169" i="505"/>
  <c r="C169" i="505"/>
  <c r="G168" i="505"/>
  <c r="C168" i="505"/>
  <c r="G167" i="505"/>
  <c r="C167" i="505"/>
  <c r="G166" i="505"/>
  <c r="C166" i="505"/>
  <c r="I162" i="505"/>
  <c r="H162" i="505"/>
  <c r="G162" i="505"/>
  <c r="AA161" i="505"/>
  <c r="Z161" i="505"/>
  <c r="Y161" i="505"/>
  <c r="X161" i="505"/>
  <c r="U161" i="505"/>
  <c r="T161" i="505"/>
  <c r="S161" i="505"/>
  <c r="R161" i="505"/>
  <c r="Q161" i="505"/>
  <c r="P161" i="505"/>
  <c r="O161" i="505"/>
  <c r="N161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H157" i="505"/>
  <c r="G157" i="505"/>
  <c r="I156" i="505"/>
  <c r="H156" i="505"/>
  <c r="G156" i="505"/>
  <c r="AA155" i="505"/>
  <c r="Z155" i="505"/>
  <c r="Y155" i="505"/>
  <c r="X155" i="505"/>
  <c r="U155" i="505"/>
  <c r="T155" i="505"/>
  <c r="S155" i="505"/>
  <c r="R155" i="505"/>
  <c r="Q155" i="505"/>
  <c r="P155" i="505"/>
  <c r="O155" i="505"/>
  <c r="N155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7" i="505"/>
  <c r="Z147" i="505"/>
  <c r="Y147" i="505"/>
  <c r="X147" i="505"/>
  <c r="U147" i="505"/>
  <c r="T147" i="505"/>
  <c r="S147" i="505"/>
  <c r="R147" i="505"/>
  <c r="Q147" i="505"/>
  <c r="P147" i="505"/>
  <c r="O147" i="505"/>
  <c r="N147" i="505"/>
  <c r="I147" i="505"/>
  <c r="H147" i="505"/>
  <c r="G147" i="505"/>
  <c r="I146" i="505"/>
  <c r="H146" i="505"/>
  <c r="G146" i="505"/>
  <c r="I145" i="505"/>
  <c r="H145" i="505"/>
  <c r="G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G190" i="558" l="1"/>
  <c r="G317" i="558"/>
  <c r="G122" i="558"/>
  <c r="G186" i="558"/>
  <c r="G229" i="558" l="1"/>
  <c r="G228" i="558"/>
  <c r="K317" i="558" a="1"/>
  <c r="K317" i="558" s="1"/>
  <c r="M317" i="558" s="1"/>
  <c r="J328" i="558" a="1"/>
  <c r="J328" i="558" s="1"/>
  <c r="J317" i="558" a="1"/>
  <c r="J317" i="558" s="1"/>
  <c r="M287" i="558"/>
  <c r="K287" i="558" a="1"/>
  <c r="K287" i="558" s="1"/>
  <c r="J287" i="558" a="1"/>
  <c r="J287" i="558" s="1"/>
  <c r="J286" i="558" a="1"/>
  <c r="J286" i="558" s="1"/>
  <c r="J285" i="558" a="1"/>
  <c r="J285" i="558" s="1"/>
  <c r="J284" i="558" a="1"/>
  <c r="J284" i="558" s="1"/>
  <c r="J283" i="558" a="1"/>
  <c r="J283" i="558" s="1"/>
  <c r="J282" i="558" a="1"/>
  <c r="J282" i="558" s="1"/>
  <c r="J281" i="558" a="1"/>
  <c r="J281" i="558" s="1"/>
  <c r="J280" i="558" a="1"/>
  <c r="J280" i="558" s="1"/>
  <c r="J279" i="558" a="1"/>
  <c r="J279" i="558" s="1"/>
  <c r="J278" i="558" a="1"/>
  <c r="J278" i="558" s="1"/>
  <c r="J223" i="558" a="1"/>
  <c r="J223" i="558" s="1"/>
  <c r="J222" i="558" a="1"/>
  <c r="J222" i="558" s="1"/>
  <c r="J221" i="558" a="1"/>
  <c r="J221" i="558" s="1"/>
  <c r="I328" i="558"/>
  <c r="I278" i="558"/>
  <c r="I317" i="558"/>
  <c r="I186" i="558"/>
  <c r="I190" i="558"/>
  <c r="I306" i="558"/>
  <c r="I293" i="558"/>
  <c r="M157" i="558"/>
  <c r="J157" i="558" a="1"/>
  <c r="J157" i="558" s="1"/>
  <c r="K157" i="558" a="1"/>
  <c r="K157" i="558" s="1"/>
  <c r="M146" i="558"/>
  <c r="M144" i="558"/>
  <c r="J146" i="558" a="1"/>
  <c r="J146" i="558" s="1"/>
  <c r="J144" i="558" a="1"/>
  <c r="J144" i="558" s="1"/>
  <c r="J112" i="558" a="1"/>
  <c r="J112" i="558" s="1"/>
  <c r="J107" i="558" a="1"/>
  <c r="J107" i="558" s="1"/>
  <c r="J67" i="558" a="1"/>
  <c r="J67" i="558" s="1"/>
  <c r="M67" i="558"/>
  <c r="J52" i="558" a="1"/>
  <c r="J52" i="558" s="1"/>
  <c r="J50" i="558" a="1"/>
  <c r="J50" i="558" s="1"/>
  <c r="M36" i="558"/>
  <c r="M35" i="558"/>
  <c r="M30" i="558"/>
  <c r="K36" i="558" a="1"/>
  <c r="K36" i="558" s="1"/>
  <c r="K35" i="558" a="1"/>
  <c r="K35" i="558" s="1"/>
  <c r="J36" i="558" a="1"/>
  <c r="J36" i="558" s="1"/>
  <c r="J35" i="558" a="1"/>
  <c r="J35" i="558" s="1"/>
  <c r="J30" i="558" a="1"/>
  <c r="J30" i="558" s="1"/>
  <c r="I107" i="558"/>
  <c r="I15" i="558"/>
  <c r="I157" i="558"/>
  <c r="G328" i="558"/>
  <c r="G306" i="558"/>
  <c r="G278" i="558"/>
  <c r="G223" i="558"/>
  <c r="G293" i="558"/>
  <c r="G135" i="558"/>
  <c r="I146" i="558" l="1"/>
  <c r="I58" i="558"/>
  <c r="I36" i="558"/>
  <c r="I35" i="558"/>
  <c r="I32" i="558"/>
  <c r="I122" i="558"/>
  <c r="G221" i="558" l="1"/>
  <c r="G15" i="558"/>
  <c r="G432" i="558"/>
  <c r="G433" i="558"/>
  <c r="G7" i="558"/>
  <c r="G32" i="558"/>
  <c r="G58" i="558"/>
  <c r="G107" i="558"/>
  <c r="G36" i="558"/>
  <c r="G50" i="558"/>
  <c r="G146" i="558"/>
  <c r="G35" i="558"/>
  <c r="G40" i="547"/>
  <c r="G211" i="546"/>
  <c r="D534" i="558" l="1"/>
  <c r="D535" i="558"/>
  <c r="D533" i="558"/>
  <c r="C533" i="558" s="1"/>
  <c r="J533" i="558" s="1"/>
  <c r="I433" i="558"/>
  <c r="I432" i="558"/>
  <c r="I455" i="558"/>
  <c r="G455" i="558"/>
  <c r="P536" i="558"/>
  <c r="O536" i="558"/>
  <c r="N536" i="558"/>
  <c r="M536" i="558"/>
  <c r="L536" i="558"/>
  <c r="K536" i="558"/>
  <c r="I536" i="558"/>
  <c r="H536" i="558"/>
  <c r="G536" i="558"/>
  <c r="F536" i="558"/>
  <c r="E536" i="558"/>
  <c r="D536" i="558"/>
  <c r="C535" i="558"/>
  <c r="J535" i="558" s="1"/>
  <c r="Q535" i="558" s="1"/>
  <c r="C534" i="558"/>
  <c r="J534" i="558" s="1"/>
  <c r="Q534" i="558" s="1"/>
  <c r="G517" i="558"/>
  <c r="N517" i="558" s="1"/>
  <c r="X515" i="558"/>
  <c r="X514" i="558"/>
  <c r="X513" i="558"/>
  <c r="G513" i="558"/>
  <c r="C513" i="558"/>
  <c r="X512" i="558"/>
  <c r="I512" i="558"/>
  <c r="E512" i="558"/>
  <c r="K512" i="558" s="1"/>
  <c r="M512" i="558" s="1"/>
  <c r="X511" i="558"/>
  <c r="I511" i="558"/>
  <c r="E511" i="558"/>
  <c r="K511" i="558" s="1"/>
  <c r="M511" i="558" s="1"/>
  <c r="I510" i="558"/>
  <c r="E510" i="558"/>
  <c r="K510" i="558" s="1"/>
  <c r="M510" i="558" s="1"/>
  <c r="I509" i="558"/>
  <c r="I513" i="558" s="1"/>
  <c r="E509" i="558"/>
  <c r="K509" i="558" s="1"/>
  <c r="AA506" i="558"/>
  <c r="Z506" i="558"/>
  <c r="Y506" i="558"/>
  <c r="X506" i="558"/>
  <c r="U506" i="558"/>
  <c r="T506" i="558"/>
  <c r="S506" i="558"/>
  <c r="R506" i="558"/>
  <c r="Q506" i="558"/>
  <c r="P506" i="558"/>
  <c r="O506" i="558"/>
  <c r="R514" i="558" s="1"/>
  <c r="I506" i="558"/>
  <c r="G506" i="558"/>
  <c r="J506" i="558" s="1" a="1"/>
  <c r="J506" i="558" s="1"/>
  <c r="H505" i="558"/>
  <c r="H504" i="558"/>
  <c r="H503" i="558"/>
  <c r="D502" i="558"/>
  <c r="H502" i="558" s="1"/>
  <c r="V501" i="558"/>
  <c r="W501" i="558" s="1"/>
  <c r="N501" i="558"/>
  <c r="K501" i="558" a="1"/>
  <c r="K501" i="558" s="1"/>
  <c r="M501" i="558" s="1"/>
  <c r="J501" i="558" a="1"/>
  <c r="J501" i="558" s="1"/>
  <c r="H501" i="558"/>
  <c r="H500" i="558"/>
  <c r="H499" i="558"/>
  <c r="V498" i="558"/>
  <c r="W498" i="558" s="1"/>
  <c r="N498" i="558"/>
  <c r="K498" i="558"/>
  <c r="M498" i="558" s="1"/>
  <c r="K498" i="558" a="1"/>
  <c r="J498" i="558"/>
  <c r="J498" i="558" a="1"/>
  <c r="H498" i="558"/>
  <c r="V497" i="558"/>
  <c r="W497" i="558" s="1"/>
  <c r="N497" i="558"/>
  <c r="K497" i="558" a="1"/>
  <c r="K497" i="558" s="1"/>
  <c r="M497" i="558" s="1"/>
  <c r="J497" i="558" a="1"/>
  <c r="J497" i="558" s="1"/>
  <c r="H497" i="558"/>
  <c r="H496" i="558"/>
  <c r="H495" i="558"/>
  <c r="W494" i="558"/>
  <c r="V494" i="558"/>
  <c r="N494" i="558"/>
  <c r="K494" i="558" a="1"/>
  <c r="K494" i="558" s="1"/>
  <c r="M494" i="558" s="1"/>
  <c r="J494" i="558" a="1"/>
  <c r="J494" i="558" s="1"/>
  <c r="H494" i="558"/>
  <c r="V493" i="558"/>
  <c r="W493" i="558" s="1"/>
  <c r="N493" i="558"/>
  <c r="K493" i="558" a="1"/>
  <c r="K493" i="558" s="1"/>
  <c r="M493" i="558" s="1"/>
  <c r="J493" i="558" a="1"/>
  <c r="J493" i="558" s="1"/>
  <c r="H493" i="558"/>
  <c r="V492" i="558"/>
  <c r="W492" i="558" s="1"/>
  <c r="N492" i="558"/>
  <c r="K492" i="558"/>
  <c r="M492" i="558" s="1"/>
  <c r="K492" i="558" a="1"/>
  <c r="J492" i="558"/>
  <c r="J492" i="558" a="1"/>
  <c r="H492" i="558"/>
  <c r="V491" i="558"/>
  <c r="N491" i="558"/>
  <c r="N506" i="558" s="1"/>
  <c r="K491" i="558" a="1"/>
  <c r="K491" i="558" s="1"/>
  <c r="J491" i="558" a="1"/>
  <c r="J491" i="558" s="1"/>
  <c r="H491" i="558"/>
  <c r="H506" i="558" s="1"/>
  <c r="AA490" i="558"/>
  <c r="Z490" i="558"/>
  <c r="Y490" i="558"/>
  <c r="X490" i="558"/>
  <c r="U490" i="558"/>
  <c r="T490" i="558"/>
  <c r="S490" i="558"/>
  <c r="Q490" i="558"/>
  <c r="P490" i="558"/>
  <c r="O490" i="558"/>
  <c r="I490" i="558"/>
  <c r="G490" i="558"/>
  <c r="J490" i="558" s="1" a="1"/>
  <c r="J490" i="558" s="1"/>
  <c r="V489" i="558"/>
  <c r="W489" i="558" s="1"/>
  <c r="N489" i="558"/>
  <c r="K489" i="558" a="1"/>
  <c r="K489" i="558" s="1"/>
  <c r="M489" i="558" s="1"/>
  <c r="J489" i="558" a="1"/>
  <c r="J489" i="558" s="1"/>
  <c r="H489" i="558"/>
  <c r="H488" i="558"/>
  <c r="H487" i="558"/>
  <c r="H486" i="558"/>
  <c r="H485" i="558"/>
  <c r="V484" i="558"/>
  <c r="W484" i="558" s="1"/>
  <c r="N484" i="558"/>
  <c r="K484" i="558" a="1"/>
  <c r="K484" i="558" s="1"/>
  <c r="M484" i="558" s="1"/>
  <c r="J484" i="558" a="1"/>
  <c r="J484" i="558" s="1"/>
  <c r="H484" i="558"/>
  <c r="V483" i="558"/>
  <c r="W483" i="558" s="1"/>
  <c r="N483" i="558"/>
  <c r="K483" i="558"/>
  <c r="M483" i="558" s="1"/>
  <c r="K483" i="558" a="1"/>
  <c r="J483" i="558"/>
  <c r="J483" i="558" a="1"/>
  <c r="H483" i="558"/>
  <c r="V482" i="558"/>
  <c r="W482" i="558" s="1"/>
  <c r="N482" i="558"/>
  <c r="K482" i="558" a="1"/>
  <c r="K482" i="558" s="1"/>
  <c r="M482" i="558" s="1"/>
  <c r="J482" i="558" a="1"/>
  <c r="J482" i="558" s="1"/>
  <c r="H482" i="558"/>
  <c r="V481" i="558"/>
  <c r="W481" i="558" s="1"/>
  <c r="N481" i="558"/>
  <c r="K481" i="558" a="1"/>
  <c r="K481" i="558" s="1"/>
  <c r="M481" i="558" s="1"/>
  <c r="J481" i="558" a="1"/>
  <c r="J481" i="558" s="1"/>
  <c r="H481" i="558"/>
  <c r="V480" i="558"/>
  <c r="V490" i="558" s="1"/>
  <c r="W490" i="558" s="1"/>
  <c r="N480" i="558"/>
  <c r="K480" i="558" a="1"/>
  <c r="K480" i="558" s="1"/>
  <c r="J480" i="558" a="1"/>
  <c r="J480" i="558" s="1"/>
  <c r="H480" i="558"/>
  <c r="AA479" i="558"/>
  <c r="Z479" i="558"/>
  <c r="Y479" i="558"/>
  <c r="X479" i="558"/>
  <c r="U479" i="558"/>
  <c r="T479" i="558"/>
  <c r="S479" i="558"/>
  <c r="Q479" i="558"/>
  <c r="P479" i="558"/>
  <c r="O479" i="558"/>
  <c r="I479" i="558"/>
  <c r="G479" i="558"/>
  <c r="J479" i="558" s="1" a="1"/>
  <c r="J479" i="558" s="1"/>
  <c r="V478" i="558"/>
  <c r="W478" i="558" s="1"/>
  <c r="N478" i="558"/>
  <c r="K478" i="558" a="1"/>
  <c r="K478" i="558" s="1"/>
  <c r="M478" i="558" s="1"/>
  <c r="J478" i="558" a="1"/>
  <c r="J478" i="558" s="1"/>
  <c r="H478" i="558"/>
  <c r="V477" i="558"/>
  <c r="W477" i="558" s="1"/>
  <c r="N477" i="558"/>
  <c r="K477" i="558" a="1"/>
  <c r="K477" i="558" s="1"/>
  <c r="M477" i="558" s="1"/>
  <c r="J477" i="558" a="1"/>
  <c r="J477" i="558" s="1"/>
  <c r="H477" i="558"/>
  <c r="V476" i="558"/>
  <c r="W476" i="558" s="1"/>
  <c r="N476" i="558"/>
  <c r="K476" i="558"/>
  <c r="M476" i="558" s="1"/>
  <c r="K476" i="558" a="1"/>
  <c r="J476" i="558"/>
  <c r="J476" i="558" a="1"/>
  <c r="H476" i="558"/>
  <c r="V475" i="558"/>
  <c r="W475" i="558" s="1"/>
  <c r="N475" i="558"/>
  <c r="K475" i="558" a="1"/>
  <c r="K475" i="558" s="1"/>
  <c r="M475" i="558" s="1"/>
  <c r="J475" i="558" a="1"/>
  <c r="J475" i="558" s="1"/>
  <c r="H475" i="558"/>
  <c r="W474" i="558"/>
  <c r="V474" i="558"/>
  <c r="N474" i="558"/>
  <c r="K474" i="558" a="1"/>
  <c r="K474" i="558" s="1"/>
  <c r="M474" i="558" s="1"/>
  <c r="J474" i="558" a="1"/>
  <c r="J474" i="558" s="1"/>
  <c r="H474" i="558"/>
  <c r="V473" i="558"/>
  <c r="W473" i="558" s="1"/>
  <c r="N473" i="558"/>
  <c r="K473" i="558" a="1"/>
  <c r="K473" i="558" s="1"/>
  <c r="M473" i="558" s="1"/>
  <c r="J473" i="558" a="1"/>
  <c r="J473" i="558" s="1"/>
  <c r="H473" i="558"/>
  <c r="V472" i="558"/>
  <c r="W472" i="558" s="1"/>
  <c r="N472" i="558"/>
  <c r="K472" i="558"/>
  <c r="M472" i="558" s="1"/>
  <c r="K472" i="558" a="1"/>
  <c r="J472" i="558"/>
  <c r="J472" i="558" a="1"/>
  <c r="H472" i="558"/>
  <c r="V471" i="558"/>
  <c r="W471" i="558" s="1"/>
  <c r="N471" i="558"/>
  <c r="K471" i="558" a="1"/>
  <c r="K471" i="558" s="1"/>
  <c r="M471" i="558" s="1"/>
  <c r="J471" i="558" a="1"/>
  <c r="J471" i="558" s="1"/>
  <c r="H471" i="558"/>
  <c r="W470" i="558"/>
  <c r="V470" i="558"/>
  <c r="N470" i="558"/>
  <c r="K470" i="558" a="1"/>
  <c r="K470" i="558" s="1"/>
  <c r="M470" i="558" s="1"/>
  <c r="J470" i="558" a="1"/>
  <c r="J470" i="558" s="1"/>
  <c r="H470" i="558"/>
  <c r="V469" i="558"/>
  <c r="W469" i="558" s="1"/>
  <c r="N469" i="558"/>
  <c r="K469" i="558" a="1"/>
  <c r="K469" i="558" s="1"/>
  <c r="M469" i="558" s="1"/>
  <c r="J469" i="558" a="1"/>
  <c r="J469" i="558" s="1"/>
  <c r="H469" i="558"/>
  <c r="V468" i="558"/>
  <c r="W468" i="558" s="1"/>
  <c r="N468" i="558"/>
  <c r="K468" i="558"/>
  <c r="M468" i="558" s="1"/>
  <c r="K468" i="558" a="1"/>
  <c r="J468" i="558"/>
  <c r="J468" i="558" a="1"/>
  <c r="H468" i="558"/>
  <c r="V467" i="558"/>
  <c r="W467" i="558" s="1"/>
  <c r="N467" i="558"/>
  <c r="K467" i="558" a="1"/>
  <c r="K467" i="558" s="1"/>
  <c r="M467" i="558" s="1"/>
  <c r="J467" i="558" a="1"/>
  <c r="J467" i="558" s="1"/>
  <c r="H467" i="558"/>
  <c r="W466" i="558"/>
  <c r="V466" i="558"/>
  <c r="N466" i="558"/>
  <c r="K466" i="558" a="1"/>
  <c r="K466" i="558" s="1"/>
  <c r="M466" i="558" s="1"/>
  <c r="J466" i="558" a="1"/>
  <c r="J466" i="558" s="1"/>
  <c r="H466" i="558"/>
  <c r="V465" i="558"/>
  <c r="W465" i="558" s="1"/>
  <c r="N465" i="558"/>
  <c r="K465" i="558" a="1"/>
  <c r="K465" i="558" s="1"/>
  <c r="M465" i="558" s="1"/>
  <c r="J465" i="558" a="1"/>
  <c r="J465" i="558" s="1"/>
  <c r="H465" i="558"/>
  <c r="V464" i="558"/>
  <c r="V479" i="558" s="1"/>
  <c r="W479" i="558" s="1"/>
  <c r="N464" i="558"/>
  <c r="K464" i="558"/>
  <c r="M464" i="558" s="1"/>
  <c r="K464" i="558" a="1"/>
  <c r="J464" i="558"/>
  <c r="J464" i="558" a="1"/>
  <c r="H464" i="558"/>
  <c r="H479" i="558" s="1"/>
  <c r="AA463" i="558"/>
  <c r="Z463" i="558"/>
  <c r="Y463" i="558"/>
  <c r="X463" i="558"/>
  <c r="U463" i="558"/>
  <c r="T463" i="558"/>
  <c r="S463" i="558"/>
  <c r="R463" i="558"/>
  <c r="Q463" i="558"/>
  <c r="P463" i="558"/>
  <c r="O463" i="558"/>
  <c r="I463" i="558"/>
  <c r="G463" i="558"/>
  <c r="V462" i="558"/>
  <c r="W462" i="558" s="1"/>
  <c r="N462" i="558"/>
  <c r="K462" i="558" a="1"/>
  <c r="K462" i="558" s="1"/>
  <c r="M462" i="558" s="1"/>
  <c r="J462" i="558" a="1"/>
  <c r="J462" i="558" s="1"/>
  <c r="H462" i="558"/>
  <c r="V461" i="558"/>
  <c r="W461" i="558" s="1"/>
  <c r="N461" i="558"/>
  <c r="M461" i="558"/>
  <c r="K461" i="558" a="1"/>
  <c r="K461" i="558" s="1"/>
  <c r="J461" i="558" a="1"/>
  <c r="J461" i="558" s="1"/>
  <c r="H461" i="558"/>
  <c r="W460" i="558"/>
  <c r="V460" i="558"/>
  <c r="N460" i="558"/>
  <c r="K460" i="558" a="1"/>
  <c r="K460" i="558" s="1"/>
  <c r="M460" i="558" s="1"/>
  <c r="J460" i="558" a="1"/>
  <c r="J460" i="558" s="1"/>
  <c r="H460" i="558"/>
  <c r="K459" i="558"/>
  <c r="M459" i="558" s="1"/>
  <c r="K459" i="558" a="1"/>
  <c r="H459" i="558"/>
  <c r="K458" i="558" a="1"/>
  <c r="K458" i="558" s="1"/>
  <c r="M458" i="558" s="1"/>
  <c r="H458" i="558"/>
  <c r="K457" i="558" a="1"/>
  <c r="K457" i="558" s="1"/>
  <c r="M457" i="558" s="1"/>
  <c r="H457" i="558"/>
  <c r="V456" i="558"/>
  <c r="W456" i="558" s="1"/>
  <c r="N456" i="558"/>
  <c r="K456" i="558"/>
  <c r="M456" i="558" s="1"/>
  <c r="K456" i="558" a="1"/>
  <c r="J456" i="558"/>
  <c r="J456" i="558" a="1"/>
  <c r="H456" i="558"/>
  <c r="V455" i="558"/>
  <c r="W455" i="558" s="1"/>
  <c r="N455" i="558"/>
  <c r="K455" i="558" a="1"/>
  <c r="K455" i="558" s="1"/>
  <c r="M455" i="558" s="1"/>
  <c r="J455" i="558" a="1"/>
  <c r="J455" i="558" s="1"/>
  <c r="H455" i="558"/>
  <c r="N454" i="558"/>
  <c r="K454" i="558" a="1"/>
  <c r="K454" i="558" s="1"/>
  <c r="M454" i="558" s="1"/>
  <c r="H454" i="558"/>
  <c r="N453" i="558"/>
  <c r="K453" i="558" a="1"/>
  <c r="K453" i="558" s="1"/>
  <c r="M453" i="558" s="1"/>
  <c r="H453" i="558"/>
  <c r="N452" i="558"/>
  <c r="K452" i="558" a="1"/>
  <c r="K452" i="558" s="1"/>
  <c r="M452" i="558" s="1"/>
  <c r="H452" i="558"/>
  <c r="N451" i="558"/>
  <c r="K451" i="558" a="1"/>
  <c r="K451" i="558" s="1"/>
  <c r="M451" i="558" s="1"/>
  <c r="H451" i="558"/>
  <c r="N450" i="558"/>
  <c r="K450" i="558" a="1"/>
  <c r="K450" i="558" s="1"/>
  <c r="M450" i="558" s="1"/>
  <c r="H450" i="558"/>
  <c r="N449" i="558"/>
  <c r="K449" i="558" a="1"/>
  <c r="K449" i="558" s="1"/>
  <c r="M449" i="558" s="1"/>
  <c r="H449" i="558"/>
  <c r="V448" i="558"/>
  <c r="W448" i="558" s="1"/>
  <c r="N448" i="558"/>
  <c r="K448" i="558" a="1"/>
  <c r="K448" i="558" s="1"/>
  <c r="M448" i="558" s="1"/>
  <c r="J448" i="558" a="1"/>
  <c r="J448" i="558" s="1"/>
  <c r="H448" i="558"/>
  <c r="V447" i="558"/>
  <c r="W447" i="558" s="1"/>
  <c r="N447" i="558"/>
  <c r="K447" i="558" a="1"/>
  <c r="K447" i="558" s="1"/>
  <c r="M447" i="558" s="1"/>
  <c r="J447" i="558" a="1"/>
  <c r="J447" i="558" s="1"/>
  <c r="H447" i="558"/>
  <c r="V446" i="558"/>
  <c r="W446" i="558" s="1"/>
  <c r="N446" i="558"/>
  <c r="K446" i="558"/>
  <c r="M446" i="558" s="1"/>
  <c r="K446" i="558" a="1"/>
  <c r="J446" i="558"/>
  <c r="J446" i="558" a="1"/>
  <c r="H446" i="558"/>
  <c r="V445" i="558"/>
  <c r="W445" i="558" s="1"/>
  <c r="N445" i="558"/>
  <c r="K445" i="558" a="1"/>
  <c r="K445" i="558" s="1"/>
  <c r="M445" i="558" s="1"/>
  <c r="J445" i="558" a="1"/>
  <c r="J445" i="558" s="1"/>
  <c r="H445" i="558"/>
  <c r="V444" i="558"/>
  <c r="W444" i="558" s="1"/>
  <c r="N444" i="558"/>
  <c r="K444" i="558" a="1"/>
  <c r="K444" i="558" s="1"/>
  <c r="M444" i="558" s="1"/>
  <c r="J444" i="558" a="1"/>
  <c r="J444" i="558" s="1"/>
  <c r="H444" i="558"/>
  <c r="V443" i="558"/>
  <c r="W443" i="558" s="1"/>
  <c r="N443" i="558"/>
  <c r="K443" i="558" a="1"/>
  <c r="K443" i="558" s="1"/>
  <c r="M443" i="558" s="1"/>
  <c r="J443" i="558" a="1"/>
  <c r="J443" i="558" s="1"/>
  <c r="H443" i="558"/>
  <c r="V442" i="558"/>
  <c r="W442" i="558" s="1"/>
  <c r="N442" i="558"/>
  <c r="K442" i="558"/>
  <c r="M442" i="558" s="1"/>
  <c r="K442" i="558" a="1"/>
  <c r="J442" i="558"/>
  <c r="J442" i="558" a="1"/>
  <c r="H442" i="558"/>
  <c r="V441" i="558"/>
  <c r="W441" i="558" s="1"/>
  <c r="N441" i="558"/>
  <c r="K441" i="558" a="1"/>
  <c r="K441" i="558" s="1"/>
  <c r="M441" i="558" s="1"/>
  <c r="J441" i="558" a="1"/>
  <c r="J441" i="558" s="1"/>
  <c r="H441" i="558"/>
  <c r="W440" i="558"/>
  <c r="V440" i="558"/>
  <c r="N440" i="558"/>
  <c r="K440" i="558" a="1"/>
  <c r="K440" i="558" s="1"/>
  <c r="M440" i="558" s="1"/>
  <c r="J440" i="558" a="1"/>
  <c r="J440" i="558" s="1"/>
  <c r="H440" i="558"/>
  <c r="V439" i="558"/>
  <c r="W439" i="558" s="1"/>
  <c r="N439" i="558"/>
  <c r="K439" i="558" a="1"/>
  <c r="K439" i="558" s="1"/>
  <c r="M439" i="558" s="1"/>
  <c r="J439" i="558" a="1"/>
  <c r="J439" i="558" s="1"/>
  <c r="H439" i="558"/>
  <c r="V438" i="558"/>
  <c r="W438" i="558" s="1"/>
  <c r="N438" i="558"/>
  <c r="K438" i="558"/>
  <c r="M438" i="558" s="1"/>
  <c r="K438" i="558" a="1"/>
  <c r="J438" i="558"/>
  <c r="J438" i="558" a="1"/>
  <c r="H438" i="558"/>
  <c r="V437" i="558"/>
  <c r="W437" i="558" s="1"/>
  <c r="N437" i="558"/>
  <c r="K437" i="558" a="1"/>
  <c r="K437" i="558" s="1"/>
  <c r="M437" i="558" s="1"/>
  <c r="J437" i="558" a="1"/>
  <c r="J437" i="558" s="1"/>
  <c r="H437" i="558"/>
  <c r="N436" i="558"/>
  <c r="K436" i="558" a="1"/>
  <c r="K436" i="558" s="1"/>
  <c r="M436" i="558" s="1"/>
  <c r="H436" i="558"/>
  <c r="V435" i="558"/>
  <c r="W435" i="558" s="1"/>
  <c r="N435" i="558"/>
  <c r="K435" i="558" a="1"/>
  <c r="K435" i="558" s="1"/>
  <c r="M435" i="558" s="1"/>
  <c r="J435" i="558" a="1"/>
  <c r="J435" i="558" s="1"/>
  <c r="H435" i="558"/>
  <c r="V434" i="558"/>
  <c r="W434" i="558" s="1"/>
  <c r="N434" i="558"/>
  <c r="K434" i="558"/>
  <c r="M434" i="558" s="1"/>
  <c r="K434" i="558" a="1"/>
  <c r="J434" i="558"/>
  <c r="J434" i="558" a="1"/>
  <c r="H434" i="558"/>
  <c r="V433" i="558"/>
  <c r="W433" i="558" s="1"/>
  <c r="N433" i="558"/>
  <c r="K433" i="558" a="1"/>
  <c r="K433" i="558" s="1"/>
  <c r="M433" i="558" s="1"/>
  <c r="J433" i="558" a="1"/>
  <c r="J433" i="558" s="1"/>
  <c r="H433" i="558"/>
  <c r="W432" i="558"/>
  <c r="V432" i="558"/>
  <c r="N432" i="558"/>
  <c r="K432" i="558" a="1"/>
  <c r="K432" i="558" s="1"/>
  <c r="M432" i="558" s="1"/>
  <c r="J432" i="558" a="1"/>
  <c r="J432" i="558" s="1"/>
  <c r="H432" i="558"/>
  <c r="V431" i="558"/>
  <c r="W431" i="558" s="1"/>
  <c r="N431" i="558"/>
  <c r="K431" i="558" a="1"/>
  <c r="K431" i="558" s="1"/>
  <c r="M431" i="558" s="1"/>
  <c r="J431" i="558" a="1"/>
  <c r="J431" i="558" s="1"/>
  <c r="H431" i="558"/>
  <c r="V430" i="558"/>
  <c r="W430" i="558" s="1"/>
  <c r="N430" i="558"/>
  <c r="K430" i="558"/>
  <c r="M430" i="558" s="1"/>
  <c r="K430" i="558" a="1"/>
  <c r="J430" i="558"/>
  <c r="J430" i="558" a="1"/>
  <c r="H430" i="558"/>
  <c r="V429" i="558"/>
  <c r="V463" i="558" s="1"/>
  <c r="W463" i="558" s="1"/>
  <c r="N429" i="558"/>
  <c r="K429" i="558" a="1"/>
  <c r="K429" i="558" s="1"/>
  <c r="J429" i="558" a="1"/>
  <c r="J429" i="558" s="1"/>
  <c r="H429" i="558"/>
  <c r="H463" i="558" s="1"/>
  <c r="AA428" i="558"/>
  <c r="Z428" i="558"/>
  <c r="Y428" i="558"/>
  <c r="X428" i="558"/>
  <c r="U428" i="558"/>
  <c r="T428" i="558"/>
  <c r="S428" i="558"/>
  <c r="R428" i="558"/>
  <c r="Q428" i="558"/>
  <c r="P428" i="558"/>
  <c r="O428" i="558"/>
  <c r="R510" i="558" s="1"/>
  <c r="I428" i="558"/>
  <c r="G428" i="558"/>
  <c r="J428" i="558" s="1" a="1"/>
  <c r="J428" i="558" s="1"/>
  <c r="K427" i="558" a="1"/>
  <c r="K427" i="558" s="1"/>
  <c r="M427" i="558" s="1"/>
  <c r="H427" i="558"/>
  <c r="K426" i="558"/>
  <c r="M426" i="558" s="1"/>
  <c r="K426" i="558" a="1"/>
  <c r="H426" i="558"/>
  <c r="K425" i="558" a="1"/>
  <c r="K425" i="558" s="1"/>
  <c r="M425" i="558" s="1"/>
  <c r="H425" i="558"/>
  <c r="K424" i="558"/>
  <c r="M424" i="558" s="1"/>
  <c r="K424" i="558" a="1"/>
  <c r="H424" i="558"/>
  <c r="K423" i="558" a="1"/>
  <c r="K423" i="558" s="1"/>
  <c r="M423" i="558" s="1"/>
  <c r="H423" i="558"/>
  <c r="K422" i="558"/>
  <c r="M422" i="558" s="1"/>
  <c r="K422" i="558" a="1"/>
  <c r="H422" i="558"/>
  <c r="K421" i="558" a="1"/>
  <c r="K421" i="558" s="1"/>
  <c r="M421" i="558" s="1"/>
  <c r="H421" i="558"/>
  <c r="K420" i="558"/>
  <c r="M420" i="558" s="1"/>
  <c r="K420" i="558" a="1"/>
  <c r="H420" i="558"/>
  <c r="K419" i="558" a="1"/>
  <c r="K419" i="558" s="1"/>
  <c r="M419" i="558" s="1"/>
  <c r="H419" i="558"/>
  <c r="K418" i="558"/>
  <c r="M418" i="558" s="1"/>
  <c r="K418" i="558" a="1"/>
  <c r="H418" i="558"/>
  <c r="V417" i="558"/>
  <c r="W417" i="558" s="1"/>
  <c r="N417" i="558"/>
  <c r="K417" i="558" a="1"/>
  <c r="K417" i="558" s="1"/>
  <c r="M417" i="558" s="1"/>
  <c r="J417" i="558" a="1"/>
  <c r="J417" i="558" s="1"/>
  <c r="H417" i="558"/>
  <c r="V416" i="558"/>
  <c r="W416" i="558" s="1"/>
  <c r="N416" i="558"/>
  <c r="K416" i="558"/>
  <c r="M416" i="558" s="1"/>
  <c r="K416" i="558" a="1"/>
  <c r="J416" i="558"/>
  <c r="J416" i="558" a="1"/>
  <c r="H416" i="558"/>
  <c r="V415" i="558"/>
  <c r="W415" i="558" s="1"/>
  <c r="N415" i="558"/>
  <c r="K415" i="558" a="1"/>
  <c r="K415" i="558" s="1"/>
  <c r="M415" i="558" s="1"/>
  <c r="J415" i="558" a="1"/>
  <c r="J415" i="558" s="1"/>
  <c r="H415" i="558"/>
  <c r="W414" i="558"/>
  <c r="V414" i="558"/>
  <c r="N414" i="558"/>
  <c r="K414" i="558" a="1"/>
  <c r="K414" i="558" s="1"/>
  <c r="M414" i="558" s="1"/>
  <c r="J414" i="558" a="1"/>
  <c r="J414" i="558" s="1"/>
  <c r="H414" i="558"/>
  <c r="H413" i="558"/>
  <c r="V412" i="558"/>
  <c r="W412" i="558" s="1"/>
  <c r="N412" i="558"/>
  <c r="K412" i="558"/>
  <c r="M412" i="558" s="1"/>
  <c r="K412" i="558" a="1"/>
  <c r="J412" i="558"/>
  <c r="J412" i="558" a="1"/>
  <c r="H412" i="558"/>
  <c r="V411" i="558"/>
  <c r="W411" i="558" s="1"/>
  <c r="N411" i="558"/>
  <c r="K411" i="558" a="1"/>
  <c r="K411" i="558" s="1"/>
  <c r="M411" i="558" s="1"/>
  <c r="J411" i="558" a="1"/>
  <c r="J411" i="558" s="1"/>
  <c r="H411" i="558"/>
  <c r="H410" i="558"/>
  <c r="K409" i="558" a="1"/>
  <c r="K409" i="558" s="1"/>
  <c r="H409" i="558"/>
  <c r="V408" i="558"/>
  <c r="W408" i="558" s="1"/>
  <c r="N408" i="558"/>
  <c r="K408" i="558"/>
  <c r="M408" i="558" s="1"/>
  <c r="K408" i="558" a="1"/>
  <c r="J408" i="558"/>
  <c r="J408" i="558" a="1"/>
  <c r="H408" i="558"/>
  <c r="V407" i="558"/>
  <c r="W407" i="558" s="1"/>
  <c r="N407" i="558"/>
  <c r="K407" i="558" a="1"/>
  <c r="K407" i="558" s="1"/>
  <c r="M407" i="558" s="1"/>
  <c r="J407" i="558" a="1"/>
  <c r="J407" i="558" s="1"/>
  <c r="H407" i="558"/>
  <c r="W406" i="558"/>
  <c r="V406" i="558"/>
  <c r="N406" i="558"/>
  <c r="K406" i="558" a="1"/>
  <c r="K406" i="558" s="1"/>
  <c r="M406" i="558" s="1"/>
  <c r="J406" i="558" a="1"/>
  <c r="J406" i="558" s="1"/>
  <c r="H406" i="558"/>
  <c r="V405" i="558"/>
  <c r="W405" i="558" s="1"/>
  <c r="N405" i="558"/>
  <c r="K405" i="558" a="1"/>
  <c r="K405" i="558" s="1"/>
  <c r="M405" i="558" s="1"/>
  <c r="J405" i="558" a="1"/>
  <c r="J405" i="558" s="1"/>
  <c r="H405" i="558"/>
  <c r="V404" i="558"/>
  <c r="W404" i="558" s="1"/>
  <c r="N404" i="558"/>
  <c r="K404" i="558"/>
  <c r="M404" i="558" s="1"/>
  <c r="K404" i="558" a="1"/>
  <c r="J404" i="558"/>
  <c r="J404" i="558" a="1"/>
  <c r="H404" i="558"/>
  <c r="V403" i="558"/>
  <c r="W403" i="558" s="1"/>
  <c r="N403" i="558"/>
  <c r="K403" i="558" a="1"/>
  <c r="K403" i="558" s="1"/>
  <c r="M403" i="558" s="1"/>
  <c r="J403" i="558" a="1"/>
  <c r="J403" i="558" s="1"/>
  <c r="H403" i="558"/>
  <c r="W402" i="558"/>
  <c r="V402" i="558"/>
  <c r="N402" i="558"/>
  <c r="K402" i="558" a="1"/>
  <c r="K402" i="558" s="1"/>
  <c r="M402" i="558" s="1"/>
  <c r="J402" i="558" a="1"/>
  <c r="J402" i="558" s="1"/>
  <c r="H402" i="558"/>
  <c r="V401" i="558"/>
  <c r="W401" i="558" s="1"/>
  <c r="N401" i="558"/>
  <c r="K401" i="558" a="1"/>
  <c r="K401" i="558" s="1"/>
  <c r="M401" i="558" s="1"/>
  <c r="J401" i="558" a="1"/>
  <c r="J401" i="558" s="1"/>
  <c r="H401" i="558"/>
  <c r="V400" i="558"/>
  <c r="W400" i="558" s="1"/>
  <c r="N400" i="558"/>
  <c r="K400" i="558"/>
  <c r="M400" i="558" s="1"/>
  <c r="K400" i="558" a="1"/>
  <c r="J400" i="558"/>
  <c r="J400" i="558" a="1"/>
  <c r="H400" i="558"/>
  <c r="V399" i="558"/>
  <c r="W399" i="558" s="1"/>
  <c r="N399" i="558"/>
  <c r="K399" i="558" a="1"/>
  <c r="K399" i="558" s="1"/>
  <c r="M399" i="558" s="1"/>
  <c r="J399" i="558" a="1"/>
  <c r="J399" i="558" s="1"/>
  <c r="H399" i="558"/>
  <c r="K398" i="558" a="1"/>
  <c r="K398" i="558" s="1"/>
  <c r="M398" i="558" s="1"/>
  <c r="H398" i="558"/>
  <c r="K397" i="558" a="1"/>
  <c r="K397" i="558" s="1"/>
  <c r="M397" i="558" s="1"/>
  <c r="H397" i="558"/>
  <c r="K396" i="558" a="1"/>
  <c r="K396" i="558" s="1"/>
  <c r="M396" i="558" s="1"/>
  <c r="H396" i="558"/>
  <c r="K395" i="558" a="1"/>
  <c r="K395" i="558" s="1"/>
  <c r="M395" i="558" s="1"/>
  <c r="H395" i="558"/>
  <c r="N394" i="558"/>
  <c r="K394" i="558" a="1"/>
  <c r="K394" i="558" s="1"/>
  <c r="M394" i="558" s="1"/>
  <c r="H394" i="558"/>
  <c r="N393" i="558"/>
  <c r="K393" i="558" a="1"/>
  <c r="K393" i="558" s="1"/>
  <c r="M393" i="558" s="1"/>
  <c r="H393" i="558"/>
  <c r="N392" i="558"/>
  <c r="K392" i="558"/>
  <c r="M392" i="558" s="1"/>
  <c r="K392" i="558" a="1"/>
  <c r="H392" i="558"/>
  <c r="N391" i="558"/>
  <c r="K391" i="558" a="1"/>
  <c r="K391" i="558" s="1"/>
  <c r="M391" i="558" s="1"/>
  <c r="H391" i="558"/>
  <c r="W390" i="558"/>
  <c r="V390" i="558"/>
  <c r="N390" i="558"/>
  <c r="K390" i="558" a="1"/>
  <c r="K390" i="558" s="1"/>
  <c r="M390" i="558" s="1"/>
  <c r="J390" i="558" a="1"/>
  <c r="J390" i="558" s="1"/>
  <c r="H390" i="558"/>
  <c r="V389" i="558"/>
  <c r="W389" i="558" s="1"/>
  <c r="N389" i="558"/>
  <c r="K389" i="558" a="1"/>
  <c r="K389" i="558" s="1"/>
  <c r="M389" i="558" s="1"/>
  <c r="J389" i="558" a="1"/>
  <c r="J389" i="558" s="1"/>
  <c r="H389" i="558"/>
  <c r="V388" i="558"/>
  <c r="W388" i="558" s="1"/>
  <c r="N388" i="558"/>
  <c r="K388" i="558"/>
  <c r="M388" i="558" s="1"/>
  <c r="K388" i="558" a="1"/>
  <c r="J388" i="558"/>
  <c r="J388" i="558" a="1"/>
  <c r="H388" i="558"/>
  <c r="V387" i="558"/>
  <c r="W387" i="558" s="1"/>
  <c r="N387" i="558"/>
  <c r="K387" i="558" a="1"/>
  <c r="K387" i="558" s="1"/>
  <c r="M387" i="558" s="1"/>
  <c r="J387" i="558" a="1"/>
  <c r="J387" i="558" s="1"/>
  <c r="H387" i="558"/>
  <c r="W386" i="558"/>
  <c r="V386" i="558"/>
  <c r="N386" i="558"/>
  <c r="K386" i="558" a="1"/>
  <c r="K386" i="558" s="1"/>
  <c r="M386" i="558" s="1"/>
  <c r="J386" i="558" a="1"/>
  <c r="J386" i="558" s="1"/>
  <c r="H386" i="558"/>
  <c r="V385" i="558"/>
  <c r="W385" i="558" s="1"/>
  <c r="N385" i="558"/>
  <c r="K385" i="558" a="1"/>
  <c r="K385" i="558" s="1"/>
  <c r="M385" i="558" s="1"/>
  <c r="J385" i="558" a="1"/>
  <c r="J385" i="558" s="1"/>
  <c r="H385" i="558"/>
  <c r="V384" i="558"/>
  <c r="W384" i="558" s="1"/>
  <c r="N384" i="558"/>
  <c r="K384" i="558"/>
  <c r="M384" i="558" s="1"/>
  <c r="K384" i="558" a="1"/>
  <c r="J384" i="558"/>
  <c r="J384" i="558" a="1"/>
  <c r="H384" i="558"/>
  <c r="V383" i="558"/>
  <c r="W383" i="558" s="1"/>
  <c r="N383" i="558"/>
  <c r="K383" i="558" a="1"/>
  <c r="K383" i="558" s="1"/>
  <c r="M383" i="558" s="1"/>
  <c r="J383" i="558" a="1"/>
  <c r="J383" i="558" s="1"/>
  <c r="H383" i="558"/>
  <c r="W382" i="558"/>
  <c r="V382" i="558"/>
  <c r="N382" i="558"/>
  <c r="K382" i="558" a="1"/>
  <c r="K382" i="558" s="1"/>
  <c r="M382" i="558" s="1"/>
  <c r="J382" i="558" a="1"/>
  <c r="J382" i="558" s="1"/>
  <c r="H382" i="558"/>
  <c r="V381" i="558"/>
  <c r="W381" i="558" s="1"/>
  <c r="N381" i="558"/>
  <c r="K381" i="558" a="1"/>
  <c r="K381" i="558" s="1"/>
  <c r="M381" i="558" s="1"/>
  <c r="J381" i="558" a="1"/>
  <c r="J381" i="558" s="1"/>
  <c r="H381" i="558"/>
  <c r="V380" i="558"/>
  <c r="W380" i="558" s="1"/>
  <c r="N380" i="558"/>
  <c r="K380" i="558"/>
  <c r="M380" i="558" s="1"/>
  <c r="K380" i="558" a="1"/>
  <c r="J380" i="558"/>
  <c r="J380" i="558" a="1"/>
  <c r="H380" i="558"/>
  <c r="V379" i="558"/>
  <c r="W379" i="558" s="1"/>
  <c r="N379" i="558"/>
  <c r="K379" i="558" a="1"/>
  <c r="K379" i="558" s="1"/>
  <c r="M379" i="558" s="1"/>
  <c r="J379" i="558" a="1"/>
  <c r="J379" i="558" s="1"/>
  <c r="H379" i="558"/>
  <c r="K378" i="558" a="1"/>
  <c r="K378" i="558" s="1"/>
  <c r="M378" i="558" s="1"/>
  <c r="H378" i="558"/>
  <c r="K377" i="558" a="1"/>
  <c r="K377" i="558" s="1"/>
  <c r="M377" i="558" s="1"/>
  <c r="H377" i="558"/>
  <c r="K376" i="558" a="1"/>
  <c r="K376" i="558" s="1"/>
  <c r="M376" i="558" s="1"/>
  <c r="H376" i="558"/>
  <c r="W375" i="558"/>
  <c r="V375" i="558"/>
  <c r="N375" i="558"/>
  <c r="K375" i="558" a="1"/>
  <c r="K375" i="558" s="1"/>
  <c r="M375" i="558" s="1"/>
  <c r="J375" i="558" a="1"/>
  <c r="J375" i="558" s="1"/>
  <c r="H375" i="558"/>
  <c r="V374" i="558"/>
  <c r="W374" i="558" s="1"/>
  <c r="N374" i="558"/>
  <c r="K374" i="558" a="1"/>
  <c r="K374" i="558" s="1"/>
  <c r="M374" i="558" s="1"/>
  <c r="J374" i="558" a="1"/>
  <c r="J374" i="558" s="1"/>
  <c r="H374" i="558"/>
  <c r="V373" i="558"/>
  <c r="W373" i="558" s="1"/>
  <c r="N373" i="558"/>
  <c r="K373" i="558"/>
  <c r="M373" i="558" s="1"/>
  <c r="K373" i="558" a="1"/>
  <c r="J373" i="558"/>
  <c r="J373" i="558" a="1"/>
  <c r="H373" i="558"/>
  <c r="K372" i="558" a="1"/>
  <c r="K372" i="558" s="1"/>
  <c r="H372" i="558"/>
  <c r="V371" i="558"/>
  <c r="V428" i="558" s="1"/>
  <c r="W428" i="558" s="1"/>
  <c r="N371" i="558"/>
  <c r="K371" i="558"/>
  <c r="K371" i="558" a="1"/>
  <c r="J371" i="558"/>
  <c r="J371" i="558" a="1"/>
  <c r="H371" i="558"/>
  <c r="H428" i="558" s="1"/>
  <c r="AA370" i="558"/>
  <c r="AA507" i="558" s="1"/>
  <c r="Z370" i="558"/>
  <c r="Z507" i="558" s="1"/>
  <c r="Y370" i="558"/>
  <c r="Y507" i="558" s="1"/>
  <c r="X370" i="558"/>
  <c r="X507" i="558" s="1"/>
  <c r="U370" i="558"/>
  <c r="U507" i="558" s="1"/>
  <c r="T370" i="558"/>
  <c r="T507" i="558" s="1"/>
  <c r="S370" i="558"/>
  <c r="S507" i="558" s="1"/>
  <c r="R370" i="558"/>
  <c r="R507" i="558" s="1"/>
  <c r="Q370" i="558"/>
  <c r="Q507" i="558" s="1"/>
  <c r="P370" i="558"/>
  <c r="P507" i="558" s="1"/>
  <c r="O370" i="558"/>
  <c r="I370" i="558"/>
  <c r="I507" i="558" s="1"/>
  <c r="B515" i="558" s="1"/>
  <c r="G370" i="558"/>
  <c r="G507" i="558" s="1"/>
  <c r="V369" i="558"/>
  <c r="W369" i="558" s="1"/>
  <c r="N369" i="558"/>
  <c r="K369" i="558"/>
  <c r="M369" i="558" s="1"/>
  <c r="K369" i="558" a="1"/>
  <c r="J369" i="558"/>
  <c r="J369" i="558" a="1"/>
  <c r="H369" i="558"/>
  <c r="V368" i="558"/>
  <c r="W368" i="558" s="1"/>
  <c r="N368" i="558"/>
  <c r="K368" i="558" a="1"/>
  <c r="K368" i="558" s="1"/>
  <c r="M368" i="558" s="1"/>
  <c r="J368" i="558" a="1"/>
  <c r="J368" i="558" s="1"/>
  <c r="H368" i="558"/>
  <c r="K367" i="558" a="1"/>
  <c r="K367" i="558" s="1"/>
  <c r="M367" i="558" s="1"/>
  <c r="H367" i="558"/>
  <c r="K366" i="558" a="1"/>
  <c r="K366" i="558" s="1"/>
  <c r="M366" i="558" s="1"/>
  <c r="H366" i="558"/>
  <c r="K365" i="558" a="1"/>
  <c r="K365" i="558" s="1"/>
  <c r="M365" i="558" s="1"/>
  <c r="H365" i="558"/>
  <c r="K364" i="558" a="1"/>
  <c r="K364" i="558" s="1"/>
  <c r="M364" i="558" s="1"/>
  <c r="H364" i="558"/>
  <c r="W363" i="558"/>
  <c r="V363" i="558"/>
  <c r="N363" i="558"/>
  <c r="K363" i="558" a="1"/>
  <c r="K363" i="558" s="1"/>
  <c r="M363" i="558" s="1"/>
  <c r="J363" i="558" a="1"/>
  <c r="J363" i="558" s="1"/>
  <c r="H363" i="558"/>
  <c r="V362" i="558"/>
  <c r="W362" i="558" s="1"/>
  <c r="N362" i="558"/>
  <c r="K362" i="558" a="1"/>
  <c r="K362" i="558" s="1"/>
  <c r="M362" i="558" s="1"/>
  <c r="J362" i="558" a="1"/>
  <c r="J362" i="558" s="1"/>
  <c r="H362" i="558"/>
  <c r="V361" i="558"/>
  <c r="W361" i="558" s="1"/>
  <c r="N361" i="558"/>
  <c r="K361" i="558"/>
  <c r="M361" i="558" s="1"/>
  <c r="K361" i="558" a="1"/>
  <c r="J361" i="558"/>
  <c r="J361" i="558" a="1"/>
  <c r="H361" i="558"/>
  <c r="H360" i="558"/>
  <c r="H359" i="558"/>
  <c r="V358" i="558"/>
  <c r="W358" i="558" s="1"/>
  <c r="N358" i="558"/>
  <c r="K358" i="558" a="1"/>
  <c r="K358" i="558" s="1"/>
  <c r="M358" i="558" s="1"/>
  <c r="J358" i="558" a="1"/>
  <c r="J358" i="558" s="1"/>
  <c r="H358" i="558"/>
  <c r="W357" i="558"/>
  <c r="V357" i="558"/>
  <c r="N357" i="558"/>
  <c r="K357" i="558" a="1"/>
  <c r="K357" i="558" s="1"/>
  <c r="M357" i="558" s="1"/>
  <c r="J357" i="558" a="1"/>
  <c r="J357" i="558" s="1"/>
  <c r="H357" i="558"/>
  <c r="K356" i="558"/>
  <c r="M356" i="558" s="1"/>
  <c r="K356" i="558" a="1"/>
  <c r="H356" i="558"/>
  <c r="K355" i="558" a="1"/>
  <c r="K355" i="558" s="1"/>
  <c r="M355" i="558" s="1"/>
  <c r="H355" i="558"/>
  <c r="V354" i="558"/>
  <c r="W354" i="558" s="1"/>
  <c r="N354" i="558"/>
  <c r="K354" i="558" a="1"/>
  <c r="K354" i="558" s="1"/>
  <c r="M354" i="558" s="1"/>
  <c r="J354" i="558" a="1"/>
  <c r="J354" i="558" s="1"/>
  <c r="H354" i="558"/>
  <c r="V353" i="558"/>
  <c r="W353" i="558" s="1"/>
  <c r="N353" i="558"/>
  <c r="K353" i="558" a="1"/>
  <c r="K353" i="558" s="1"/>
  <c r="M353" i="558" s="1"/>
  <c r="J353" i="558" a="1"/>
  <c r="J353" i="558" s="1"/>
  <c r="H353" i="558"/>
  <c r="V352" i="558"/>
  <c r="W352" i="558" s="1"/>
  <c r="N352" i="558"/>
  <c r="K352" i="558"/>
  <c r="M352" i="558" s="1"/>
  <c r="K352" i="558" a="1"/>
  <c r="J352" i="558"/>
  <c r="J352" i="558" a="1"/>
  <c r="H352" i="558"/>
  <c r="V351" i="558"/>
  <c r="W351" i="558" s="1"/>
  <c r="N351" i="558"/>
  <c r="K351" i="558" a="1"/>
  <c r="K351" i="558" s="1"/>
  <c r="M351" i="558" s="1"/>
  <c r="J351" i="558" a="1"/>
  <c r="J351" i="558" s="1"/>
  <c r="H351" i="558"/>
  <c r="W350" i="558"/>
  <c r="V350" i="558"/>
  <c r="N350" i="558"/>
  <c r="K350" i="558" a="1"/>
  <c r="K350" i="558" s="1"/>
  <c r="M350" i="558" s="1"/>
  <c r="J350" i="558" a="1"/>
  <c r="J350" i="558" s="1"/>
  <c r="H350" i="558"/>
  <c r="V349" i="558"/>
  <c r="V370" i="558" s="1"/>
  <c r="N349" i="558"/>
  <c r="K349" i="558" a="1"/>
  <c r="K349" i="558" s="1"/>
  <c r="J349" i="558" a="1"/>
  <c r="J349" i="558" s="1"/>
  <c r="H349" i="558"/>
  <c r="X343" i="558"/>
  <c r="X342" i="558"/>
  <c r="X341" i="558"/>
  <c r="G341" i="558"/>
  <c r="C341" i="558"/>
  <c r="X340" i="558"/>
  <c r="I340" i="558"/>
  <c r="E340" i="558"/>
  <c r="K340" i="558" s="1"/>
  <c r="M340" i="558" s="1"/>
  <c r="I339" i="558"/>
  <c r="E339" i="558"/>
  <c r="K339" i="558" s="1"/>
  <c r="M339" i="558" s="1"/>
  <c r="I338" i="558"/>
  <c r="E338" i="558"/>
  <c r="K338" i="558" s="1"/>
  <c r="M338" i="558" s="1"/>
  <c r="X337" i="558"/>
  <c r="I337" i="558"/>
  <c r="I341" i="558" s="1"/>
  <c r="E337" i="558"/>
  <c r="E341" i="558" s="1"/>
  <c r="AA334" i="558"/>
  <c r="Z334" i="558"/>
  <c r="Y334" i="558"/>
  <c r="X334" i="558"/>
  <c r="U334" i="558"/>
  <c r="T334" i="558"/>
  <c r="S334" i="558"/>
  <c r="R334" i="558"/>
  <c r="Q334" i="558"/>
  <c r="P334" i="558"/>
  <c r="O334" i="558"/>
  <c r="I334" i="558"/>
  <c r="G334" i="558"/>
  <c r="K333" i="558" a="1"/>
  <c r="K333" i="558" s="1"/>
  <c r="H333" i="558"/>
  <c r="K332" i="558" a="1"/>
  <c r="K332" i="558" s="1"/>
  <c r="H332" i="558"/>
  <c r="K331" i="558"/>
  <c r="K331" i="558" a="1"/>
  <c r="H331" i="558"/>
  <c r="V330" i="558"/>
  <c r="W330" i="558" s="1"/>
  <c r="N330" i="558"/>
  <c r="K330" i="558" a="1"/>
  <c r="K330" i="558" s="1"/>
  <c r="D330" i="558"/>
  <c r="H330" i="558" s="1"/>
  <c r="H329" i="558"/>
  <c r="K328" i="558" a="1"/>
  <c r="K328" i="558" s="1"/>
  <c r="M328" i="558" s="1"/>
  <c r="H328" i="558"/>
  <c r="H327" i="558"/>
  <c r="V326" i="558"/>
  <c r="W326" i="558" s="1"/>
  <c r="N326" i="558"/>
  <c r="K326" i="558" a="1"/>
  <c r="K326" i="558" s="1"/>
  <c r="M326" i="558" s="1"/>
  <c r="J326" i="558" a="1"/>
  <c r="J326" i="558" s="1"/>
  <c r="H326" i="558"/>
  <c r="V325" i="558"/>
  <c r="W325" i="558" s="1"/>
  <c r="N325" i="558"/>
  <c r="K325" i="558" a="1"/>
  <c r="K325" i="558" s="1"/>
  <c r="M325" i="558" s="1"/>
  <c r="J325" i="558" a="1"/>
  <c r="J325" i="558" s="1"/>
  <c r="H325" i="558"/>
  <c r="H324" i="558"/>
  <c r="V323" i="558"/>
  <c r="W323" i="558" s="1"/>
  <c r="N323" i="558"/>
  <c r="K323" i="558" a="1"/>
  <c r="K323" i="558" s="1"/>
  <c r="M323" i="558" s="1"/>
  <c r="J323" i="558" a="1"/>
  <c r="J323" i="558" s="1"/>
  <c r="H323" i="558"/>
  <c r="V322" i="558"/>
  <c r="W322" i="558" s="1"/>
  <c r="N322" i="558"/>
  <c r="K322" i="558" a="1"/>
  <c r="K322" i="558" s="1"/>
  <c r="M322" i="558" s="1"/>
  <c r="J322" i="558" a="1"/>
  <c r="J322" i="558" s="1"/>
  <c r="H322" i="558"/>
  <c r="V321" i="558"/>
  <c r="W321" i="558" s="1"/>
  <c r="N321" i="558"/>
  <c r="K321" i="558" a="1"/>
  <c r="K321" i="558" s="1"/>
  <c r="M321" i="558" s="1"/>
  <c r="J321" i="558" a="1"/>
  <c r="J321" i="558" s="1"/>
  <c r="H321" i="558"/>
  <c r="V320" i="558"/>
  <c r="V334" i="558" s="1"/>
  <c r="N320" i="558"/>
  <c r="N334" i="558" s="1"/>
  <c r="K320" i="558" a="1"/>
  <c r="K320" i="558" s="1"/>
  <c r="J320" i="558" a="1"/>
  <c r="J320" i="558" s="1"/>
  <c r="H320" i="558"/>
  <c r="H334" i="558" s="1"/>
  <c r="AA319" i="558"/>
  <c r="Z319" i="558"/>
  <c r="Y319" i="558"/>
  <c r="X319" i="558"/>
  <c r="U319" i="558"/>
  <c r="T319" i="558"/>
  <c r="S319" i="558"/>
  <c r="Q319" i="558"/>
  <c r="P319" i="558"/>
  <c r="O319" i="558"/>
  <c r="R341" i="558" s="1"/>
  <c r="I319" i="558"/>
  <c r="G319" i="558"/>
  <c r="V318" i="558"/>
  <c r="W318" i="558" s="1"/>
  <c r="N318" i="558"/>
  <c r="K318" i="558" a="1"/>
  <c r="K318" i="558" s="1"/>
  <c r="M318" i="558" s="1"/>
  <c r="J318" i="558" a="1"/>
  <c r="J318" i="558" s="1"/>
  <c r="H318" i="558"/>
  <c r="H317" i="558"/>
  <c r="H316" i="558"/>
  <c r="H315" i="558"/>
  <c r="H314" i="558"/>
  <c r="W313" i="558"/>
  <c r="V313" i="558"/>
  <c r="N313" i="558"/>
  <c r="K313" i="558" a="1"/>
  <c r="K313" i="558" s="1"/>
  <c r="M313" i="558" s="1"/>
  <c r="J313" i="558" a="1"/>
  <c r="J313" i="558" s="1"/>
  <c r="H313" i="558"/>
  <c r="V312" i="558"/>
  <c r="W312" i="558" s="1"/>
  <c r="N312" i="558"/>
  <c r="K312" i="558" a="1"/>
  <c r="K312" i="558" s="1"/>
  <c r="M312" i="558" s="1"/>
  <c r="J312" i="558" a="1"/>
  <c r="J312" i="558" s="1"/>
  <c r="H312" i="558"/>
  <c r="V311" i="558"/>
  <c r="W311" i="558" s="1"/>
  <c r="N311" i="558"/>
  <c r="K311" i="558"/>
  <c r="M311" i="558" s="1"/>
  <c r="K311" i="558" a="1"/>
  <c r="J311" i="558"/>
  <c r="J311" i="558" a="1"/>
  <c r="H311" i="558"/>
  <c r="V310" i="558"/>
  <c r="W310" i="558" s="1"/>
  <c r="N310" i="558"/>
  <c r="K310" i="558" a="1"/>
  <c r="K310" i="558" s="1"/>
  <c r="M310" i="558" s="1"/>
  <c r="J310" i="558" a="1"/>
  <c r="J310" i="558" s="1"/>
  <c r="H310" i="558"/>
  <c r="W309" i="558"/>
  <c r="V309" i="558"/>
  <c r="V319" i="558" s="1"/>
  <c r="N309" i="558"/>
  <c r="N319" i="558" s="1"/>
  <c r="K309" i="558" a="1"/>
  <c r="K309" i="558" s="1"/>
  <c r="K319" i="558" s="1"/>
  <c r="J309" i="558" a="1"/>
  <c r="J309" i="558" s="1"/>
  <c r="H309" i="558"/>
  <c r="AA308" i="558"/>
  <c r="Z308" i="558"/>
  <c r="Y308" i="558"/>
  <c r="X308" i="558"/>
  <c r="U308" i="558"/>
  <c r="T308" i="558"/>
  <c r="S308" i="558"/>
  <c r="Q308" i="558"/>
  <c r="P308" i="558"/>
  <c r="O308" i="558"/>
  <c r="R340" i="558" s="1"/>
  <c r="I308" i="558"/>
  <c r="G308" i="558"/>
  <c r="V307" i="558"/>
  <c r="W307" i="558" s="1"/>
  <c r="N307" i="558"/>
  <c r="K307" i="558" a="1"/>
  <c r="K307" i="558" s="1"/>
  <c r="M307" i="558" s="1"/>
  <c r="J307" i="558" a="1"/>
  <c r="J307" i="558" s="1"/>
  <c r="H307" i="558"/>
  <c r="W306" i="558"/>
  <c r="V306" i="558"/>
  <c r="N306" i="558"/>
  <c r="K306" i="558" a="1"/>
  <c r="K306" i="558" s="1"/>
  <c r="M306" i="558" s="1"/>
  <c r="J306" i="558" a="1"/>
  <c r="J306" i="558" s="1"/>
  <c r="H306" i="558"/>
  <c r="V305" i="558"/>
  <c r="W305" i="558" s="1"/>
  <c r="N305" i="558"/>
  <c r="K305" i="558" a="1"/>
  <c r="K305" i="558" s="1"/>
  <c r="M305" i="558" s="1"/>
  <c r="J305" i="558" a="1"/>
  <c r="J305" i="558" s="1"/>
  <c r="H305" i="558"/>
  <c r="V304" i="558"/>
  <c r="W304" i="558" s="1"/>
  <c r="N304" i="558"/>
  <c r="K304" i="558"/>
  <c r="M304" i="558" s="1"/>
  <c r="K304" i="558" a="1"/>
  <c r="J304" i="558"/>
  <c r="J304" i="558" a="1"/>
  <c r="H304" i="558"/>
  <c r="V303" i="558"/>
  <c r="W303" i="558" s="1"/>
  <c r="N303" i="558"/>
  <c r="K303" i="558" a="1"/>
  <c r="K303" i="558" s="1"/>
  <c r="M303" i="558" s="1"/>
  <c r="J303" i="558" a="1"/>
  <c r="J303" i="558" s="1"/>
  <c r="H303" i="558"/>
  <c r="W302" i="558"/>
  <c r="V302" i="558"/>
  <c r="N302" i="558"/>
  <c r="K302" i="558" a="1"/>
  <c r="K302" i="558" s="1"/>
  <c r="M302" i="558" s="1"/>
  <c r="J302" i="558" a="1"/>
  <c r="J302" i="558" s="1"/>
  <c r="H302" i="558"/>
  <c r="V301" i="558"/>
  <c r="W301" i="558" s="1"/>
  <c r="N301" i="558"/>
  <c r="K301" i="558" a="1"/>
  <c r="K301" i="558" s="1"/>
  <c r="M301" i="558" s="1"/>
  <c r="J301" i="558" a="1"/>
  <c r="J301" i="558" s="1"/>
  <c r="H301" i="558"/>
  <c r="V300" i="558"/>
  <c r="W300" i="558" s="1"/>
  <c r="N300" i="558"/>
  <c r="K300" i="558"/>
  <c r="M300" i="558" s="1"/>
  <c r="K300" i="558" a="1"/>
  <c r="J300" i="558"/>
  <c r="J300" i="558" a="1"/>
  <c r="H300" i="558"/>
  <c r="V299" i="558"/>
  <c r="W299" i="558" s="1"/>
  <c r="N299" i="558"/>
  <c r="K299" i="558" a="1"/>
  <c r="K299" i="558" s="1"/>
  <c r="M299" i="558" s="1"/>
  <c r="J299" i="558" a="1"/>
  <c r="J299" i="558" s="1"/>
  <c r="H299" i="558"/>
  <c r="W298" i="558"/>
  <c r="V298" i="558"/>
  <c r="N298" i="558"/>
  <c r="K298" i="558" a="1"/>
  <c r="K298" i="558" s="1"/>
  <c r="M298" i="558" s="1"/>
  <c r="J298" i="558" a="1"/>
  <c r="J298" i="558" s="1"/>
  <c r="H298" i="558"/>
  <c r="V297" i="558"/>
  <c r="W297" i="558" s="1"/>
  <c r="N297" i="558"/>
  <c r="K297" i="558" a="1"/>
  <c r="K297" i="558" s="1"/>
  <c r="M297" i="558" s="1"/>
  <c r="J297" i="558" a="1"/>
  <c r="J297" i="558" s="1"/>
  <c r="H297" i="558"/>
  <c r="V296" i="558"/>
  <c r="W296" i="558" s="1"/>
  <c r="N296" i="558"/>
  <c r="K296" i="558"/>
  <c r="M296" i="558" s="1"/>
  <c r="K296" i="558" a="1"/>
  <c r="J296" i="558"/>
  <c r="J296" i="558" a="1"/>
  <c r="H296" i="558"/>
  <c r="V295" i="558"/>
  <c r="W295" i="558" s="1"/>
  <c r="N295" i="558"/>
  <c r="K295" i="558" a="1"/>
  <c r="K295" i="558" s="1"/>
  <c r="M295" i="558" s="1"/>
  <c r="J295" i="558" a="1"/>
  <c r="J295" i="558" s="1"/>
  <c r="H295" i="558"/>
  <c r="W294" i="558"/>
  <c r="V294" i="558"/>
  <c r="N294" i="558"/>
  <c r="K294" i="558" a="1"/>
  <c r="K294" i="558" s="1"/>
  <c r="M294" i="558" s="1"/>
  <c r="J294" i="558" a="1"/>
  <c r="J294" i="558" s="1"/>
  <c r="H294" i="558"/>
  <c r="V293" i="558"/>
  <c r="V308" i="558" s="1"/>
  <c r="W308" i="558" s="1"/>
  <c r="N293" i="558"/>
  <c r="K293" i="558" a="1"/>
  <c r="K293" i="558" s="1"/>
  <c r="J293" i="558" a="1"/>
  <c r="J293" i="558" s="1"/>
  <c r="H293" i="558"/>
  <c r="H308" i="558" s="1"/>
  <c r="AA292" i="558"/>
  <c r="Z292" i="558"/>
  <c r="Y292" i="558"/>
  <c r="X292" i="558"/>
  <c r="U292" i="558"/>
  <c r="T292" i="558"/>
  <c r="S292" i="558"/>
  <c r="R292" i="558"/>
  <c r="Q292" i="558"/>
  <c r="P292" i="558"/>
  <c r="O292" i="558"/>
  <c r="R339" i="558" s="1"/>
  <c r="I292" i="558"/>
  <c r="G292" i="558"/>
  <c r="V291" i="558"/>
  <c r="W291" i="558" s="1"/>
  <c r="N291" i="558"/>
  <c r="K291" i="558" a="1"/>
  <c r="K291" i="558" s="1"/>
  <c r="M291" i="558" s="1"/>
  <c r="J291" i="558" a="1"/>
  <c r="J291" i="558" s="1"/>
  <c r="H291" i="558"/>
  <c r="V290" i="558"/>
  <c r="W290" i="558" s="1"/>
  <c r="N290" i="558"/>
  <c r="K290" i="558" a="1"/>
  <c r="K290" i="558" s="1"/>
  <c r="M290" i="558" s="1"/>
  <c r="J290" i="558" a="1"/>
  <c r="J290" i="558" s="1"/>
  <c r="H290" i="558"/>
  <c r="V289" i="558"/>
  <c r="W289" i="558" s="1"/>
  <c r="N289" i="558"/>
  <c r="K289" i="558" a="1"/>
  <c r="K289" i="558" s="1"/>
  <c r="M289" i="558" s="1"/>
  <c r="J289" i="558" a="1"/>
  <c r="J289" i="558" s="1"/>
  <c r="H289" i="558"/>
  <c r="H288" i="558"/>
  <c r="H287" i="558"/>
  <c r="H286" i="558"/>
  <c r="V285" i="558"/>
  <c r="W285" i="558" s="1"/>
  <c r="N285" i="558"/>
  <c r="K285" i="558" a="1"/>
  <c r="K285" i="558" s="1"/>
  <c r="M285" i="558" s="1"/>
  <c r="H285" i="558"/>
  <c r="V284" i="558"/>
  <c r="W284" i="558" s="1"/>
  <c r="N284" i="558"/>
  <c r="K284" i="558"/>
  <c r="M284" i="558" s="1"/>
  <c r="K284" i="558" a="1"/>
  <c r="H284" i="558"/>
  <c r="N283" i="558"/>
  <c r="K283" i="558" a="1"/>
  <c r="K283" i="558" s="1"/>
  <c r="M283" i="558" s="1"/>
  <c r="H283" i="558"/>
  <c r="N282" i="558"/>
  <c r="K282" i="558" a="1"/>
  <c r="K282" i="558" s="1"/>
  <c r="M282" i="558" s="1"/>
  <c r="H282" i="558"/>
  <c r="N281" i="558"/>
  <c r="K281" i="558" a="1"/>
  <c r="K281" i="558" s="1"/>
  <c r="M281" i="558" s="1"/>
  <c r="H281" i="558"/>
  <c r="N280" i="558"/>
  <c r="K280" i="558"/>
  <c r="M280" i="558" s="1"/>
  <c r="K280" i="558" a="1"/>
  <c r="H280" i="558"/>
  <c r="N279" i="558"/>
  <c r="K279" i="558" a="1"/>
  <c r="K279" i="558" s="1"/>
  <c r="M279" i="558" s="1"/>
  <c r="H279" i="558"/>
  <c r="N278" i="558"/>
  <c r="K278" i="558" a="1"/>
  <c r="K278" i="558" s="1"/>
  <c r="M278" i="558" s="1"/>
  <c r="H278" i="558"/>
  <c r="V277" i="558"/>
  <c r="W277" i="558" s="1"/>
  <c r="N277" i="558"/>
  <c r="K277" i="558" a="1"/>
  <c r="K277" i="558" s="1"/>
  <c r="M277" i="558" s="1"/>
  <c r="J277" i="558" a="1"/>
  <c r="J277" i="558" s="1"/>
  <c r="H277" i="558"/>
  <c r="W276" i="558"/>
  <c r="V276" i="558"/>
  <c r="N276" i="558"/>
  <c r="K276" i="558" a="1"/>
  <c r="K276" i="558" s="1"/>
  <c r="M276" i="558" s="1"/>
  <c r="J276" i="558" a="1"/>
  <c r="J276" i="558" s="1"/>
  <c r="H276" i="558"/>
  <c r="V275" i="558"/>
  <c r="W275" i="558" s="1"/>
  <c r="N275" i="558"/>
  <c r="K275" i="558" a="1"/>
  <c r="K275" i="558" s="1"/>
  <c r="M275" i="558" s="1"/>
  <c r="J275" i="558" a="1"/>
  <c r="J275" i="558" s="1"/>
  <c r="H275" i="558"/>
  <c r="V274" i="558"/>
  <c r="W274" i="558" s="1"/>
  <c r="N274" i="558"/>
  <c r="K274" i="558"/>
  <c r="M274" i="558" s="1"/>
  <c r="K274" i="558" a="1"/>
  <c r="J274" i="558"/>
  <c r="J274" i="558" a="1"/>
  <c r="H274" i="558"/>
  <c r="V273" i="558"/>
  <c r="W273" i="558" s="1"/>
  <c r="N273" i="558"/>
  <c r="K273" i="558" a="1"/>
  <c r="K273" i="558" s="1"/>
  <c r="M273" i="558" s="1"/>
  <c r="J273" i="558" a="1"/>
  <c r="J273" i="558" s="1"/>
  <c r="H273" i="558"/>
  <c r="V272" i="558"/>
  <c r="W272" i="558" s="1"/>
  <c r="N272" i="558"/>
  <c r="K272" i="558"/>
  <c r="M272" i="558" s="1"/>
  <c r="K272" i="558" a="1"/>
  <c r="J272" i="558"/>
  <c r="J272" i="558" a="1"/>
  <c r="H272" i="558"/>
  <c r="V271" i="558"/>
  <c r="W271" i="558" s="1"/>
  <c r="N271" i="558"/>
  <c r="K271" i="558" a="1"/>
  <c r="K271" i="558" s="1"/>
  <c r="M271" i="558" s="1"/>
  <c r="J271" i="558" a="1"/>
  <c r="J271" i="558" s="1"/>
  <c r="H271" i="558"/>
  <c r="W270" i="558"/>
  <c r="V270" i="558"/>
  <c r="N270" i="558"/>
  <c r="K270" i="558" a="1"/>
  <c r="K270" i="558" s="1"/>
  <c r="M270" i="558" s="1"/>
  <c r="J270" i="558" a="1"/>
  <c r="J270" i="558" s="1"/>
  <c r="H270" i="558"/>
  <c r="V269" i="558"/>
  <c r="W269" i="558" s="1"/>
  <c r="N269" i="558"/>
  <c r="K269" i="558" a="1"/>
  <c r="K269" i="558" s="1"/>
  <c r="M269" i="558" s="1"/>
  <c r="J269" i="558" a="1"/>
  <c r="J269" i="558" s="1"/>
  <c r="H269" i="558"/>
  <c r="V268" i="558"/>
  <c r="W268" i="558" s="1"/>
  <c r="N268" i="558"/>
  <c r="K268" i="558"/>
  <c r="M268" i="558" s="1"/>
  <c r="K268" i="558" a="1"/>
  <c r="J268" i="558"/>
  <c r="J268" i="558" a="1"/>
  <c r="H268" i="558"/>
  <c r="V267" i="558"/>
  <c r="W267" i="558" s="1"/>
  <c r="N267" i="558"/>
  <c r="K267" i="558" a="1"/>
  <c r="K267" i="558" s="1"/>
  <c r="M267" i="558" s="1"/>
  <c r="J267" i="558" a="1"/>
  <c r="J267" i="558" s="1"/>
  <c r="H267" i="558"/>
  <c r="W266" i="558"/>
  <c r="V266" i="558"/>
  <c r="N266" i="558"/>
  <c r="K266" i="558" a="1"/>
  <c r="K266" i="558" s="1"/>
  <c r="M266" i="558" s="1"/>
  <c r="J266" i="558" a="1"/>
  <c r="J266" i="558" s="1"/>
  <c r="H266" i="558"/>
  <c r="N265" i="558"/>
  <c r="K265" i="558" a="1"/>
  <c r="K265" i="558" s="1"/>
  <c r="M265" i="558" s="1"/>
  <c r="H265" i="558"/>
  <c r="V264" i="558"/>
  <c r="W264" i="558" s="1"/>
  <c r="N264" i="558"/>
  <c r="K264" i="558"/>
  <c r="M264" i="558" s="1"/>
  <c r="K264" i="558" a="1"/>
  <c r="J264" i="558"/>
  <c r="J264" i="558" a="1"/>
  <c r="H264" i="558"/>
  <c r="V263" i="558"/>
  <c r="W263" i="558" s="1"/>
  <c r="N263" i="558"/>
  <c r="K263" i="558" a="1"/>
  <c r="K263" i="558" s="1"/>
  <c r="M263" i="558" s="1"/>
  <c r="J263" i="558" a="1"/>
  <c r="J263" i="558" s="1"/>
  <c r="H263" i="558"/>
  <c r="W262" i="558"/>
  <c r="V262" i="558"/>
  <c r="N262" i="558"/>
  <c r="K262" i="558" a="1"/>
  <c r="K262" i="558" s="1"/>
  <c r="M262" i="558" s="1"/>
  <c r="J262" i="558" a="1"/>
  <c r="J262" i="558" s="1"/>
  <c r="H262" i="558"/>
  <c r="V261" i="558"/>
  <c r="W261" i="558" s="1"/>
  <c r="N261" i="558"/>
  <c r="K261" i="558" a="1"/>
  <c r="K261" i="558" s="1"/>
  <c r="M261" i="558" s="1"/>
  <c r="J261" i="558" a="1"/>
  <c r="J261" i="558" s="1"/>
  <c r="H261" i="558"/>
  <c r="V260" i="558"/>
  <c r="W260" i="558" s="1"/>
  <c r="N260" i="558"/>
  <c r="K260" i="558"/>
  <c r="M260" i="558" s="1"/>
  <c r="K260" i="558" a="1"/>
  <c r="J260" i="558"/>
  <c r="J260" i="558" a="1"/>
  <c r="H260" i="558"/>
  <c r="V259" i="558"/>
  <c r="W259" i="558" s="1"/>
  <c r="N259" i="558"/>
  <c r="K259" i="558" a="1"/>
  <c r="K259" i="558" s="1"/>
  <c r="M259" i="558" s="1"/>
  <c r="J259" i="558" a="1"/>
  <c r="J259" i="558" s="1"/>
  <c r="H259" i="558"/>
  <c r="W258" i="558"/>
  <c r="V258" i="558"/>
  <c r="V292" i="558" s="1"/>
  <c r="W292" i="558" s="1"/>
  <c r="N258" i="558"/>
  <c r="N292" i="558" s="1"/>
  <c r="K258" i="558" a="1"/>
  <c r="K258" i="558" s="1"/>
  <c r="J258" i="558" a="1"/>
  <c r="J258" i="558" s="1"/>
  <c r="H258" i="558"/>
  <c r="AA257" i="558"/>
  <c r="Z257" i="558"/>
  <c r="Y257" i="558"/>
  <c r="X257" i="558"/>
  <c r="U257" i="558"/>
  <c r="T257" i="558"/>
  <c r="S257" i="558"/>
  <c r="R257" i="558"/>
  <c r="Q257" i="558"/>
  <c r="P257" i="558"/>
  <c r="O257" i="558"/>
  <c r="R338" i="558" s="1"/>
  <c r="I257" i="558"/>
  <c r="G257" i="558"/>
  <c r="H256" i="558"/>
  <c r="H255" i="558"/>
  <c r="H254" i="558"/>
  <c r="H253" i="558"/>
  <c r="H252" i="558"/>
  <c r="H251" i="558"/>
  <c r="K250" i="558" a="1"/>
  <c r="K250" i="558" s="1"/>
  <c r="M250" i="558" s="1"/>
  <c r="H250" i="558"/>
  <c r="K249" i="558"/>
  <c r="M249" i="558" s="1"/>
  <c r="K249" i="558" a="1"/>
  <c r="H249" i="558"/>
  <c r="K248" i="558" a="1"/>
  <c r="K248" i="558" s="1"/>
  <c r="M248" i="558" s="1"/>
  <c r="H248" i="558"/>
  <c r="K247" i="558" a="1"/>
  <c r="K247" i="558" s="1"/>
  <c r="M247" i="558" s="1"/>
  <c r="H247" i="558"/>
  <c r="V246" i="558"/>
  <c r="W246" i="558" s="1"/>
  <c r="N246" i="558"/>
  <c r="K246" i="558"/>
  <c r="M246" i="558" s="1"/>
  <c r="K246" i="558" a="1"/>
  <c r="J246" i="558" a="1"/>
  <c r="J246" i="558" s="1"/>
  <c r="H246" i="558"/>
  <c r="W245" i="558"/>
  <c r="V245" i="558"/>
  <c r="N245" i="558"/>
  <c r="K245" i="558" a="1"/>
  <c r="K245" i="558" s="1"/>
  <c r="M245" i="558" s="1"/>
  <c r="J245" i="558" a="1"/>
  <c r="J245" i="558" s="1"/>
  <c r="H245" i="558"/>
  <c r="V244" i="558"/>
  <c r="W244" i="558" s="1"/>
  <c r="N244" i="558"/>
  <c r="K244" i="558"/>
  <c r="M244" i="558" s="1"/>
  <c r="K244" i="558" a="1"/>
  <c r="J244" i="558" a="1"/>
  <c r="J244" i="558" s="1"/>
  <c r="H244" i="558"/>
  <c r="W243" i="558"/>
  <c r="V243" i="558"/>
  <c r="N243" i="558"/>
  <c r="K243" i="558" a="1"/>
  <c r="K243" i="558" s="1"/>
  <c r="M243" i="558" s="1"/>
  <c r="J243" i="558" a="1"/>
  <c r="J243" i="558" s="1"/>
  <c r="H243" i="558"/>
  <c r="M242" i="558"/>
  <c r="H242" i="558"/>
  <c r="V241" i="558"/>
  <c r="W241" i="558" s="1"/>
  <c r="N241" i="558"/>
  <c r="K241" i="558"/>
  <c r="M241" i="558" s="1"/>
  <c r="K241" i="558" a="1"/>
  <c r="J241" i="558"/>
  <c r="J241" i="558" a="1"/>
  <c r="H241" i="558"/>
  <c r="V240" i="558"/>
  <c r="W240" i="558" s="1"/>
  <c r="N240" i="558"/>
  <c r="K240" i="558" a="1"/>
  <c r="K240" i="558" s="1"/>
  <c r="M240" i="558" s="1"/>
  <c r="J240" i="558" a="1"/>
  <c r="J240" i="558" s="1"/>
  <c r="H240" i="558"/>
  <c r="K239" i="558" a="1"/>
  <c r="K239" i="558" s="1"/>
  <c r="M239" i="558" s="1"/>
  <c r="H239" i="558"/>
  <c r="H238" i="558"/>
  <c r="V237" i="558"/>
  <c r="W237" i="558" s="1"/>
  <c r="N237" i="558"/>
  <c r="K237" i="558" a="1"/>
  <c r="K237" i="558" s="1"/>
  <c r="M237" i="558" s="1"/>
  <c r="J237" i="558" a="1"/>
  <c r="J237" i="558" s="1"/>
  <c r="H237" i="558"/>
  <c r="W236" i="558"/>
  <c r="V236" i="558"/>
  <c r="N236" i="558"/>
  <c r="K236" i="558" a="1"/>
  <c r="K236" i="558" s="1"/>
  <c r="M236" i="558" s="1"/>
  <c r="J236" i="558" a="1"/>
  <c r="J236" i="558" s="1"/>
  <c r="H236" i="558"/>
  <c r="V235" i="558"/>
  <c r="W235" i="558" s="1"/>
  <c r="N235" i="558"/>
  <c r="K235" i="558" a="1"/>
  <c r="K235" i="558" s="1"/>
  <c r="M235" i="558" s="1"/>
  <c r="J235" i="558" a="1"/>
  <c r="J235" i="558" s="1"/>
  <c r="H235" i="558"/>
  <c r="V234" i="558"/>
  <c r="W234" i="558" s="1"/>
  <c r="N234" i="558"/>
  <c r="K234" i="558" a="1"/>
  <c r="K234" i="558" s="1"/>
  <c r="M234" i="558" s="1"/>
  <c r="J234" i="558" a="1"/>
  <c r="J234" i="558" s="1"/>
  <c r="H234" i="558"/>
  <c r="V233" i="558"/>
  <c r="W233" i="558" s="1"/>
  <c r="N233" i="558"/>
  <c r="K233" i="558" a="1"/>
  <c r="K233" i="558" s="1"/>
  <c r="M233" i="558" s="1"/>
  <c r="J233" i="558" a="1"/>
  <c r="J233" i="558" s="1"/>
  <c r="H233" i="558"/>
  <c r="V232" i="558"/>
  <c r="W232" i="558" s="1"/>
  <c r="N232" i="558"/>
  <c r="K232" i="558" a="1"/>
  <c r="K232" i="558" s="1"/>
  <c r="M232" i="558" s="1"/>
  <c r="J232" i="558" a="1"/>
  <c r="J232" i="558" s="1"/>
  <c r="H232" i="558"/>
  <c r="V231" i="558"/>
  <c r="W231" i="558" s="1"/>
  <c r="N231" i="558"/>
  <c r="K231" i="558" a="1"/>
  <c r="K231" i="558" s="1"/>
  <c r="M231" i="558" s="1"/>
  <c r="J231" i="558" a="1"/>
  <c r="J231" i="558" s="1"/>
  <c r="H231" i="558"/>
  <c r="V230" i="558"/>
  <c r="W230" i="558" s="1"/>
  <c r="N230" i="558"/>
  <c r="K230" i="558" a="1"/>
  <c r="K230" i="558" s="1"/>
  <c r="M230" i="558" s="1"/>
  <c r="J230" i="558" a="1"/>
  <c r="J230" i="558" s="1"/>
  <c r="H230" i="558"/>
  <c r="V229" i="558"/>
  <c r="W229" i="558" s="1"/>
  <c r="N229" i="558"/>
  <c r="K229" i="558" a="1"/>
  <c r="K229" i="558" s="1"/>
  <c r="M229" i="558" s="1"/>
  <c r="J229" i="558" a="1"/>
  <c r="J229" i="558" s="1"/>
  <c r="H229" i="558"/>
  <c r="V228" i="558"/>
  <c r="W228" i="558" s="1"/>
  <c r="N228" i="558"/>
  <c r="K228" i="558" a="1"/>
  <c r="K228" i="558" s="1"/>
  <c r="M228" i="558" s="1"/>
  <c r="J228" i="558" a="1"/>
  <c r="J228" i="558" s="1"/>
  <c r="H228" i="558"/>
  <c r="N227" i="558"/>
  <c r="K227" i="558" a="1"/>
  <c r="K227" i="558" s="1"/>
  <c r="M227" i="558" s="1"/>
  <c r="H227" i="558"/>
  <c r="N226" i="558"/>
  <c r="K226" i="558" a="1"/>
  <c r="K226" i="558" s="1"/>
  <c r="M226" i="558" s="1"/>
  <c r="H226" i="558"/>
  <c r="N225" i="558"/>
  <c r="K225" i="558" a="1"/>
  <c r="K225" i="558" s="1"/>
  <c r="M225" i="558" s="1"/>
  <c r="H225" i="558"/>
  <c r="N224" i="558"/>
  <c r="K224" i="558" a="1"/>
  <c r="K224" i="558" s="1"/>
  <c r="M224" i="558" s="1"/>
  <c r="H224" i="558"/>
  <c r="N223" i="558"/>
  <c r="K223" i="558" a="1"/>
  <c r="K223" i="558" s="1"/>
  <c r="M223" i="558" s="1"/>
  <c r="H223" i="558"/>
  <c r="N222" i="558"/>
  <c r="K222" i="558"/>
  <c r="M222" i="558" s="1"/>
  <c r="K222" i="558" a="1"/>
  <c r="H222" i="558"/>
  <c r="N221" i="558"/>
  <c r="K221" i="558" a="1"/>
  <c r="K221" i="558" s="1"/>
  <c r="M221" i="558" s="1"/>
  <c r="H221" i="558"/>
  <c r="N220" i="558"/>
  <c r="K220" i="558" a="1"/>
  <c r="K220" i="558" s="1"/>
  <c r="M220" i="558" s="1"/>
  <c r="H220" i="558"/>
  <c r="V219" i="558"/>
  <c r="W219" i="558" s="1"/>
  <c r="N219" i="558"/>
  <c r="K219" i="558" a="1"/>
  <c r="K219" i="558" s="1"/>
  <c r="M219" i="558" s="1"/>
  <c r="J219" i="558" a="1"/>
  <c r="J219" i="558" s="1"/>
  <c r="H219" i="558"/>
  <c r="V218" i="558"/>
  <c r="W218" i="558" s="1"/>
  <c r="N218" i="558"/>
  <c r="K218" i="558" a="1"/>
  <c r="K218" i="558" s="1"/>
  <c r="M218" i="558" s="1"/>
  <c r="J218" i="558" a="1"/>
  <c r="J218" i="558" s="1"/>
  <c r="H218" i="558"/>
  <c r="V217" i="558"/>
  <c r="W217" i="558" s="1"/>
  <c r="N217" i="558"/>
  <c r="K217" i="558" a="1"/>
  <c r="K217" i="558" s="1"/>
  <c r="M217" i="558" s="1"/>
  <c r="J217" i="558" a="1"/>
  <c r="J217" i="558" s="1"/>
  <c r="H217" i="558"/>
  <c r="V216" i="558"/>
  <c r="W216" i="558" s="1"/>
  <c r="N216" i="558"/>
  <c r="K216" i="558" a="1"/>
  <c r="K216" i="558" s="1"/>
  <c r="M216" i="558" s="1"/>
  <c r="J216" i="558" a="1"/>
  <c r="J216" i="558" s="1"/>
  <c r="H216" i="558"/>
  <c r="V215" i="558"/>
  <c r="W215" i="558" s="1"/>
  <c r="N215" i="558"/>
  <c r="K215" i="558" a="1"/>
  <c r="K215" i="558" s="1"/>
  <c r="M215" i="558" s="1"/>
  <c r="J215" i="558" a="1"/>
  <c r="J215" i="558" s="1"/>
  <c r="H215" i="558"/>
  <c r="V214" i="558"/>
  <c r="W214" i="558" s="1"/>
  <c r="N214" i="558"/>
  <c r="K214" i="558" a="1"/>
  <c r="K214" i="558" s="1"/>
  <c r="M214" i="558" s="1"/>
  <c r="J214" i="558" a="1"/>
  <c r="J214" i="558" s="1"/>
  <c r="H214" i="558"/>
  <c r="V213" i="558"/>
  <c r="W213" i="558" s="1"/>
  <c r="N213" i="558"/>
  <c r="K213" i="558" a="1"/>
  <c r="K213" i="558" s="1"/>
  <c r="M213" i="558" s="1"/>
  <c r="J213" i="558" a="1"/>
  <c r="J213" i="558" s="1"/>
  <c r="H213" i="558"/>
  <c r="V212" i="558"/>
  <c r="W212" i="558" s="1"/>
  <c r="N212" i="558"/>
  <c r="K212" i="558" a="1"/>
  <c r="K212" i="558" s="1"/>
  <c r="M212" i="558" s="1"/>
  <c r="J212" i="558" a="1"/>
  <c r="J212" i="558" s="1"/>
  <c r="H212" i="558"/>
  <c r="V211" i="558"/>
  <c r="W211" i="558" s="1"/>
  <c r="N211" i="558"/>
  <c r="K211" i="558" a="1"/>
  <c r="K211" i="558" s="1"/>
  <c r="M211" i="558" s="1"/>
  <c r="J211" i="558" a="1"/>
  <c r="J211" i="558" s="1"/>
  <c r="H211" i="558"/>
  <c r="V210" i="558"/>
  <c r="W210" i="558" s="1"/>
  <c r="N210" i="558"/>
  <c r="K210" i="558" a="1"/>
  <c r="K210" i="558" s="1"/>
  <c r="M210" i="558" s="1"/>
  <c r="J210" i="558" a="1"/>
  <c r="J210" i="558" s="1"/>
  <c r="H210" i="558"/>
  <c r="V209" i="558"/>
  <c r="W209" i="558" s="1"/>
  <c r="N209" i="558"/>
  <c r="K209" i="558" a="1"/>
  <c r="K209" i="558" s="1"/>
  <c r="M209" i="558" s="1"/>
  <c r="J209" i="558" a="1"/>
  <c r="J209" i="558" s="1"/>
  <c r="H209" i="558"/>
  <c r="V208" i="558"/>
  <c r="W208" i="558" s="1"/>
  <c r="N208" i="558"/>
  <c r="K208" i="558" a="1"/>
  <c r="K208" i="558" s="1"/>
  <c r="M208" i="558" s="1"/>
  <c r="J208" i="558" a="1"/>
  <c r="J208" i="558" s="1"/>
  <c r="H208" i="558"/>
  <c r="H207" i="558"/>
  <c r="H206" i="558"/>
  <c r="H205" i="558"/>
  <c r="V204" i="558"/>
  <c r="W204" i="558" s="1"/>
  <c r="N204" i="558"/>
  <c r="K204" i="558" a="1"/>
  <c r="K204" i="558" s="1"/>
  <c r="M204" i="558" s="1"/>
  <c r="J204" i="558" a="1"/>
  <c r="J204" i="558" s="1"/>
  <c r="H204" i="558"/>
  <c r="V203" i="558"/>
  <c r="W203" i="558" s="1"/>
  <c r="N203" i="558"/>
  <c r="K203" i="558" a="1"/>
  <c r="K203" i="558" s="1"/>
  <c r="M203" i="558" s="1"/>
  <c r="J203" i="558" a="1"/>
  <c r="J203" i="558" s="1"/>
  <c r="H203" i="558"/>
  <c r="V202" i="558"/>
  <c r="W202" i="558" s="1"/>
  <c r="N202" i="558"/>
  <c r="K202" i="558" a="1"/>
  <c r="K202" i="558" s="1"/>
  <c r="M202" i="558" s="1"/>
  <c r="J202" i="558" a="1"/>
  <c r="J202" i="558" s="1"/>
  <c r="H202" i="558"/>
  <c r="H201" i="558"/>
  <c r="V200" i="558"/>
  <c r="N200" i="558"/>
  <c r="N257" i="558" s="1"/>
  <c r="K200" i="558" a="1"/>
  <c r="K200" i="558" s="1"/>
  <c r="J200" i="558" a="1"/>
  <c r="J200" i="558" s="1"/>
  <c r="H200" i="558"/>
  <c r="AA199" i="558"/>
  <c r="AA335" i="558" s="1"/>
  <c r="Z199" i="558"/>
  <c r="Z335" i="558" s="1"/>
  <c r="Y199" i="558"/>
  <c r="Y335" i="558" s="1"/>
  <c r="X199" i="558"/>
  <c r="X335" i="558" s="1"/>
  <c r="U199" i="558"/>
  <c r="U335" i="558" s="1"/>
  <c r="T199" i="558"/>
  <c r="T335" i="558" s="1"/>
  <c r="S199" i="558"/>
  <c r="S335" i="558" s="1"/>
  <c r="R199" i="558"/>
  <c r="R335" i="558" s="1"/>
  <c r="Q199" i="558"/>
  <c r="Q335" i="558" s="1"/>
  <c r="P199" i="558"/>
  <c r="X338" i="558" s="1"/>
  <c r="O199" i="558"/>
  <c r="O335" i="558" s="1"/>
  <c r="I199" i="558"/>
  <c r="G199" i="558"/>
  <c r="V198" i="558"/>
  <c r="W198" i="558" s="1"/>
  <c r="N198" i="558"/>
  <c r="K198" i="558" a="1"/>
  <c r="K198" i="558" s="1"/>
  <c r="M198" i="558" s="1"/>
  <c r="J198" i="558" a="1"/>
  <c r="J198" i="558" s="1"/>
  <c r="H198" i="558"/>
  <c r="V197" i="558"/>
  <c r="W197" i="558" s="1"/>
  <c r="N197" i="558"/>
  <c r="K197" i="558" a="1"/>
  <c r="K197" i="558" s="1"/>
  <c r="M197" i="558" s="1"/>
  <c r="J197" i="558" a="1"/>
  <c r="J197" i="558" s="1"/>
  <c r="H197" i="558"/>
  <c r="K196" i="558"/>
  <c r="M196" i="558" s="1"/>
  <c r="K196" i="558" a="1"/>
  <c r="H196" i="558"/>
  <c r="K195" i="558" a="1"/>
  <c r="K195" i="558" s="1"/>
  <c r="M195" i="558" s="1"/>
  <c r="H195" i="558"/>
  <c r="K194" i="558" a="1"/>
  <c r="K194" i="558" s="1"/>
  <c r="M194" i="558" s="1"/>
  <c r="H194" i="558"/>
  <c r="K193" i="558" a="1"/>
  <c r="K193" i="558" s="1"/>
  <c r="M193" i="558" s="1"/>
  <c r="H193" i="558"/>
  <c r="W192" i="558"/>
  <c r="V192" i="558"/>
  <c r="N192" i="558"/>
  <c r="K192" i="558" a="1"/>
  <c r="K192" i="558" s="1"/>
  <c r="M192" i="558" s="1"/>
  <c r="J192" i="558" a="1"/>
  <c r="J192" i="558" s="1"/>
  <c r="H192" i="558"/>
  <c r="V191" i="558"/>
  <c r="W191" i="558" s="1"/>
  <c r="N191" i="558"/>
  <c r="K191" i="558" a="1"/>
  <c r="K191" i="558" s="1"/>
  <c r="M191" i="558" s="1"/>
  <c r="J191" i="558" a="1"/>
  <c r="J191" i="558" s="1"/>
  <c r="H191" i="558"/>
  <c r="W190" i="558"/>
  <c r="V190" i="558"/>
  <c r="N190" i="558"/>
  <c r="K190" i="558" a="1"/>
  <c r="K190" i="558" s="1"/>
  <c r="M190" i="558" s="1"/>
  <c r="J190" i="558" a="1"/>
  <c r="J190" i="558" s="1"/>
  <c r="H190" i="558"/>
  <c r="N189" i="558"/>
  <c r="K189" i="558" a="1"/>
  <c r="K189" i="558" s="1"/>
  <c r="M189" i="558" s="1"/>
  <c r="J189" i="558" a="1"/>
  <c r="J189" i="558" s="1"/>
  <c r="H189" i="558"/>
  <c r="N188" i="558"/>
  <c r="K188" i="558" a="1"/>
  <c r="K188" i="558" s="1"/>
  <c r="M188" i="558" s="1"/>
  <c r="J188" i="558" a="1"/>
  <c r="J188" i="558" s="1"/>
  <c r="H188" i="558"/>
  <c r="V187" i="558"/>
  <c r="W187" i="558" s="1"/>
  <c r="N187" i="558"/>
  <c r="K187" i="558"/>
  <c r="M187" i="558" s="1"/>
  <c r="K187" i="558" a="1"/>
  <c r="J187" i="558" a="1"/>
  <c r="J187" i="558" s="1"/>
  <c r="H187" i="558"/>
  <c r="W186" i="558"/>
  <c r="V186" i="558"/>
  <c r="N186" i="558"/>
  <c r="K186" i="558" a="1"/>
  <c r="K186" i="558" s="1"/>
  <c r="M186" i="558" s="1"/>
  <c r="J186" i="558" a="1"/>
  <c r="J186" i="558" s="1"/>
  <c r="H186" i="558"/>
  <c r="N185" i="558"/>
  <c r="K185" i="558" a="1"/>
  <c r="K185" i="558" s="1"/>
  <c r="M185" i="558" s="1"/>
  <c r="H185" i="558"/>
  <c r="N184" i="558"/>
  <c r="K184" i="558" a="1"/>
  <c r="K184" i="558" s="1"/>
  <c r="M184" i="558" s="1"/>
  <c r="H184" i="558"/>
  <c r="W183" i="558"/>
  <c r="V183" i="558"/>
  <c r="N183" i="558"/>
  <c r="K183" i="558" a="1"/>
  <c r="K183" i="558" s="1"/>
  <c r="M183" i="558" s="1"/>
  <c r="J183" i="558" a="1"/>
  <c r="J183" i="558" s="1"/>
  <c r="H183" i="558"/>
  <c r="V182" i="558"/>
  <c r="W182" i="558" s="1"/>
  <c r="N182" i="558"/>
  <c r="K182" i="558"/>
  <c r="M182" i="558" s="1"/>
  <c r="K182" i="558" a="1"/>
  <c r="J182" i="558" a="1"/>
  <c r="J182" i="558" s="1"/>
  <c r="H182" i="558"/>
  <c r="W181" i="558"/>
  <c r="V181" i="558"/>
  <c r="N181" i="558"/>
  <c r="K181" i="558" a="1"/>
  <c r="K181" i="558" s="1"/>
  <c r="M181" i="558" s="1"/>
  <c r="J181" i="558" a="1"/>
  <c r="J181" i="558" s="1"/>
  <c r="H181" i="558"/>
  <c r="V180" i="558"/>
  <c r="W180" i="558" s="1"/>
  <c r="N180" i="558"/>
  <c r="K180" i="558"/>
  <c r="M180" i="558" s="1"/>
  <c r="K180" i="558" a="1"/>
  <c r="J180" i="558" a="1"/>
  <c r="J180" i="558" s="1"/>
  <c r="H180" i="558"/>
  <c r="W179" i="558"/>
  <c r="V179" i="558"/>
  <c r="N179" i="558"/>
  <c r="K179" i="558" a="1"/>
  <c r="K179" i="558" s="1"/>
  <c r="M179" i="558" s="1"/>
  <c r="J179" i="558" a="1"/>
  <c r="J179" i="558" s="1"/>
  <c r="H179" i="558"/>
  <c r="V178" i="558"/>
  <c r="V199" i="558" s="1"/>
  <c r="N178" i="558"/>
  <c r="K178" i="558"/>
  <c r="K178" i="558" a="1"/>
  <c r="J178" i="558" a="1"/>
  <c r="J178" i="558" s="1"/>
  <c r="H178" i="558"/>
  <c r="X171" i="558"/>
  <c r="Q529" i="558" s="1"/>
  <c r="X170" i="558"/>
  <c r="G170" i="558"/>
  <c r="C170" i="558"/>
  <c r="X169" i="558"/>
  <c r="I169" i="558"/>
  <c r="E169" i="558"/>
  <c r="K169" i="558" s="1"/>
  <c r="M169" i="558" s="1"/>
  <c r="I168" i="558"/>
  <c r="E168" i="558"/>
  <c r="K168" i="558" s="1"/>
  <c r="M168" i="558" s="1"/>
  <c r="I167" i="558"/>
  <c r="E167" i="558"/>
  <c r="K167" i="558" s="1"/>
  <c r="M167" i="558" s="1"/>
  <c r="X166" i="558"/>
  <c r="I166" i="558"/>
  <c r="I170" i="558" s="1"/>
  <c r="E166" i="558"/>
  <c r="AA163" i="558"/>
  <c r="Z163" i="558"/>
  <c r="Y163" i="558"/>
  <c r="X163" i="558"/>
  <c r="U163" i="558"/>
  <c r="T163" i="558"/>
  <c r="S163" i="558"/>
  <c r="R163" i="558"/>
  <c r="Q163" i="558"/>
  <c r="P163" i="558"/>
  <c r="O163" i="558"/>
  <c r="I163" i="558"/>
  <c r="G163" i="558"/>
  <c r="C529" i="558" s="1"/>
  <c r="H162" i="558"/>
  <c r="H161" i="558"/>
  <c r="H160" i="558"/>
  <c r="W159" i="558"/>
  <c r="V159" i="558"/>
  <c r="N159" i="558"/>
  <c r="K159" i="558" a="1"/>
  <c r="K159" i="558" s="1"/>
  <c r="J159" i="558" a="1"/>
  <c r="J159" i="558" s="1"/>
  <c r="D159" i="558"/>
  <c r="H159" i="558" s="1"/>
  <c r="V158" i="558"/>
  <c r="W158" i="558" s="1"/>
  <c r="N158" i="558"/>
  <c r="K158" i="558" a="1"/>
  <c r="K158" i="558" s="1"/>
  <c r="M158" i="558" s="1"/>
  <c r="J158" i="558" a="1"/>
  <c r="J158" i="558" s="1"/>
  <c r="H158" i="558"/>
  <c r="H157" i="558"/>
  <c r="H156" i="558"/>
  <c r="V155" i="558"/>
  <c r="W155" i="558" s="1"/>
  <c r="N155" i="558"/>
  <c r="K155" i="558" a="1"/>
  <c r="K155" i="558" s="1"/>
  <c r="M155" i="558" s="1"/>
  <c r="J155" i="558" a="1"/>
  <c r="J155" i="558" s="1"/>
  <c r="H155" i="558"/>
  <c r="V154" i="558"/>
  <c r="W154" i="558" s="1"/>
  <c r="N154" i="558"/>
  <c r="K154" i="558" a="1"/>
  <c r="K154" i="558" s="1"/>
  <c r="M154" i="558" s="1"/>
  <c r="J154" i="558" a="1"/>
  <c r="J154" i="558" s="1"/>
  <c r="H154" i="558"/>
  <c r="H153" i="558"/>
  <c r="V152" i="558"/>
  <c r="W152" i="558" s="1"/>
  <c r="N152" i="558"/>
  <c r="K152" i="558" a="1"/>
  <c r="K152" i="558" s="1"/>
  <c r="M152" i="558" s="1"/>
  <c r="J152" i="558" a="1"/>
  <c r="J152" i="558" s="1"/>
  <c r="H152" i="558"/>
  <c r="V151" i="558"/>
  <c r="W151" i="558" s="1"/>
  <c r="N151" i="558"/>
  <c r="K151" i="558"/>
  <c r="M151" i="558" s="1"/>
  <c r="K151" i="558" a="1"/>
  <c r="J151" i="558"/>
  <c r="J151" i="558" a="1"/>
  <c r="H151" i="558"/>
  <c r="V150" i="558"/>
  <c r="W150" i="558" s="1"/>
  <c r="N150" i="558"/>
  <c r="K150" i="558" a="1"/>
  <c r="K150" i="558" s="1"/>
  <c r="M150" i="558" s="1"/>
  <c r="J150" i="558" a="1"/>
  <c r="J150" i="558" s="1"/>
  <c r="H150" i="558"/>
  <c r="W149" i="558"/>
  <c r="V149" i="558"/>
  <c r="V163" i="558" s="1"/>
  <c r="W163" i="558" s="1"/>
  <c r="N149" i="558"/>
  <c r="N163" i="558" s="1"/>
  <c r="K149" i="558" a="1"/>
  <c r="K149" i="558" s="1"/>
  <c r="K163" i="558" s="1"/>
  <c r="J149" i="558" a="1"/>
  <c r="J149" i="558" s="1"/>
  <c r="H149" i="558"/>
  <c r="H163" i="558" s="1"/>
  <c r="AA148" i="558"/>
  <c r="Z148" i="558"/>
  <c r="Y148" i="558"/>
  <c r="X148" i="558"/>
  <c r="U148" i="558"/>
  <c r="T148" i="558"/>
  <c r="S148" i="558"/>
  <c r="Q148" i="558"/>
  <c r="P148" i="558"/>
  <c r="O148" i="558"/>
  <c r="I148" i="558"/>
  <c r="G148" i="558"/>
  <c r="C528" i="558" s="1"/>
  <c r="V147" i="558"/>
  <c r="W147" i="558" s="1"/>
  <c r="N147" i="558"/>
  <c r="K147" i="558" a="1"/>
  <c r="K147" i="558" s="1"/>
  <c r="M147" i="558" s="1"/>
  <c r="J147" i="558" a="1"/>
  <c r="J147" i="558" s="1"/>
  <c r="H147" i="558"/>
  <c r="K146" i="558" a="1"/>
  <c r="K146" i="558" s="1"/>
  <c r="H146" i="558"/>
  <c r="K145" i="558" a="1"/>
  <c r="K145" i="558" s="1"/>
  <c r="H145" i="558"/>
  <c r="K144" i="558"/>
  <c r="K144" i="558" a="1"/>
  <c r="H144" i="558"/>
  <c r="K143" i="558" a="1"/>
  <c r="K143" i="558" s="1"/>
  <c r="H143" i="558"/>
  <c r="V142" i="558"/>
  <c r="W142" i="558" s="1"/>
  <c r="N142" i="558"/>
  <c r="K142" i="558" a="1"/>
  <c r="K142" i="558" s="1"/>
  <c r="M142" i="558" s="1"/>
  <c r="J142" i="558" a="1"/>
  <c r="J142" i="558" s="1"/>
  <c r="H142" i="558"/>
  <c r="V141" i="558"/>
  <c r="W141" i="558" s="1"/>
  <c r="N141" i="558"/>
  <c r="K141" i="558" a="1"/>
  <c r="K141" i="558" s="1"/>
  <c r="M141" i="558" s="1"/>
  <c r="J141" i="558" a="1"/>
  <c r="J141" i="558" s="1"/>
  <c r="H141" i="558"/>
  <c r="V140" i="558"/>
  <c r="W140" i="558" s="1"/>
  <c r="N140" i="558"/>
  <c r="K140" i="558" a="1"/>
  <c r="K140" i="558" s="1"/>
  <c r="M140" i="558" s="1"/>
  <c r="J140" i="558" a="1"/>
  <c r="J140" i="558" s="1"/>
  <c r="H140" i="558"/>
  <c r="V139" i="558"/>
  <c r="W139" i="558" s="1"/>
  <c r="N139" i="558"/>
  <c r="K139" i="558" a="1"/>
  <c r="K139" i="558" s="1"/>
  <c r="M139" i="558" s="1"/>
  <c r="J139" i="558" a="1"/>
  <c r="J139" i="558" s="1"/>
  <c r="H139" i="558"/>
  <c r="V138" i="558"/>
  <c r="V148" i="558" s="1"/>
  <c r="W148" i="558" s="1"/>
  <c r="N138" i="558"/>
  <c r="N148" i="558" s="1"/>
  <c r="K138" i="558" a="1"/>
  <c r="K138" i="558" s="1"/>
  <c r="J138" i="558" a="1"/>
  <c r="J138" i="558" s="1"/>
  <c r="H138" i="558"/>
  <c r="H148" i="558" s="1"/>
  <c r="AA137" i="558"/>
  <c r="Z137" i="558"/>
  <c r="Y137" i="558"/>
  <c r="X137" i="558"/>
  <c r="U137" i="558"/>
  <c r="T137" i="558"/>
  <c r="S137" i="558"/>
  <c r="Q137" i="558"/>
  <c r="P137" i="558"/>
  <c r="O137" i="558"/>
  <c r="R169" i="558" s="1"/>
  <c r="I137" i="558"/>
  <c r="G137" i="558"/>
  <c r="C527" i="558" s="1"/>
  <c r="V136" i="558"/>
  <c r="W136" i="558" s="1"/>
  <c r="N136" i="558"/>
  <c r="K136" i="558" a="1"/>
  <c r="K136" i="558" s="1"/>
  <c r="M136" i="558" s="1"/>
  <c r="J136" i="558" a="1"/>
  <c r="J136" i="558" s="1"/>
  <c r="H136" i="558"/>
  <c r="W135" i="558"/>
  <c r="V135" i="558"/>
  <c r="N135" i="558"/>
  <c r="K135" i="558" a="1"/>
  <c r="K135" i="558" s="1"/>
  <c r="M135" i="558" s="1"/>
  <c r="J135" i="558" a="1"/>
  <c r="J135" i="558" s="1"/>
  <c r="H135" i="558"/>
  <c r="V134" i="558"/>
  <c r="W134" i="558" s="1"/>
  <c r="N134" i="558"/>
  <c r="K134" i="558" a="1"/>
  <c r="K134" i="558" s="1"/>
  <c r="M134" i="558" s="1"/>
  <c r="J134" i="558" a="1"/>
  <c r="J134" i="558" s="1"/>
  <c r="H134" i="558"/>
  <c r="V133" i="558"/>
  <c r="W133" i="558" s="1"/>
  <c r="N133" i="558"/>
  <c r="K133" i="558"/>
  <c r="M133" i="558" s="1"/>
  <c r="K133" i="558" a="1"/>
  <c r="J133" i="558"/>
  <c r="J133" i="558" a="1"/>
  <c r="H133" i="558"/>
  <c r="V132" i="558"/>
  <c r="W132" i="558" s="1"/>
  <c r="N132" i="558"/>
  <c r="K132" i="558" a="1"/>
  <c r="K132" i="558" s="1"/>
  <c r="M132" i="558" s="1"/>
  <c r="J132" i="558" a="1"/>
  <c r="J132" i="558" s="1"/>
  <c r="H132" i="558"/>
  <c r="W131" i="558"/>
  <c r="V131" i="558"/>
  <c r="N131" i="558"/>
  <c r="K131" i="558" a="1"/>
  <c r="K131" i="558" s="1"/>
  <c r="M131" i="558" s="1"/>
  <c r="J131" i="558" a="1"/>
  <c r="J131" i="558" s="1"/>
  <c r="H131" i="558"/>
  <c r="V130" i="558"/>
  <c r="W130" i="558" s="1"/>
  <c r="N130" i="558"/>
  <c r="K130" i="558" a="1"/>
  <c r="K130" i="558" s="1"/>
  <c r="M130" i="558" s="1"/>
  <c r="J130" i="558" a="1"/>
  <c r="J130" i="558" s="1"/>
  <c r="H130" i="558"/>
  <c r="V129" i="558"/>
  <c r="W129" i="558" s="1"/>
  <c r="N129" i="558"/>
  <c r="K129" i="558"/>
  <c r="M129" i="558" s="1"/>
  <c r="K129" i="558" a="1"/>
  <c r="J129" i="558"/>
  <c r="J129" i="558" a="1"/>
  <c r="H129" i="558"/>
  <c r="V128" i="558"/>
  <c r="W128" i="558" s="1"/>
  <c r="N128" i="558"/>
  <c r="K128" i="558" a="1"/>
  <c r="K128" i="558" s="1"/>
  <c r="M128" i="558" s="1"/>
  <c r="J128" i="558" a="1"/>
  <c r="J128" i="558" s="1"/>
  <c r="H128" i="558"/>
  <c r="W127" i="558"/>
  <c r="V127" i="558"/>
  <c r="N127" i="558"/>
  <c r="K127" i="558" a="1"/>
  <c r="K127" i="558" s="1"/>
  <c r="M127" i="558" s="1"/>
  <c r="J127" i="558" a="1"/>
  <c r="J127" i="558" s="1"/>
  <c r="H127" i="558"/>
  <c r="V126" i="558"/>
  <c r="W126" i="558" s="1"/>
  <c r="N126" i="558"/>
  <c r="K126" i="558" a="1"/>
  <c r="K126" i="558" s="1"/>
  <c r="M126" i="558" s="1"/>
  <c r="J126" i="558" a="1"/>
  <c r="J126" i="558" s="1"/>
  <c r="H126" i="558"/>
  <c r="V125" i="558"/>
  <c r="W125" i="558" s="1"/>
  <c r="N125" i="558"/>
  <c r="K125" i="558"/>
  <c r="M125" i="558" s="1"/>
  <c r="K125" i="558" a="1"/>
  <c r="J125" i="558"/>
  <c r="J125" i="558" a="1"/>
  <c r="H125" i="558"/>
  <c r="V124" i="558"/>
  <c r="W124" i="558" s="1"/>
  <c r="N124" i="558"/>
  <c r="K124" i="558" a="1"/>
  <c r="K124" i="558" s="1"/>
  <c r="M124" i="558" s="1"/>
  <c r="J124" i="558" a="1"/>
  <c r="J124" i="558" s="1"/>
  <c r="H124" i="558"/>
  <c r="W123" i="558"/>
  <c r="V123" i="558"/>
  <c r="N123" i="558"/>
  <c r="K123" i="558" a="1"/>
  <c r="K123" i="558" s="1"/>
  <c r="M123" i="558" s="1"/>
  <c r="J123" i="558" a="1"/>
  <c r="J123" i="558" s="1"/>
  <c r="H123" i="558"/>
  <c r="V122" i="558"/>
  <c r="V137" i="558" s="1"/>
  <c r="W137" i="558" s="1"/>
  <c r="N122" i="558"/>
  <c r="K122" i="558" a="1"/>
  <c r="K122" i="558" s="1"/>
  <c r="J122" i="558" a="1"/>
  <c r="J122" i="558" s="1"/>
  <c r="H122" i="558"/>
  <c r="H137" i="558" s="1"/>
  <c r="AA121" i="558"/>
  <c r="Z121" i="558"/>
  <c r="Y121" i="558"/>
  <c r="X121" i="558"/>
  <c r="U121" i="558"/>
  <c r="T121" i="558"/>
  <c r="S121" i="558"/>
  <c r="R121" i="558"/>
  <c r="Q121" i="558"/>
  <c r="P121" i="558"/>
  <c r="O121" i="558"/>
  <c r="R168" i="558" s="1"/>
  <c r="I121" i="558"/>
  <c r="G121" i="558"/>
  <c r="C526" i="558" s="1"/>
  <c r="V120" i="558"/>
  <c r="W120" i="558" s="1"/>
  <c r="N120" i="558"/>
  <c r="K120" i="558" a="1"/>
  <c r="K120" i="558" s="1"/>
  <c r="M120" i="558" s="1"/>
  <c r="J120" i="558" a="1"/>
  <c r="J120" i="558" s="1"/>
  <c r="H120" i="558"/>
  <c r="V119" i="558"/>
  <c r="W119" i="558" s="1"/>
  <c r="N119" i="558"/>
  <c r="K119" i="558" a="1"/>
  <c r="K119" i="558" s="1"/>
  <c r="M119" i="558" s="1"/>
  <c r="J119" i="558" a="1"/>
  <c r="J119" i="558" s="1"/>
  <c r="H119" i="558"/>
  <c r="V118" i="558"/>
  <c r="W118" i="558" s="1"/>
  <c r="N118" i="558"/>
  <c r="K118" i="558" a="1"/>
  <c r="K118" i="558" s="1"/>
  <c r="M118" i="558" s="1"/>
  <c r="J118" i="558" a="1"/>
  <c r="J118" i="558" s="1"/>
  <c r="H118" i="558"/>
  <c r="K117" i="558" a="1"/>
  <c r="K117" i="558" s="1"/>
  <c r="H117" i="558"/>
  <c r="K116" i="558" a="1"/>
  <c r="K116" i="558" s="1"/>
  <c r="H116" i="558"/>
  <c r="K115" i="558"/>
  <c r="K115" i="558" a="1"/>
  <c r="H115" i="558"/>
  <c r="V114" i="558"/>
  <c r="W114" i="558" s="1"/>
  <c r="N114" i="558"/>
  <c r="K114" i="558" a="1"/>
  <c r="K114" i="558" s="1"/>
  <c r="M114" i="558" s="1"/>
  <c r="J114" i="558" a="1"/>
  <c r="J114" i="558" s="1"/>
  <c r="H114" i="558"/>
  <c r="V113" i="558"/>
  <c r="W113" i="558" s="1"/>
  <c r="N113" i="558"/>
  <c r="K113" i="558" a="1"/>
  <c r="K113" i="558" s="1"/>
  <c r="M113" i="558" s="1"/>
  <c r="J113" i="558" a="1"/>
  <c r="J113" i="558" s="1"/>
  <c r="H113" i="558"/>
  <c r="N112" i="558"/>
  <c r="K112" i="558" a="1"/>
  <c r="K112" i="558" s="1"/>
  <c r="M112" i="558" s="1"/>
  <c r="H112" i="558"/>
  <c r="N111" i="558"/>
  <c r="K111" i="558" a="1"/>
  <c r="K111" i="558" s="1"/>
  <c r="M111" i="558" s="1"/>
  <c r="H111" i="558"/>
  <c r="N110" i="558"/>
  <c r="K110" i="558" a="1"/>
  <c r="K110" i="558" s="1"/>
  <c r="M110" i="558" s="1"/>
  <c r="H110" i="558"/>
  <c r="N109" i="558"/>
  <c r="K109" i="558" a="1"/>
  <c r="K109" i="558" s="1"/>
  <c r="M109" i="558" s="1"/>
  <c r="H109" i="558"/>
  <c r="N108" i="558"/>
  <c r="K108" i="558" a="1"/>
  <c r="K108" i="558" s="1"/>
  <c r="M108" i="558" s="1"/>
  <c r="H108" i="558"/>
  <c r="N107" i="558"/>
  <c r="K107" i="558"/>
  <c r="M107" i="558" s="1"/>
  <c r="K107" i="558" a="1"/>
  <c r="H107" i="558"/>
  <c r="V106" i="558"/>
  <c r="W106" i="558" s="1"/>
  <c r="N106" i="558"/>
  <c r="K106" i="558" a="1"/>
  <c r="K106" i="558" s="1"/>
  <c r="M106" i="558" s="1"/>
  <c r="J106" i="558" a="1"/>
  <c r="J106" i="558" s="1"/>
  <c r="H106" i="558"/>
  <c r="V105" i="558"/>
  <c r="W105" i="558" s="1"/>
  <c r="N105" i="558"/>
  <c r="K105" i="558" a="1"/>
  <c r="K105" i="558" s="1"/>
  <c r="M105" i="558" s="1"/>
  <c r="J105" i="558" a="1"/>
  <c r="J105" i="558" s="1"/>
  <c r="H105" i="558"/>
  <c r="V104" i="558"/>
  <c r="W104" i="558" s="1"/>
  <c r="N104" i="558"/>
  <c r="K104" i="558" a="1"/>
  <c r="K104" i="558" s="1"/>
  <c r="M104" i="558" s="1"/>
  <c r="J104" i="558" a="1"/>
  <c r="J104" i="558" s="1"/>
  <c r="H104" i="558"/>
  <c r="V103" i="558"/>
  <c r="W103" i="558" s="1"/>
  <c r="N103" i="558"/>
  <c r="K103" i="558"/>
  <c r="M103" i="558" s="1"/>
  <c r="K103" i="558" a="1"/>
  <c r="J103" i="558"/>
  <c r="J103" i="558" a="1"/>
  <c r="H103" i="558"/>
  <c r="V102" i="558"/>
  <c r="W102" i="558" s="1"/>
  <c r="N102" i="558"/>
  <c r="K102" i="558" a="1"/>
  <c r="K102" i="558" s="1"/>
  <c r="M102" i="558" s="1"/>
  <c r="J102" i="558" a="1"/>
  <c r="J102" i="558" s="1"/>
  <c r="H102" i="558"/>
  <c r="V101" i="558"/>
  <c r="W101" i="558" s="1"/>
  <c r="N101" i="558"/>
  <c r="K101" i="558"/>
  <c r="M101" i="558" s="1"/>
  <c r="K101" i="558" a="1"/>
  <c r="J101" i="558"/>
  <c r="J101" i="558" a="1"/>
  <c r="H101" i="558"/>
  <c r="V100" i="558"/>
  <c r="W100" i="558" s="1"/>
  <c r="N100" i="558"/>
  <c r="K100" i="558" a="1"/>
  <c r="K100" i="558" s="1"/>
  <c r="M100" i="558" s="1"/>
  <c r="J100" i="558" a="1"/>
  <c r="J100" i="558" s="1"/>
  <c r="H100" i="558"/>
  <c r="W99" i="558"/>
  <c r="V99" i="558"/>
  <c r="N99" i="558"/>
  <c r="K99" i="558" a="1"/>
  <c r="K99" i="558" s="1"/>
  <c r="M99" i="558" s="1"/>
  <c r="J99" i="558" a="1"/>
  <c r="J99" i="558" s="1"/>
  <c r="H99" i="558"/>
  <c r="V98" i="558"/>
  <c r="W98" i="558" s="1"/>
  <c r="N98" i="558"/>
  <c r="K98" i="558" a="1"/>
  <c r="K98" i="558" s="1"/>
  <c r="M98" i="558" s="1"/>
  <c r="J98" i="558" a="1"/>
  <c r="J98" i="558" s="1"/>
  <c r="H98" i="558"/>
  <c r="V97" i="558"/>
  <c r="W97" i="558" s="1"/>
  <c r="N97" i="558"/>
  <c r="K97" i="558"/>
  <c r="M97" i="558" s="1"/>
  <c r="K97" i="558" a="1"/>
  <c r="J97" i="558"/>
  <c r="J97" i="558" a="1"/>
  <c r="H97" i="558"/>
  <c r="V96" i="558"/>
  <c r="W96" i="558" s="1"/>
  <c r="N96" i="558"/>
  <c r="K96" i="558" a="1"/>
  <c r="K96" i="558" s="1"/>
  <c r="M96" i="558" s="1"/>
  <c r="J96" i="558" a="1"/>
  <c r="J96" i="558" s="1"/>
  <c r="H96" i="558"/>
  <c r="W95" i="558"/>
  <c r="V95" i="558"/>
  <c r="N95" i="558"/>
  <c r="K95" i="558" a="1"/>
  <c r="K95" i="558" s="1"/>
  <c r="M95" i="558" s="1"/>
  <c r="J95" i="558" a="1"/>
  <c r="J95" i="558" s="1"/>
  <c r="H95" i="558"/>
  <c r="K94" i="558"/>
  <c r="M94" i="558" s="1"/>
  <c r="K94" i="558" a="1"/>
  <c r="H94" i="558"/>
  <c r="V93" i="558"/>
  <c r="W93" i="558" s="1"/>
  <c r="N93" i="558"/>
  <c r="K93" i="558" a="1"/>
  <c r="K93" i="558" s="1"/>
  <c r="M93" i="558" s="1"/>
  <c r="J93" i="558" a="1"/>
  <c r="J93" i="558" s="1"/>
  <c r="H93" i="558"/>
  <c r="W92" i="558"/>
  <c r="V92" i="558"/>
  <c r="N92" i="558"/>
  <c r="K92" i="558" a="1"/>
  <c r="K92" i="558" s="1"/>
  <c r="M92" i="558" s="1"/>
  <c r="J92" i="558" a="1"/>
  <c r="J92" i="558" s="1"/>
  <c r="H92" i="558"/>
  <c r="V91" i="558"/>
  <c r="W91" i="558" s="1"/>
  <c r="N91" i="558"/>
  <c r="K91" i="558" a="1"/>
  <c r="K91" i="558" s="1"/>
  <c r="M91" i="558" s="1"/>
  <c r="J91" i="558" a="1"/>
  <c r="J91" i="558" s="1"/>
  <c r="H91" i="558"/>
  <c r="V90" i="558"/>
  <c r="W90" i="558" s="1"/>
  <c r="N90" i="558"/>
  <c r="K90" i="558"/>
  <c r="M90" i="558" s="1"/>
  <c r="K90" i="558" a="1"/>
  <c r="J90" i="558"/>
  <c r="J90" i="558" a="1"/>
  <c r="H90" i="558"/>
  <c r="V89" i="558"/>
  <c r="W89" i="558" s="1"/>
  <c r="N89" i="558"/>
  <c r="K89" i="558" a="1"/>
  <c r="K89" i="558" s="1"/>
  <c r="M89" i="558" s="1"/>
  <c r="J89" i="558" a="1"/>
  <c r="J89" i="558" s="1"/>
  <c r="H89" i="558"/>
  <c r="W88" i="558"/>
  <c r="V88" i="558"/>
  <c r="N88" i="558"/>
  <c r="K88" i="558" a="1"/>
  <c r="K88" i="558" s="1"/>
  <c r="M88" i="558" s="1"/>
  <c r="J88" i="558" a="1"/>
  <c r="J88" i="558" s="1"/>
  <c r="H88" i="558"/>
  <c r="V87" i="558"/>
  <c r="V121" i="558" s="1"/>
  <c r="W121" i="558" s="1"/>
  <c r="N87" i="558"/>
  <c r="K87" i="558" a="1"/>
  <c r="K87" i="558" s="1"/>
  <c r="J87" i="558" a="1"/>
  <c r="J87" i="558" s="1"/>
  <c r="H87" i="558"/>
  <c r="H121" i="558" s="1"/>
  <c r="AA86" i="558"/>
  <c r="Z86" i="558"/>
  <c r="Y86" i="558"/>
  <c r="X86" i="558"/>
  <c r="U86" i="558"/>
  <c r="T86" i="558"/>
  <c r="S86" i="558"/>
  <c r="R86" i="558"/>
  <c r="Q86" i="558"/>
  <c r="P86" i="558"/>
  <c r="O86" i="558"/>
  <c r="R167" i="558" s="1"/>
  <c r="I86" i="558"/>
  <c r="G86" i="558"/>
  <c r="C525" i="558" s="1"/>
  <c r="K85" i="558" a="1"/>
  <c r="K85" i="558" s="1"/>
  <c r="H85" i="558"/>
  <c r="K84" i="558" a="1"/>
  <c r="K84" i="558" s="1"/>
  <c r="H84" i="558"/>
  <c r="K83" i="558" a="1"/>
  <c r="K83" i="558" s="1"/>
  <c r="H83" i="558"/>
  <c r="K82" i="558" a="1"/>
  <c r="K82" i="558" s="1"/>
  <c r="H82" i="558"/>
  <c r="K81" i="558" a="1"/>
  <c r="K81" i="558" s="1"/>
  <c r="H81" i="558"/>
  <c r="K80" i="558" a="1"/>
  <c r="K80" i="558" s="1"/>
  <c r="H80" i="558"/>
  <c r="K79" i="558" a="1"/>
  <c r="K79" i="558" s="1"/>
  <c r="M79" i="558" s="1"/>
  <c r="H79" i="558"/>
  <c r="K78" i="558" a="1"/>
  <c r="K78" i="558" s="1"/>
  <c r="M78" i="558" s="1"/>
  <c r="H78" i="558"/>
  <c r="K77" i="558" a="1"/>
  <c r="K77" i="558" s="1"/>
  <c r="M77" i="558" s="1"/>
  <c r="H77" i="558"/>
  <c r="K76" i="558" a="1"/>
  <c r="K76" i="558" s="1"/>
  <c r="M76" i="558" s="1"/>
  <c r="H76" i="558"/>
  <c r="V75" i="558"/>
  <c r="W75" i="558" s="1"/>
  <c r="N75" i="558"/>
  <c r="K75" i="558" a="1"/>
  <c r="K75" i="558" s="1"/>
  <c r="M75" i="558" s="1"/>
  <c r="J75" i="558" a="1"/>
  <c r="J75" i="558" s="1"/>
  <c r="H75" i="558"/>
  <c r="V74" i="558"/>
  <c r="W74" i="558" s="1"/>
  <c r="N74" i="558"/>
  <c r="K74" i="558" a="1"/>
  <c r="K74" i="558" s="1"/>
  <c r="M74" i="558" s="1"/>
  <c r="J74" i="558" a="1"/>
  <c r="J74" i="558" s="1"/>
  <c r="H74" i="558"/>
  <c r="V73" i="558"/>
  <c r="W73" i="558" s="1"/>
  <c r="N73" i="558"/>
  <c r="K73" i="558" a="1"/>
  <c r="K73" i="558" s="1"/>
  <c r="M73" i="558" s="1"/>
  <c r="J73" i="558" a="1"/>
  <c r="J73" i="558" s="1"/>
  <c r="H73" i="558"/>
  <c r="V72" i="558"/>
  <c r="W72" i="558" s="1"/>
  <c r="N72" i="558"/>
  <c r="K72" i="558" a="1"/>
  <c r="K72" i="558" s="1"/>
  <c r="M72" i="558" s="1"/>
  <c r="J72" i="558" a="1"/>
  <c r="J72" i="558" s="1"/>
  <c r="H72" i="558"/>
  <c r="H71" i="558"/>
  <c r="V70" i="558"/>
  <c r="W70" i="558" s="1"/>
  <c r="N70" i="558"/>
  <c r="K70" i="558" a="1"/>
  <c r="K70" i="558" s="1"/>
  <c r="M70" i="558" s="1"/>
  <c r="J70" i="558" a="1"/>
  <c r="J70" i="558" s="1"/>
  <c r="H70" i="558"/>
  <c r="V69" i="558"/>
  <c r="W69" i="558" s="1"/>
  <c r="N69" i="558"/>
  <c r="K69" i="558" a="1"/>
  <c r="K69" i="558" s="1"/>
  <c r="M69" i="558" s="1"/>
  <c r="J69" i="558" a="1"/>
  <c r="J69" i="558" s="1"/>
  <c r="H69" i="558"/>
  <c r="K68" i="558" a="1"/>
  <c r="K68" i="558" s="1"/>
  <c r="H68" i="558"/>
  <c r="K67" i="558" a="1"/>
  <c r="K67" i="558" s="1"/>
  <c r="H67" i="558"/>
  <c r="V66" i="558"/>
  <c r="W66" i="558" s="1"/>
  <c r="N66" i="558"/>
  <c r="K66" i="558" a="1"/>
  <c r="K66" i="558" s="1"/>
  <c r="M66" i="558" s="1"/>
  <c r="J66" i="558" a="1"/>
  <c r="J66" i="558" s="1"/>
  <c r="H66" i="558"/>
  <c r="V65" i="558"/>
  <c r="W65" i="558" s="1"/>
  <c r="N65" i="558"/>
  <c r="K65" i="558" a="1"/>
  <c r="K65" i="558" s="1"/>
  <c r="M65" i="558" s="1"/>
  <c r="J65" i="558" a="1"/>
  <c r="J65" i="558" s="1"/>
  <c r="H65" i="558"/>
  <c r="V64" i="558"/>
  <c r="W64" i="558" s="1"/>
  <c r="N64" i="558"/>
  <c r="K64" i="558" a="1"/>
  <c r="K64" i="558" s="1"/>
  <c r="M64" i="558" s="1"/>
  <c r="J64" i="558" a="1"/>
  <c r="J64" i="558" s="1"/>
  <c r="H64" i="558"/>
  <c r="V63" i="558"/>
  <c r="W63" i="558" s="1"/>
  <c r="N63" i="558"/>
  <c r="K63" i="558" a="1"/>
  <c r="K63" i="558" s="1"/>
  <c r="M63" i="558" s="1"/>
  <c r="J63" i="558" a="1"/>
  <c r="J63" i="558" s="1"/>
  <c r="H63" i="558"/>
  <c r="V62" i="558"/>
  <c r="W62" i="558" s="1"/>
  <c r="N62" i="558"/>
  <c r="K62" i="558" a="1"/>
  <c r="K62" i="558" s="1"/>
  <c r="M62" i="558" s="1"/>
  <c r="J62" i="558" a="1"/>
  <c r="J62" i="558" s="1"/>
  <c r="H62" i="558"/>
  <c r="V61" i="558"/>
  <c r="W61" i="558" s="1"/>
  <c r="N61" i="558"/>
  <c r="K61" i="558" a="1"/>
  <c r="K61" i="558" s="1"/>
  <c r="M61" i="558" s="1"/>
  <c r="J61" i="558" a="1"/>
  <c r="J61" i="558" s="1"/>
  <c r="H61" i="558"/>
  <c r="V60" i="558"/>
  <c r="W60" i="558" s="1"/>
  <c r="N60" i="558"/>
  <c r="K60" i="558" a="1"/>
  <c r="K60" i="558" s="1"/>
  <c r="M60" i="558" s="1"/>
  <c r="J60" i="558" a="1"/>
  <c r="J60" i="558" s="1"/>
  <c r="H60" i="558"/>
  <c r="V59" i="558"/>
  <c r="W59" i="558" s="1"/>
  <c r="N59" i="558"/>
  <c r="K59" i="558" a="1"/>
  <c r="K59" i="558" s="1"/>
  <c r="M59" i="558" s="1"/>
  <c r="J59" i="558" a="1"/>
  <c r="J59" i="558" s="1"/>
  <c r="H59" i="558"/>
  <c r="W58" i="558"/>
  <c r="V58" i="558"/>
  <c r="N58" i="558"/>
  <c r="K58" i="558" a="1"/>
  <c r="K58" i="558" s="1"/>
  <c r="M58" i="558" s="1"/>
  <c r="J58" i="558" a="1"/>
  <c r="J58" i="558" s="1"/>
  <c r="H58" i="558"/>
  <c r="V57" i="558"/>
  <c r="W57" i="558" s="1"/>
  <c r="N57" i="558"/>
  <c r="K57" i="558" a="1"/>
  <c r="K57" i="558" s="1"/>
  <c r="M57" i="558" s="1"/>
  <c r="J57" i="558" a="1"/>
  <c r="J57" i="558" s="1"/>
  <c r="H57" i="558"/>
  <c r="K56" i="558" a="1"/>
  <c r="K56" i="558" s="1"/>
  <c r="M56" i="558" s="1"/>
  <c r="H56" i="558"/>
  <c r="K55" i="558" a="1"/>
  <c r="K55" i="558" s="1"/>
  <c r="M55" i="558" s="1"/>
  <c r="H55" i="558"/>
  <c r="K54" i="558" a="1"/>
  <c r="K54" i="558" s="1"/>
  <c r="M54" i="558" s="1"/>
  <c r="H54" i="558"/>
  <c r="K53" i="558" a="1"/>
  <c r="K53" i="558" s="1"/>
  <c r="M53" i="558" s="1"/>
  <c r="H53" i="558"/>
  <c r="N52" i="558"/>
  <c r="K52" i="558" a="1"/>
  <c r="K52" i="558" s="1"/>
  <c r="M52" i="558" s="1"/>
  <c r="H52" i="558"/>
  <c r="N51" i="558"/>
  <c r="K51" i="558" a="1"/>
  <c r="K51" i="558" s="1"/>
  <c r="M51" i="558" s="1"/>
  <c r="H51" i="558"/>
  <c r="N50" i="558"/>
  <c r="K50" i="558" a="1"/>
  <c r="K50" i="558" s="1"/>
  <c r="M50" i="558" s="1"/>
  <c r="H50" i="558"/>
  <c r="N49" i="558"/>
  <c r="K49" i="558" a="1"/>
  <c r="K49" i="558" s="1"/>
  <c r="M49" i="558" s="1"/>
  <c r="H49" i="558"/>
  <c r="V48" i="558"/>
  <c r="W48" i="558" s="1"/>
  <c r="N48" i="558"/>
  <c r="K48" i="558" a="1"/>
  <c r="K48" i="558" s="1"/>
  <c r="M48" i="558" s="1"/>
  <c r="J48" i="558" a="1"/>
  <c r="J48" i="558" s="1"/>
  <c r="H48" i="558"/>
  <c r="V47" i="558"/>
  <c r="W47" i="558" s="1"/>
  <c r="N47" i="558"/>
  <c r="K47" i="558" a="1"/>
  <c r="K47" i="558" s="1"/>
  <c r="M47" i="558" s="1"/>
  <c r="J47" i="558" a="1"/>
  <c r="J47" i="558" s="1"/>
  <c r="H47" i="558"/>
  <c r="V46" i="558"/>
  <c r="W46" i="558" s="1"/>
  <c r="N46" i="558"/>
  <c r="K46" i="558"/>
  <c r="M46" i="558" s="1"/>
  <c r="K46" i="558" a="1"/>
  <c r="J46" i="558" a="1"/>
  <c r="J46" i="558" s="1"/>
  <c r="H46" i="558"/>
  <c r="V45" i="558"/>
  <c r="W45" i="558" s="1"/>
  <c r="N45" i="558"/>
  <c r="K45" i="558" a="1"/>
  <c r="K45" i="558" s="1"/>
  <c r="M45" i="558" s="1"/>
  <c r="J45" i="558" a="1"/>
  <c r="J45" i="558" s="1"/>
  <c r="H45" i="558"/>
  <c r="V44" i="558"/>
  <c r="W44" i="558" s="1"/>
  <c r="N44" i="558"/>
  <c r="K44" i="558" a="1"/>
  <c r="K44" i="558" s="1"/>
  <c r="M44" i="558" s="1"/>
  <c r="J44" i="558" a="1"/>
  <c r="J44" i="558" s="1"/>
  <c r="H44" i="558"/>
  <c r="V43" i="558"/>
  <c r="W43" i="558" s="1"/>
  <c r="N43" i="558"/>
  <c r="K43" i="558" a="1"/>
  <c r="K43" i="558" s="1"/>
  <c r="M43" i="558" s="1"/>
  <c r="J43" i="558" a="1"/>
  <c r="J43" i="558" s="1"/>
  <c r="H43" i="558"/>
  <c r="V42" i="558"/>
  <c r="W42" i="558" s="1"/>
  <c r="N42" i="558"/>
  <c r="K42" i="558" a="1"/>
  <c r="K42" i="558" s="1"/>
  <c r="M42" i="558" s="1"/>
  <c r="J42" i="558" a="1"/>
  <c r="J42" i="558" s="1"/>
  <c r="H42" i="558"/>
  <c r="V41" i="558"/>
  <c r="W41" i="558" s="1"/>
  <c r="N41" i="558"/>
  <c r="K41" i="558" a="1"/>
  <c r="K41" i="558" s="1"/>
  <c r="M41" i="558" s="1"/>
  <c r="J41" i="558" a="1"/>
  <c r="J41" i="558" s="1"/>
  <c r="H41" i="558"/>
  <c r="V40" i="558"/>
  <c r="W40" i="558" s="1"/>
  <c r="N40" i="558"/>
  <c r="K40" i="558" a="1"/>
  <c r="K40" i="558" s="1"/>
  <c r="M40" i="558" s="1"/>
  <c r="J40" i="558" a="1"/>
  <c r="J40" i="558" s="1"/>
  <c r="H40" i="558"/>
  <c r="V39" i="558"/>
  <c r="W39" i="558" s="1"/>
  <c r="N39" i="558"/>
  <c r="K39" i="558" a="1"/>
  <c r="K39" i="558" s="1"/>
  <c r="M39" i="558" s="1"/>
  <c r="J39" i="558" a="1"/>
  <c r="J39" i="558" s="1"/>
  <c r="H39" i="558"/>
  <c r="V38" i="558"/>
  <c r="W38" i="558" s="1"/>
  <c r="N38" i="558"/>
  <c r="K38" i="558" a="1"/>
  <c r="K38" i="558" s="1"/>
  <c r="M38" i="558" s="1"/>
  <c r="J38" i="558" a="1"/>
  <c r="J38" i="558" s="1"/>
  <c r="H38" i="558"/>
  <c r="V37" i="558"/>
  <c r="W37" i="558" s="1"/>
  <c r="N37" i="558"/>
  <c r="K37" i="558" a="1"/>
  <c r="K37" i="558" s="1"/>
  <c r="M37" i="558" s="1"/>
  <c r="J37" i="558" a="1"/>
  <c r="J37" i="558" s="1"/>
  <c r="H37" i="558"/>
  <c r="H36" i="558"/>
  <c r="H35" i="558"/>
  <c r="H34" i="558"/>
  <c r="V33" i="558"/>
  <c r="W33" i="558" s="1"/>
  <c r="N33" i="558"/>
  <c r="K33" i="558" a="1"/>
  <c r="K33" i="558" s="1"/>
  <c r="M33" i="558" s="1"/>
  <c r="J33" i="558" a="1"/>
  <c r="J33" i="558" s="1"/>
  <c r="H33" i="558"/>
  <c r="W32" i="558"/>
  <c r="V32" i="558"/>
  <c r="N32" i="558"/>
  <c r="K32" i="558" a="1"/>
  <c r="K32" i="558" s="1"/>
  <c r="M32" i="558" s="1"/>
  <c r="J32" i="558" a="1"/>
  <c r="J32" i="558" s="1"/>
  <c r="H32" i="558"/>
  <c r="V31" i="558"/>
  <c r="W31" i="558" s="1"/>
  <c r="N31" i="558"/>
  <c r="K31" i="558" a="1"/>
  <c r="K31" i="558" s="1"/>
  <c r="M31" i="558" s="1"/>
  <c r="J31" i="558" a="1"/>
  <c r="J31" i="558" s="1"/>
  <c r="H31" i="558"/>
  <c r="K30" i="558" a="1"/>
  <c r="K30" i="558" s="1"/>
  <c r="H30" i="558"/>
  <c r="V29" i="558"/>
  <c r="N29" i="558"/>
  <c r="N86" i="558" s="1"/>
  <c r="K29" i="558" a="1"/>
  <c r="K29" i="558" s="1"/>
  <c r="J29" i="558" a="1"/>
  <c r="J29" i="558" s="1"/>
  <c r="H29" i="558"/>
  <c r="AA28" i="558"/>
  <c r="AA164" i="558" s="1"/>
  <c r="Z28" i="558"/>
  <c r="Z164" i="558" s="1"/>
  <c r="Y28" i="558"/>
  <c r="Y164" i="558" s="1"/>
  <c r="X28" i="558"/>
  <c r="X164" i="558" s="1"/>
  <c r="U28" i="558"/>
  <c r="U164" i="558" s="1"/>
  <c r="T28" i="558"/>
  <c r="T164" i="558" s="1"/>
  <c r="S28" i="558"/>
  <c r="S164" i="558" s="1"/>
  <c r="R28" i="558"/>
  <c r="R164" i="558" s="1"/>
  <c r="Q28" i="558"/>
  <c r="Q164" i="558" s="1"/>
  <c r="P28" i="558"/>
  <c r="X167" i="558" s="1"/>
  <c r="O28" i="558"/>
  <c r="O164" i="558" s="1"/>
  <c r="I28" i="558"/>
  <c r="I164" i="558" s="1"/>
  <c r="B172" i="558" s="1"/>
  <c r="G28" i="558"/>
  <c r="C524" i="558" s="1"/>
  <c r="V27" i="558"/>
  <c r="W27" i="558" s="1"/>
  <c r="N27" i="558"/>
  <c r="K27" i="558" a="1"/>
  <c r="K27" i="558" s="1"/>
  <c r="M27" i="558" s="1"/>
  <c r="J27" i="558" a="1"/>
  <c r="J27" i="558" s="1"/>
  <c r="H27" i="558"/>
  <c r="V26" i="558"/>
  <c r="W26" i="558" s="1"/>
  <c r="N26" i="558"/>
  <c r="K26" i="558" a="1"/>
  <c r="K26" i="558" s="1"/>
  <c r="M26" i="558" s="1"/>
  <c r="J26" i="558" a="1"/>
  <c r="J26" i="558" s="1"/>
  <c r="H26" i="558"/>
  <c r="K25" i="558" a="1"/>
  <c r="K25" i="558" s="1"/>
  <c r="M25" i="558" s="1"/>
  <c r="J25" i="558" a="1"/>
  <c r="J25" i="558" s="1"/>
  <c r="H25" i="558"/>
  <c r="K24" i="558" a="1"/>
  <c r="K24" i="558" s="1"/>
  <c r="M24" i="558" s="1"/>
  <c r="J24" i="558" a="1"/>
  <c r="J24" i="558" s="1"/>
  <c r="H24" i="558"/>
  <c r="K23" i="558" a="1"/>
  <c r="K23" i="558" s="1"/>
  <c r="M23" i="558" s="1"/>
  <c r="J23" i="558" a="1"/>
  <c r="J23" i="558" s="1"/>
  <c r="H23" i="558"/>
  <c r="K22" i="558" a="1"/>
  <c r="K22" i="558" s="1"/>
  <c r="M22" i="558" s="1"/>
  <c r="J22" i="558" a="1"/>
  <c r="J22" i="558" s="1"/>
  <c r="H22" i="558"/>
  <c r="V21" i="558"/>
  <c r="W21" i="558" s="1"/>
  <c r="N21" i="558"/>
  <c r="K21" i="558" a="1"/>
  <c r="K21" i="558" s="1"/>
  <c r="M21" i="558" s="1"/>
  <c r="J21" i="558" a="1"/>
  <c r="J21" i="558" s="1"/>
  <c r="H21" i="558"/>
  <c r="V20" i="558"/>
  <c r="W20" i="558" s="1"/>
  <c r="N20" i="558"/>
  <c r="K20" i="558" a="1"/>
  <c r="K20" i="558" s="1"/>
  <c r="M20" i="558" s="1"/>
  <c r="J20" i="558" a="1"/>
  <c r="J20" i="558" s="1"/>
  <c r="H20" i="558"/>
  <c r="V19" i="558"/>
  <c r="W19" i="558" s="1"/>
  <c r="N19" i="558"/>
  <c r="K19" i="558" a="1"/>
  <c r="K19" i="558" s="1"/>
  <c r="M19" i="558" s="1"/>
  <c r="J19" i="558" a="1"/>
  <c r="J19" i="558" s="1"/>
  <c r="H19" i="558"/>
  <c r="N18" i="558"/>
  <c r="K18" i="558" a="1"/>
  <c r="K18" i="558" s="1"/>
  <c r="M18" i="558" s="1"/>
  <c r="J18" i="558" a="1"/>
  <c r="J18" i="558" s="1"/>
  <c r="H18" i="558"/>
  <c r="N17" i="558"/>
  <c r="K17" i="558" a="1"/>
  <c r="K17" i="558" s="1"/>
  <c r="M17" i="558" s="1"/>
  <c r="J17" i="558" a="1"/>
  <c r="J17" i="558" s="1"/>
  <c r="H17" i="558"/>
  <c r="V16" i="558"/>
  <c r="W16" i="558" s="1"/>
  <c r="N16" i="558"/>
  <c r="K16" i="558" a="1"/>
  <c r="K16" i="558" s="1"/>
  <c r="M16" i="558" s="1"/>
  <c r="J16" i="558" a="1"/>
  <c r="J16" i="558" s="1"/>
  <c r="H16" i="558"/>
  <c r="V15" i="558"/>
  <c r="W15" i="558" s="1"/>
  <c r="N15" i="558"/>
  <c r="K15" i="558" a="1"/>
  <c r="K15" i="558" s="1"/>
  <c r="M15" i="558" s="1"/>
  <c r="J15" i="558" a="1"/>
  <c r="J15" i="558" s="1"/>
  <c r="H15" i="558"/>
  <c r="N14" i="558"/>
  <c r="K14" i="558" a="1"/>
  <c r="K14" i="558" s="1"/>
  <c r="M14" i="558" s="1"/>
  <c r="H14" i="558"/>
  <c r="N13" i="558"/>
  <c r="K13" i="558" a="1"/>
  <c r="K13" i="558" s="1"/>
  <c r="M13" i="558" s="1"/>
  <c r="H13" i="558"/>
  <c r="V12" i="558"/>
  <c r="W12" i="558" s="1"/>
  <c r="N12" i="558"/>
  <c r="K12" i="558" a="1"/>
  <c r="K12" i="558" s="1"/>
  <c r="M12" i="558" s="1"/>
  <c r="J12" i="558" a="1"/>
  <c r="J12" i="558" s="1"/>
  <c r="H12" i="558"/>
  <c r="V11" i="558"/>
  <c r="W11" i="558" s="1"/>
  <c r="N11" i="558"/>
  <c r="K11" i="558" a="1"/>
  <c r="K11" i="558" s="1"/>
  <c r="M11" i="558" s="1"/>
  <c r="J11" i="558" a="1"/>
  <c r="J11" i="558" s="1"/>
  <c r="H11" i="558"/>
  <c r="V10" i="558"/>
  <c r="W10" i="558" s="1"/>
  <c r="N10" i="558"/>
  <c r="K10" i="558"/>
  <c r="M10" i="558" s="1"/>
  <c r="K10" i="558" a="1"/>
  <c r="J10" i="558"/>
  <c r="J10" i="558" a="1"/>
  <c r="H10" i="558"/>
  <c r="V9" i="558"/>
  <c r="W9" i="558" s="1"/>
  <c r="N9" i="558"/>
  <c r="K9" i="558" a="1"/>
  <c r="K9" i="558" s="1"/>
  <c r="M9" i="558" s="1"/>
  <c r="J9" i="558" a="1"/>
  <c r="J9" i="558" s="1"/>
  <c r="H9" i="558"/>
  <c r="V8" i="558"/>
  <c r="W8" i="558" s="1"/>
  <c r="N8" i="558"/>
  <c r="K8" i="558" a="1"/>
  <c r="K8" i="558" s="1"/>
  <c r="M8" i="558" s="1"/>
  <c r="J8" i="558" a="1"/>
  <c r="J8" i="558" s="1"/>
  <c r="H8" i="558"/>
  <c r="V7" i="558"/>
  <c r="N7" i="558"/>
  <c r="N28" i="558" s="1"/>
  <c r="K7" i="558" a="1"/>
  <c r="K7" i="558" s="1"/>
  <c r="J7" i="558" a="1"/>
  <c r="J7" i="558" s="1"/>
  <c r="H7" i="558"/>
  <c r="J334" i="558" l="1" a="1"/>
  <c r="J334" i="558" s="1"/>
  <c r="H28" i="558"/>
  <c r="V28" i="558"/>
  <c r="J292" i="558" a="1"/>
  <c r="J292" i="558" s="1"/>
  <c r="J319" i="558" a="1"/>
  <c r="J319" i="558" s="1"/>
  <c r="J199" i="558" a="1"/>
  <c r="J199" i="558" s="1"/>
  <c r="I335" i="558"/>
  <c r="B343" i="558" s="1"/>
  <c r="J308" i="558" a="1"/>
  <c r="J308" i="558" s="1"/>
  <c r="J257" i="558" a="1"/>
  <c r="J257" i="558" s="1"/>
  <c r="R342" i="558"/>
  <c r="W320" i="558"/>
  <c r="W334" i="558" s="1"/>
  <c r="N308" i="558"/>
  <c r="H257" i="558"/>
  <c r="V257" i="558"/>
  <c r="W257" i="558" s="1"/>
  <c r="H199" i="558"/>
  <c r="N199" i="558"/>
  <c r="N335" i="558" s="1"/>
  <c r="B344" i="558" s="1"/>
  <c r="W178" i="558"/>
  <c r="K292" i="558"/>
  <c r="K199" i="558"/>
  <c r="H319" i="558"/>
  <c r="W319" i="558"/>
  <c r="H292" i="558"/>
  <c r="K334" i="558"/>
  <c r="W138" i="558"/>
  <c r="R170" i="558"/>
  <c r="H86" i="558"/>
  <c r="V86" i="558"/>
  <c r="W86" i="558" s="1"/>
  <c r="R171" i="558"/>
  <c r="N137" i="558"/>
  <c r="N121" i="558"/>
  <c r="N164" i="558" s="1"/>
  <c r="B173" i="558" s="1"/>
  <c r="E173" i="558" s="1"/>
  <c r="H164" i="558"/>
  <c r="E171" i="558" s="1"/>
  <c r="N479" i="558"/>
  <c r="W464" i="558"/>
  <c r="H490" i="558"/>
  <c r="M479" i="558"/>
  <c r="N490" i="558"/>
  <c r="V506" i="558"/>
  <c r="V507" i="558" s="1"/>
  <c r="N463" i="558"/>
  <c r="J370" i="558" a="1"/>
  <c r="J370" i="558" s="1"/>
  <c r="N428" i="558"/>
  <c r="W371" i="558"/>
  <c r="J463" i="558" a="1"/>
  <c r="J463" i="558" s="1"/>
  <c r="M7" i="558"/>
  <c r="M28" i="558" s="1"/>
  <c r="K28" i="558"/>
  <c r="W28" i="558"/>
  <c r="W164" i="558" s="1"/>
  <c r="V164" i="558"/>
  <c r="I173" i="558" s="1"/>
  <c r="M87" i="558"/>
  <c r="M121" i="558" s="1"/>
  <c r="K121" i="558"/>
  <c r="M122" i="558"/>
  <c r="M137" i="558" s="1"/>
  <c r="K137" i="558"/>
  <c r="K527" i="558"/>
  <c r="K148" i="558"/>
  <c r="C520" i="558"/>
  <c r="Q525" i="558"/>
  <c r="M29" i="558"/>
  <c r="M86" i="558" s="1"/>
  <c r="K86" i="558"/>
  <c r="K525" i="558"/>
  <c r="K526" i="558"/>
  <c r="K528" i="558"/>
  <c r="W7" i="558"/>
  <c r="J28" i="558" a="1"/>
  <c r="J28" i="558" s="1"/>
  <c r="W29" i="558"/>
  <c r="J86" i="558" a="1"/>
  <c r="J86" i="558" s="1"/>
  <c r="W87" i="558"/>
  <c r="J121" i="558" a="1"/>
  <c r="J121" i="558" s="1"/>
  <c r="W122" i="558"/>
  <c r="J137" i="558" a="1"/>
  <c r="J137" i="558" s="1"/>
  <c r="M138" i="558"/>
  <c r="M148" i="558" s="1"/>
  <c r="J148" i="558" a="1"/>
  <c r="J148" i="558" s="1"/>
  <c r="M149" i="558"/>
  <c r="M163" i="558" s="1"/>
  <c r="J163" i="558" a="1"/>
  <c r="J163" i="558" s="1"/>
  <c r="G164" i="558"/>
  <c r="P164" i="558"/>
  <c r="X168" i="558" s="1"/>
  <c r="X173" i="558" s="1"/>
  <c r="E170" i="558"/>
  <c r="K166" i="558"/>
  <c r="R166" i="558"/>
  <c r="Q528" i="558"/>
  <c r="W199" i="558"/>
  <c r="K370" i="558"/>
  <c r="M349" i="558"/>
  <c r="M370" i="558" s="1"/>
  <c r="C530" i="558"/>
  <c r="E524" i="558" s="1"/>
  <c r="K529" i="558"/>
  <c r="Q524" i="558"/>
  <c r="Q527" i="558"/>
  <c r="K257" i="558"/>
  <c r="M200" i="558"/>
  <c r="M257" i="558" s="1"/>
  <c r="M293" i="558"/>
  <c r="M308" i="558" s="1"/>
  <c r="K308" i="558"/>
  <c r="M178" i="558"/>
  <c r="M199" i="558" s="1"/>
  <c r="M258" i="558"/>
  <c r="M292" i="558" s="1"/>
  <c r="W293" i="558"/>
  <c r="M309" i="558"/>
  <c r="M319" i="558" s="1"/>
  <c r="M320" i="558"/>
  <c r="M334" i="558" s="1"/>
  <c r="G335" i="558"/>
  <c r="P335" i="558"/>
  <c r="X339" i="558" s="1"/>
  <c r="K337" i="558"/>
  <c r="R337" i="558"/>
  <c r="H370" i="558"/>
  <c r="H507" i="558" s="1"/>
  <c r="E514" i="558" s="1"/>
  <c r="N370" i="558"/>
  <c r="N507" i="558" s="1"/>
  <c r="B516" i="558" s="1"/>
  <c r="E516" i="558" s="1"/>
  <c r="W349" i="558"/>
  <c r="W370" i="558" s="1"/>
  <c r="K428" i="558"/>
  <c r="M429" i="558"/>
  <c r="M463" i="558" s="1"/>
  <c r="K463" i="558"/>
  <c r="W200" i="558"/>
  <c r="B514" i="558"/>
  <c r="J507" i="558" a="1"/>
  <c r="J507" i="558" s="1"/>
  <c r="M514" i="558" s="1"/>
  <c r="R509" i="558"/>
  <c r="X509" i="558"/>
  <c r="O507" i="558"/>
  <c r="X510" i="558" s="1"/>
  <c r="M371" i="558"/>
  <c r="M428" i="558" s="1"/>
  <c r="W429" i="558"/>
  <c r="K490" i="558"/>
  <c r="M480" i="558"/>
  <c r="M490" i="558" s="1"/>
  <c r="K506" i="558"/>
  <c r="M491" i="558"/>
  <c r="M506" i="558" s="1"/>
  <c r="K479" i="558"/>
  <c r="R534" i="558"/>
  <c r="S534" i="558" a="1"/>
  <c r="S534" i="558" s="1"/>
  <c r="R511" i="558"/>
  <c r="R512" i="558"/>
  <c r="W480" i="558"/>
  <c r="R513" i="558"/>
  <c r="W491" i="558"/>
  <c r="W506" i="558" s="1"/>
  <c r="K513" i="558"/>
  <c r="M509" i="558"/>
  <c r="J536" i="558"/>
  <c r="Q533" i="558"/>
  <c r="R535" i="558"/>
  <c r="S535" i="558" a="1"/>
  <c r="S535" i="558" s="1"/>
  <c r="E513" i="558"/>
  <c r="T533" i="558" a="1"/>
  <c r="T533" i="558" s="1"/>
  <c r="T534" i="558" a="1"/>
  <c r="T534" i="558" s="1"/>
  <c r="T535" i="558" a="1"/>
  <c r="T535" i="558" s="1"/>
  <c r="C536" i="558"/>
  <c r="T536" i="558" s="1" a="1"/>
  <c r="T536" i="558" s="1"/>
  <c r="J334" i="557" a="1"/>
  <c r="J334" i="557" s="1"/>
  <c r="W335" i="558" l="1"/>
  <c r="H335" i="558"/>
  <c r="E342" i="558" s="1"/>
  <c r="G519" i="558" s="1"/>
  <c r="E344" i="558"/>
  <c r="V335" i="558"/>
  <c r="I344" i="558" s="1"/>
  <c r="K335" i="558"/>
  <c r="E343" i="558" s="1"/>
  <c r="I343" i="558" s="1"/>
  <c r="M343" i="558" s="1"/>
  <c r="Z172" i="558"/>
  <c r="Z169" i="558"/>
  <c r="Z171" i="558"/>
  <c r="I516" i="558"/>
  <c r="W507" i="558"/>
  <c r="E529" i="558"/>
  <c r="E527" i="558"/>
  <c r="E528" i="558"/>
  <c r="E525" i="558"/>
  <c r="E526" i="558"/>
  <c r="M513" i="558"/>
  <c r="X516" i="558"/>
  <c r="Z509" i="558" s="1" a="1"/>
  <c r="Z509" i="558" s="1"/>
  <c r="R344" i="558"/>
  <c r="T337" i="558" s="1" a="1"/>
  <c r="T337" i="558" s="1"/>
  <c r="M335" i="558"/>
  <c r="M507" i="558"/>
  <c r="Z170" i="558"/>
  <c r="K524" i="558"/>
  <c r="R173" i="558"/>
  <c r="T166" i="558" s="1" a="1"/>
  <c r="T166" i="558" s="1"/>
  <c r="B171" i="558"/>
  <c r="M173" i="558" s="1" a="1"/>
  <c r="M173" i="558" s="1"/>
  <c r="J164" i="558" a="1"/>
  <c r="J164" i="558" s="1"/>
  <c r="M171" i="558" s="1"/>
  <c r="C521" i="558"/>
  <c r="G521" i="558" s="1"/>
  <c r="M164" i="558"/>
  <c r="R533" i="558"/>
  <c r="R536" i="558" s="1"/>
  <c r="Q536" i="558"/>
  <c r="S536" i="558" s="1" a="1"/>
  <c r="S536" i="558" s="1"/>
  <c r="S533" i="558" a="1"/>
  <c r="S533" i="558" s="1"/>
  <c r="Z510" i="558"/>
  <c r="R516" i="558"/>
  <c r="T509" i="558" s="1" a="1"/>
  <c r="T509" i="558" s="1"/>
  <c r="M516" i="558" a="1"/>
  <c r="M516" i="558" s="1"/>
  <c r="M337" i="558"/>
  <c r="K341" i="558"/>
  <c r="M341" i="558" s="1"/>
  <c r="J335" i="558" a="1"/>
  <c r="J335" i="558" s="1"/>
  <c r="M342" i="558" s="1"/>
  <c r="B342" i="558"/>
  <c r="M344" i="558" s="1" a="1"/>
  <c r="M344" i="558" s="1"/>
  <c r="X344" i="558"/>
  <c r="K507" i="558"/>
  <c r="M166" i="558"/>
  <c r="K170" i="558"/>
  <c r="M170" i="558" s="1"/>
  <c r="Q526" i="558"/>
  <c r="Q530" i="558" s="1"/>
  <c r="Z168" i="558"/>
  <c r="Z167" i="558"/>
  <c r="Z166" i="558" a="1"/>
  <c r="Z166" i="558" s="1"/>
  <c r="K521" i="558"/>
  <c r="K164" i="558"/>
  <c r="E172" i="558" s="1"/>
  <c r="L335" i="558" l="1"/>
  <c r="I342" i="558" s="1"/>
  <c r="E530" i="558"/>
  <c r="S529" i="558"/>
  <c r="S524" i="558" a="1"/>
  <c r="S524" i="558" s="1"/>
  <c r="S527" i="558"/>
  <c r="S525" i="558"/>
  <c r="S528" i="558"/>
  <c r="Z342" i="558"/>
  <c r="Z341" i="558"/>
  <c r="Z337" i="558" a="1"/>
  <c r="Z337" i="558" s="1"/>
  <c r="Z338" i="558"/>
  <c r="Z340" i="558"/>
  <c r="Z343" i="558"/>
  <c r="T515" i="558"/>
  <c r="T510" i="558"/>
  <c r="T514" i="558"/>
  <c r="T511" i="558"/>
  <c r="L164" i="558"/>
  <c r="I171" i="558" s="1"/>
  <c r="C519" i="558"/>
  <c r="O521" i="558" s="1" a="1"/>
  <c r="O521" i="558" s="1"/>
  <c r="K530" i="558"/>
  <c r="M524" i="558" s="1" a="1"/>
  <c r="M524" i="558" s="1"/>
  <c r="T172" i="558"/>
  <c r="T169" i="558"/>
  <c r="T167" i="558"/>
  <c r="T168" i="558"/>
  <c r="T170" i="558"/>
  <c r="T171" i="558"/>
  <c r="Z339" i="558"/>
  <c r="T513" i="558"/>
  <c r="I172" i="558"/>
  <c r="M172" i="558" s="1"/>
  <c r="S526" i="558"/>
  <c r="E515" i="558"/>
  <c r="I515" i="558" s="1"/>
  <c r="M515" i="558" s="1"/>
  <c r="L507" i="558"/>
  <c r="I514" i="558" s="1"/>
  <c r="T343" i="558"/>
  <c r="T339" i="558"/>
  <c r="T342" i="558"/>
  <c r="T338" i="558"/>
  <c r="T341" i="558"/>
  <c r="T340" i="558"/>
  <c r="Z515" i="558"/>
  <c r="Z512" i="558"/>
  <c r="Z513" i="558"/>
  <c r="Z514" i="558"/>
  <c r="Z511" i="558"/>
  <c r="T512" i="558"/>
  <c r="G20" i="557"/>
  <c r="G186" i="557"/>
  <c r="G19" i="557"/>
  <c r="G328" i="557"/>
  <c r="G135" i="557"/>
  <c r="G190" i="557"/>
  <c r="J221" i="557" a="1"/>
  <c r="J221" i="557" s="1"/>
  <c r="J279" i="557" a="1"/>
  <c r="J279" i="557" s="1"/>
  <c r="J278" i="557" a="1"/>
  <c r="J278" i="557" s="1"/>
  <c r="J328" i="557" a="1"/>
  <c r="J328" i="557" s="1"/>
  <c r="J317" i="557" a="1"/>
  <c r="J317" i="557" s="1"/>
  <c r="M317" i="557"/>
  <c r="K317" i="557" a="1"/>
  <c r="K317" i="557" s="1"/>
  <c r="I186" i="557"/>
  <c r="G178" i="557"/>
  <c r="I190" i="557"/>
  <c r="I278" i="557"/>
  <c r="I191" i="557"/>
  <c r="M529" i="558" l="1"/>
  <c r="M528" i="558"/>
  <c r="M525" i="558"/>
  <c r="M527" i="558"/>
  <c r="M526" i="558"/>
  <c r="S530" i="558"/>
  <c r="G520" i="558"/>
  <c r="K520" i="558" s="1"/>
  <c r="O520" i="558" s="1"/>
  <c r="O519" i="558" a="1"/>
  <c r="O519" i="558" s="1"/>
  <c r="I432" i="557"/>
  <c r="G278" i="557"/>
  <c r="G306" i="557"/>
  <c r="G209" i="557"/>
  <c r="G317" i="557"/>
  <c r="G200" i="557"/>
  <c r="G291" i="557"/>
  <c r="G191" i="557"/>
  <c r="G237" i="557"/>
  <c r="G221" i="557"/>
  <c r="G204" i="557"/>
  <c r="G202" i="557"/>
  <c r="K519" i="558" l="1"/>
  <c r="J19" i="557" a="1"/>
  <c r="J19" i="557" s="1"/>
  <c r="J14" i="557" a="1"/>
  <c r="J14" i="557" s="1"/>
  <c r="M157" i="557"/>
  <c r="K157" i="557" a="1"/>
  <c r="K157" i="557" s="1"/>
  <c r="J157" i="557" a="1"/>
  <c r="J157" i="557" s="1"/>
  <c r="J109" i="557" a="1"/>
  <c r="J109" i="557" s="1"/>
  <c r="J108" i="557" a="1"/>
  <c r="J108" i="557" s="1"/>
  <c r="J107" i="557" a="1"/>
  <c r="J107" i="557" s="1"/>
  <c r="I20" i="557"/>
  <c r="I135" i="557"/>
  <c r="I19" i="557"/>
  <c r="I7" i="557"/>
  <c r="I120" i="557"/>
  <c r="I109" i="557"/>
  <c r="I107" i="557"/>
  <c r="I157" i="557"/>
  <c r="D534" i="557" l="1"/>
  <c r="D535" i="557"/>
  <c r="D533" i="557"/>
  <c r="G432" i="557"/>
  <c r="G157" i="557"/>
  <c r="G107" i="557"/>
  <c r="G120" i="557"/>
  <c r="G66" i="557"/>
  <c r="G41" i="557"/>
  <c r="G38" i="557"/>
  <c r="G29" i="557"/>
  <c r="G33" i="557"/>
  <c r="G7" i="557"/>
  <c r="G14" i="557"/>
  <c r="P536" i="557"/>
  <c r="O536" i="557"/>
  <c r="N536" i="557"/>
  <c r="M536" i="557"/>
  <c r="L536" i="557"/>
  <c r="K536" i="557"/>
  <c r="I536" i="557"/>
  <c r="H536" i="557"/>
  <c r="G536" i="557"/>
  <c r="F536" i="557"/>
  <c r="E536" i="557"/>
  <c r="D536" i="557"/>
  <c r="C535" i="557"/>
  <c r="J535" i="557" s="1"/>
  <c r="Q535" i="557" s="1"/>
  <c r="C534" i="557"/>
  <c r="T534" i="557" s="1" a="1"/>
  <c r="T534" i="557" s="1"/>
  <c r="C533" i="557"/>
  <c r="J533" i="557" s="1"/>
  <c r="N517" i="557"/>
  <c r="G517" i="557"/>
  <c r="X515" i="557"/>
  <c r="X514" i="557"/>
  <c r="X513" i="557"/>
  <c r="I513" i="557"/>
  <c r="G513" i="557"/>
  <c r="E513" i="557"/>
  <c r="C513" i="557"/>
  <c r="X512" i="557"/>
  <c r="M512" i="557"/>
  <c r="K512" i="557"/>
  <c r="I512" i="557"/>
  <c r="E512" i="557"/>
  <c r="X511" i="557"/>
  <c r="M511" i="557"/>
  <c r="K511" i="557"/>
  <c r="I511" i="557"/>
  <c r="E511" i="557"/>
  <c r="M510" i="557"/>
  <c r="K510" i="557"/>
  <c r="I510" i="557"/>
  <c r="E510" i="557"/>
  <c r="M509" i="557"/>
  <c r="K509" i="557"/>
  <c r="K513" i="557" s="1"/>
  <c r="M513" i="557" s="1"/>
  <c r="I509" i="557"/>
  <c r="E509" i="557"/>
  <c r="AA506" i="557"/>
  <c r="Z506" i="557"/>
  <c r="Y506" i="557"/>
  <c r="X506" i="557"/>
  <c r="U506" i="557"/>
  <c r="T506" i="557"/>
  <c r="S506" i="557"/>
  <c r="R506" i="557"/>
  <c r="Q506" i="557"/>
  <c r="P506" i="557"/>
  <c r="R514" i="557" s="1"/>
  <c r="O506" i="557"/>
  <c r="I506" i="557"/>
  <c r="G506" i="557"/>
  <c r="J506" i="557" s="1" a="1"/>
  <c r="J506" i="557" s="1"/>
  <c r="H505" i="557"/>
  <c r="H504" i="557"/>
  <c r="H503" i="557"/>
  <c r="H502" i="557"/>
  <c r="D502" i="557"/>
  <c r="V501" i="557"/>
  <c r="W501" i="557" s="1"/>
  <c r="N501" i="557"/>
  <c r="K501" i="557" a="1"/>
  <c r="K501" i="557" s="1"/>
  <c r="M501" i="557" s="1"/>
  <c r="J501" i="557" a="1"/>
  <c r="J501" i="557" s="1"/>
  <c r="H501" i="557"/>
  <c r="H500" i="557"/>
  <c r="H499" i="557"/>
  <c r="V498" i="557"/>
  <c r="W498" i="557" s="1"/>
  <c r="N498" i="557"/>
  <c r="M498" i="557"/>
  <c r="K498" i="557" a="1"/>
  <c r="K498" i="557" s="1"/>
  <c r="J498" i="557" a="1"/>
  <c r="J498" i="557" s="1"/>
  <c r="H498" i="557"/>
  <c r="W497" i="557"/>
  <c r="V497" i="557"/>
  <c r="N497" i="557"/>
  <c r="K497" i="557" a="1"/>
  <c r="K497" i="557" s="1"/>
  <c r="M497" i="557" s="1"/>
  <c r="J497" i="557" a="1"/>
  <c r="J497" i="557" s="1"/>
  <c r="H497" i="557"/>
  <c r="H496" i="557"/>
  <c r="H495" i="557"/>
  <c r="V494" i="557"/>
  <c r="W494" i="557" s="1"/>
  <c r="N494" i="557"/>
  <c r="M494" i="557"/>
  <c r="K494" i="557" a="1"/>
  <c r="K494" i="557" s="1"/>
  <c r="J494" i="557" a="1"/>
  <c r="J494" i="557" s="1"/>
  <c r="H494" i="557"/>
  <c r="W493" i="557"/>
  <c r="V493" i="557"/>
  <c r="N493" i="557"/>
  <c r="K493" i="557" a="1"/>
  <c r="K493" i="557" s="1"/>
  <c r="M493" i="557" s="1"/>
  <c r="J493" i="557" a="1"/>
  <c r="J493" i="557" s="1"/>
  <c r="H493" i="557"/>
  <c r="W492" i="557"/>
  <c r="V492" i="557"/>
  <c r="N492" i="557"/>
  <c r="K492" i="557" a="1"/>
  <c r="K492" i="557" s="1"/>
  <c r="M492" i="557" s="1"/>
  <c r="J492" i="557" a="1"/>
  <c r="J492" i="557" s="1"/>
  <c r="H492" i="557"/>
  <c r="V491" i="557"/>
  <c r="V506" i="557" s="1"/>
  <c r="N491" i="557"/>
  <c r="K491" i="557" a="1"/>
  <c r="K491" i="557" s="1"/>
  <c r="J491" i="557" a="1"/>
  <c r="J491" i="557" s="1"/>
  <c r="H491" i="557"/>
  <c r="AA490" i="557"/>
  <c r="Z490" i="557"/>
  <c r="Y490" i="557"/>
  <c r="X490" i="557"/>
  <c r="U490" i="557"/>
  <c r="T490" i="557"/>
  <c r="S490" i="557"/>
  <c r="Q490" i="557"/>
  <c r="P490" i="557"/>
  <c r="O490" i="557"/>
  <c r="I490" i="557"/>
  <c r="G490" i="557"/>
  <c r="J490" i="557" s="1" a="1"/>
  <c r="J490" i="557" s="1"/>
  <c r="W489" i="557"/>
  <c r="V489" i="557"/>
  <c r="N489" i="557"/>
  <c r="K489" i="557" a="1"/>
  <c r="K489" i="557" s="1"/>
  <c r="M489" i="557" s="1"/>
  <c r="J489" i="557" a="1"/>
  <c r="J489" i="557" s="1"/>
  <c r="H489" i="557"/>
  <c r="H488" i="557"/>
  <c r="H487" i="557"/>
  <c r="H486" i="557"/>
  <c r="H485" i="557"/>
  <c r="V484" i="557"/>
  <c r="W484" i="557" s="1"/>
  <c r="N484" i="557"/>
  <c r="K484" i="557" a="1"/>
  <c r="K484" i="557" s="1"/>
  <c r="M484" i="557" s="1"/>
  <c r="J484" i="557" a="1"/>
  <c r="J484" i="557" s="1"/>
  <c r="H484" i="557"/>
  <c r="V483" i="557"/>
  <c r="W483" i="557" s="1"/>
  <c r="N483" i="557"/>
  <c r="K483" i="557"/>
  <c r="M483" i="557" s="1"/>
  <c r="K483" i="557" a="1"/>
  <c r="J483" i="557"/>
  <c r="J483" i="557" a="1"/>
  <c r="H483" i="557"/>
  <c r="V482" i="557"/>
  <c r="W482" i="557" s="1"/>
  <c r="N482" i="557"/>
  <c r="K482" i="557" a="1"/>
  <c r="K482" i="557" s="1"/>
  <c r="M482" i="557" s="1"/>
  <c r="J482" i="557" a="1"/>
  <c r="J482" i="557" s="1"/>
  <c r="H482" i="557"/>
  <c r="W481" i="557"/>
  <c r="V481" i="557"/>
  <c r="N481" i="557"/>
  <c r="N490" i="557" s="1"/>
  <c r="K481" i="557" a="1"/>
  <c r="K481" i="557" s="1"/>
  <c r="M481" i="557" s="1"/>
  <c r="J481" i="557" a="1"/>
  <c r="J481" i="557" s="1"/>
  <c r="H481" i="557"/>
  <c r="V480" i="557"/>
  <c r="V490" i="557" s="1"/>
  <c r="W490" i="557" s="1"/>
  <c r="N480" i="557"/>
  <c r="K480" i="557" a="1"/>
  <c r="K480" i="557" s="1"/>
  <c r="J480" i="557" a="1"/>
  <c r="J480" i="557" s="1"/>
  <c r="H480" i="557"/>
  <c r="AA479" i="557"/>
  <c r="Z479" i="557"/>
  <c r="Y479" i="557"/>
  <c r="X479" i="557"/>
  <c r="U479" i="557"/>
  <c r="T479" i="557"/>
  <c r="S479" i="557"/>
  <c r="Q479" i="557"/>
  <c r="P479" i="557"/>
  <c r="O479" i="557"/>
  <c r="I479" i="557"/>
  <c r="G479" i="557"/>
  <c r="J479" i="557" s="1" a="1"/>
  <c r="J479" i="557" s="1"/>
  <c r="W478" i="557"/>
  <c r="V478" i="557"/>
  <c r="N478" i="557"/>
  <c r="K478" i="557" a="1"/>
  <c r="K478" i="557" s="1"/>
  <c r="M478" i="557" s="1"/>
  <c r="J478" i="557" a="1"/>
  <c r="J478" i="557" s="1"/>
  <c r="H478" i="557"/>
  <c r="V477" i="557"/>
  <c r="W477" i="557" s="1"/>
  <c r="N477" i="557"/>
  <c r="K477" i="557" a="1"/>
  <c r="K477" i="557" s="1"/>
  <c r="M477" i="557" s="1"/>
  <c r="J477" i="557" a="1"/>
  <c r="J477" i="557" s="1"/>
  <c r="H477" i="557"/>
  <c r="V476" i="557"/>
  <c r="W476" i="557" s="1"/>
  <c r="N476" i="557"/>
  <c r="K476" i="557"/>
  <c r="M476" i="557" s="1"/>
  <c r="K476" i="557" a="1"/>
  <c r="J476" i="557"/>
  <c r="J476" i="557" a="1"/>
  <c r="H476" i="557"/>
  <c r="V475" i="557"/>
  <c r="W475" i="557" s="1"/>
  <c r="N475" i="557"/>
  <c r="K475" i="557" a="1"/>
  <c r="K475" i="557" s="1"/>
  <c r="M475" i="557" s="1"/>
  <c r="J475" i="557" a="1"/>
  <c r="J475" i="557" s="1"/>
  <c r="H475" i="557"/>
  <c r="W474" i="557"/>
  <c r="V474" i="557"/>
  <c r="N474" i="557"/>
  <c r="K474" i="557" a="1"/>
  <c r="K474" i="557" s="1"/>
  <c r="M474" i="557" s="1"/>
  <c r="J474" i="557" a="1"/>
  <c r="J474" i="557" s="1"/>
  <c r="H474" i="557"/>
  <c r="V473" i="557"/>
  <c r="W473" i="557" s="1"/>
  <c r="N473" i="557"/>
  <c r="K473" i="557" a="1"/>
  <c r="K473" i="557" s="1"/>
  <c r="M473" i="557" s="1"/>
  <c r="J473" i="557" a="1"/>
  <c r="J473" i="557" s="1"/>
  <c r="H473" i="557"/>
  <c r="V472" i="557"/>
  <c r="W472" i="557" s="1"/>
  <c r="N472" i="557"/>
  <c r="K472" i="557"/>
  <c r="M472" i="557" s="1"/>
  <c r="K472" i="557" a="1"/>
  <c r="J472" i="557"/>
  <c r="J472" i="557" a="1"/>
  <c r="H472" i="557"/>
  <c r="V471" i="557"/>
  <c r="W471" i="557" s="1"/>
  <c r="N471" i="557"/>
  <c r="K471" i="557" a="1"/>
  <c r="K471" i="557" s="1"/>
  <c r="M471" i="557" s="1"/>
  <c r="J471" i="557" a="1"/>
  <c r="J471" i="557" s="1"/>
  <c r="H471" i="557"/>
  <c r="W470" i="557"/>
  <c r="V470" i="557"/>
  <c r="N470" i="557"/>
  <c r="K470" i="557" a="1"/>
  <c r="K470" i="557" s="1"/>
  <c r="M470" i="557" s="1"/>
  <c r="J470" i="557" a="1"/>
  <c r="J470" i="557" s="1"/>
  <c r="H470" i="557"/>
  <c r="V469" i="557"/>
  <c r="W469" i="557" s="1"/>
  <c r="N469" i="557"/>
  <c r="K469" i="557" a="1"/>
  <c r="K469" i="557" s="1"/>
  <c r="M469" i="557" s="1"/>
  <c r="J469" i="557" a="1"/>
  <c r="J469" i="557" s="1"/>
  <c r="H469" i="557"/>
  <c r="V468" i="557"/>
  <c r="W468" i="557" s="1"/>
  <c r="N468" i="557"/>
  <c r="K468" i="557"/>
  <c r="M468" i="557" s="1"/>
  <c r="K468" i="557" a="1"/>
  <c r="J468" i="557"/>
  <c r="J468" i="557" a="1"/>
  <c r="H468" i="557"/>
  <c r="V467" i="557"/>
  <c r="W467" i="557" s="1"/>
  <c r="N467" i="557"/>
  <c r="K467" i="557" a="1"/>
  <c r="K467" i="557" s="1"/>
  <c r="M467" i="557" s="1"/>
  <c r="J467" i="557" a="1"/>
  <c r="J467" i="557" s="1"/>
  <c r="H467" i="557"/>
  <c r="W466" i="557"/>
  <c r="V466" i="557"/>
  <c r="N466" i="557"/>
  <c r="K466" i="557" a="1"/>
  <c r="K466" i="557" s="1"/>
  <c r="M466" i="557" s="1"/>
  <c r="J466" i="557" a="1"/>
  <c r="J466" i="557" s="1"/>
  <c r="H466" i="557"/>
  <c r="V465" i="557"/>
  <c r="W465" i="557" s="1"/>
  <c r="N465" i="557"/>
  <c r="K465" i="557" a="1"/>
  <c r="K465" i="557" s="1"/>
  <c r="M465" i="557" s="1"/>
  <c r="J465" i="557" a="1"/>
  <c r="J465" i="557" s="1"/>
  <c r="H465" i="557"/>
  <c r="V464" i="557"/>
  <c r="V479" i="557" s="1"/>
  <c r="W479" i="557" s="1"/>
  <c r="N464" i="557"/>
  <c r="K464" i="557"/>
  <c r="K464" i="557" a="1"/>
  <c r="J464" i="557"/>
  <c r="J464" i="557" a="1"/>
  <c r="H464" i="557"/>
  <c r="H479" i="557" s="1"/>
  <c r="AA463" i="557"/>
  <c r="Z463" i="557"/>
  <c r="Y463" i="557"/>
  <c r="X463" i="557"/>
  <c r="U463" i="557"/>
  <c r="T463" i="557"/>
  <c r="S463" i="557"/>
  <c r="R463" i="557"/>
  <c r="Q463" i="557"/>
  <c r="P463" i="557"/>
  <c r="O463" i="557"/>
  <c r="I463" i="557"/>
  <c r="G463" i="557"/>
  <c r="V462" i="557"/>
  <c r="W462" i="557" s="1"/>
  <c r="N462" i="557"/>
  <c r="K462" i="557"/>
  <c r="M462" i="557" s="1"/>
  <c r="K462" i="557" a="1"/>
  <c r="J462" i="557"/>
  <c r="J462" i="557" a="1"/>
  <c r="H462" i="557"/>
  <c r="V461" i="557"/>
  <c r="W461" i="557" s="1"/>
  <c r="N461" i="557"/>
  <c r="K461" i="557" a="1"/>
  <c r="K461" i="557" s="1"/>
  <c r="M461" i="557" s="1"/>
  <c r="J461" i="557" a="1"/>
  <c r="J461" i="557" s="1"/>
  <c r="H461" i="557"/>
  <c r="W460" i="557"/>
  <c r="V460" i="557"/>
  <c r="N460" i="557"/>
  <c r="K460" i="557" a="1"/>
  <c r="K460" i="557" s="1"/>
  <c r="M460" i="557" s="1"/>
  <c r="J460" i="557" a="1"/>
  <c r="J460" i="557" s="1"/>
  <c r="H460" i="557"/>
  <c r="K459" i="557"/>
  <c r="M459" i="557" s="1"/>
  <c r="K459" i="557" a="1"/>
  <c r="H459" i="557"/>
  <c r="K458" i="557" a="1"/>
  <c r="K458" i="557" s="1"/>
  <c r="M458" i="557" s="1"/>
  <c r="H458" i="557"/>
  <c r="K457" i="557"/>
  <c r="M457" i="557" s="1"/>
  <c r="K457" i="557" a="1"/>
  <c r="H457" i="557"/>
  <c r="V456" i="557"/>
  <c r="W456" i="557" s="1"/>
  <c r="N456" i="557"/>
  <c r="K456" i="557" a="1"/>
  <c r="K456" i="557" s="1"/>
  <c r="M456" i="557" s="1"/>
  <c r="J456" i="557" a="1"/>
  <c r="J456" i="557" s="1"/>
  <c r="H456" i="557"/>
  <c r="W455" i="557"/>
  <c r="V455" i="557"/>
  <c r="N455" i="557"/>
  <c r="K455" i="557" a="1"/>
  <c r="K455" i="557" s="1"/>
  <c r="M455" i="557" s="1"/>
  <c r="J455" i="557" a="1"/>
  <c r="J455" i="557" s="1"/>
  <c r="H455" i="557"/>
  <c r="N454" i="557"/>
  <c r="K454" i="557" a="1"/>
  <c r="K454" i="557" s="1"/>
  <c r="M454" i="557" s="1"/>
  <c r="H454" i="557"/>
  <c r="N453" i="557"/>
  <c r="K453" i="557"/>
  <c r="M453" i="557" s="1"/>
  <c r="K453" i="557" a="1"/>
  <c r="H453" i="557"/>
  <c r="N452" i="557"/>
  <c r="K452" i="557" a="1"/>
  <c r="K452" i="557" s="1"/>
  <c r="M452" i="557" s="1"/>
  <c r="H452" i="557"/>
  <c r="N451" i="557"/>
  <c r="K451" i="557" a="1"/>
  <c r="K451" i="557" s="1"/>
  <c r="M451" i="557" s="1"/>
  <c r="H451" i="557"/>
  <c r="N450" i="557"/>
  <c r="K450" i="557" a="1"/>
  <c r="K450" i="557" s="1"/>
  <c r="M450" i="557" s="1"/>
  <c r="H450" i="557"/>
  <c r="N449" i="557"/>
  <c r="K449" i="557"/>
  <c r="M449" i="557" s="1"/>
  <c r="K449" i="557" a="1"/>
  <c r="H449" i="557"/>
  <c r="V448" i="557"/>
  <c r="W448" i="557" s="1"/>
  <c r="N448" i="557"/>
  <c r="K448" i="557" a="1"/>
  <c r="K448" i="557" s="1"/>
  <c r="M448" i="557" s="1"/>
  <c r="J448" i="557" a="1"/>
  <c r="J448" i="557" s="1"/>
  <c r="H448" i="557"/>
  <c r="W447" i="557"/>
  <c r="V447" i="557"/>
  <c r="N447" i="557"/>
  <c r="K447" i="557" a="1"/>
  <c r="K447" i="557" s="1"/>
  <c r="M447" i="557" s="1"/>
  <c r="J447" i="557" a="1"/>
  <c r="J447" i="557" s="1"/>
  <c r="H447" i="557"/>
  <c r="V446" i="557"/>
  <c r="W446" i="557" s="1"/>
  <c r="N446" i="557"/>
  <c r="K446" i="557" a="1"/>
  <c r="K446" i="557" s="1"/>
  <c r="M446" i="557" s="1"/>
  <c r="J446" i="557" a="1"/>
  <c r="J446" i="557" s="1"/>
  <c r="H446" i="557"/>
  <c r="V445" i="557"/>
  <c r="W445" i="557" s="1"/>
  <c r="N445" i="557"/>
  <c r="K445" i="557"/>
  <c r="M445" i="557" s="1"/>
  <c r="K445" i="557" a="1"/>
  <c r="J445" i="557"/>
  <c r="J445" i="557" a="1"/>
  <c r="H445" i="557"/>
  <c r="V444" i="557"/>
  <c r="W444" i="557" s="1"/>
  <c r="N444" i="557"/>
  <c r="K444" i="557" a="1"/>
  <c r="K444" i="557" s="1"/>
  <c r="M444" i="557" s="1"/>
  <c r="J444" i="557" a="1"/>
  <c r="J444" i="557" s="1"/>
  <c r="H444" i="557"/>
  <c r="V443" i="557"/>
  <c r="W443" i="557" s="1"/>
  <c r="N443" i="557"/>
  <c r="K443" i="557"/>
  <c r="M443" i="557" s="1"/>
  <c r="K443" i="557" a="1"/>
  <c r="J443" i="557"/>
  <c r="J443" i="557" a="1"/>
  <c r="H443" i="557"/>
  <c r="V442" i="557"/>
  <c r="W442" i="557" s="1"/>
  <c r="N442" i="557"/>
  <c r="K442" i="557" a="1"/>
  <c r="K442" i="557" s="1"/>
  <c r="M442" i="557" s="1"/>
  <c r="J442" i="557" a="1"/>
  <c r="J442" i="557" s="1"/>
  <c r="H442" i="557"/>
  <c r="W441" i="557"/>
  <c r="V441" i="557"/>
  <c r="N441" i="557"/>
  <c r="K441" i="557" a="1"/>
  <c r="K441" i="557" s="1"/>
  <c r="M441" i="557" s="1"/>
  <c r="J441" i="557" a="1"/>
  <c r="J441" i="557" s="1"/>
  <c r="H441" i="557"/>
  <c r="V440" i="557"/>
  <c r="W440" i="557" s="1"/>
  <c r="N440" i="557"/>
  <c r="K440" i="557" a="1"/>
  <c r="K440" i="557" s="1"/>
  <c r="M440" i="557" s="1"/>
  <c r="J440" i="557" a="1"/>
  <c r="J440" i="557" s="1"/>
  <c r="H440" i="557"/>
  <c r="V439" i="557"/>
  <c r="W439" i="557" s="1"/>
  <c r="N439" i="557"/>
  <c r="K439" i="557"/>
  <c r="M439" i="557" s="1"/>
  <c r="K439" i="557" a="1"/>
  <c r="J439" i="557"/>
  <c r="J439" i="557" a="1"/>
  <c r="H439" i="557"/>
  <c r="V438" i="557"/>
  <c r="W438" i="557" s="1"/>
  <c r="N438" i="557"/>
  <c r="K438" i="557" a="1"/>
  <c r="K438" i="557" s="1"/>
  <c r="M438" i="557" s="1"/>
  <c r="J438" i="557" a="1"/>
  <c r="J438" i="557" s="1"/>
  <c r="H438" i="557"/>
  <c r="W437" i="557"/>
  <c r="V437" i="557"/>
  <c r="N437" i="557"/>
  <c r="K437" i="557" a="1"/>
  <c r="K437" i="557" s="1"/>
  <c r="M437" i="557" s="1"/>
  <c r="J437" i="557" a="1"/>
  <c r="J437" i="557" s="1"/>
  <c r="H437" i="557"/>
  <c r="N436" i="557"/>
  <c r="K436" i="557" a="1"/>
  <c r="K436" i="557" s="1"/>
  <c r="M436" i="557" s="1"/>
  <c r="H436" i="557"/>
  <c r="V435" i="557"/>
  <c r="W435" i="557" s="1"/>
  <c r="N435" i="557"/>
  <c r="K435" i="557"/>
  <c r="M435" i="557" s="1"/>
  <c r="K435" i="557" a="1"/>
  <c r="J435" i="557"/>
  <c r="J435" i="557" a="1"/>
  <c r="H435" i="557"/>
  <c r="V434" i="557"/>
  <c r="W434" i="557" s="1"/>
  <c r="N434" i="557"/>
  <c r="K434" i="557" a="1"/>
  <c r="K434" i="557" s="1"/>
  <c r="M434" i="557" s="1"/>
  <c r="J434" i="557" a="1"/>
  <c r="J434" i="557" s="1"/>
  <c r="H434" i="557"/>
  <c r="W433" i="557"/>
  <c r="V433" i="557"/>
  <c r="N433" i="557"/>
  <c r="K433" i="557" a="1"/>
  <c r="K433" i="557" s="1"/>
  <c r="M433" i="557" s="1"/>
  <c r="J433" i="557" a="1"/>
  <c r="J433" i="557" s="1"/>
  <c r="H433" i="557"/>
  <c r="V432" i="557"/>
  <c r="W432" i="557" s="1"/>
  <c r="N432" i="557"/>
  <c r="K432" i="557" a="1"/>
  <c r="K432" i="557" s="1"/>
  <c r="M432" i="557" s="1"/>
  <c r="J432" i="557" a="1"/>
  <c r="J432" i="557" s="1"/>
  <c r="H432" i="557"/>
  <c r="W431" i="557"/>
  <c r="V431" i="557"/>
  <c r="N431" i="557"/>
  <c r="K431" i="557" a="1"/>
  <c r="K431" i="557" s="1"/>
  <c r="M431" i="557" s="1"/>
  <c r="J431" i="557" a="1"/>
  <c r="J431" i="557" s="1"/>
  <c r="H431" i="557"/>
  <c r="V430" i="557"/>
  <c r="W430" i="557" s="1"/>
  <c r="N430" i="557"/>
  <c r="K430" i="557" a="1"/>
  <c r="K430" i="557" s="1"/>
  <c r="M430" i="557" s="1"/>
  <c r="J430" i="557" a="1"/>
  <c r="J430" i="557" s="1"/>
  <c r="H430" i="557"/>
  <c r="V429" i="557"/>
  <c r="V463" i="557" s="1"/>
  <c r="W463" i="557" s="1"/>
  <c r="N429" i="557"/>
  <c r="N463" i="557" s="1"/>
  <c r="K429" i="557"/>
  <c r="K429" i="557" a="1"/>
  <c r="J429" i="557"/>
  <c r="J429" i="557" a="1"/>
  <c r="H429" i="557"/>
  <c r="H463" i="557" s="1"/>
  <c r="AA428" i="557"/>
  <c r="Z428" i="557"/>
  <c r="Y428" i="557"/>
  <c r="X428" i="557"/>
  <c r="U428" i="557"/>
  <c r="T428" i="557"/>
  <c r="S428" i="557"/>
  <c r="R428" i="557"/>
  <c r="Q428" i="557"/>
  <c r="P428" i="557"/>
  <c r="O428" i="557"/>
  <c r="I428" i="557"/>
  <c r="G428" i="557"/>
  <c r="J428" i="557" s="1" a="1"/>
  <c r="J428" i="557" s="1"/>
  <c r="K427" i="557" a="1"/>
  <c r="K427" i="557" s="1"/>
  <c r="M427" i="557" s="1"/>
  <c r="H427" i="557"/>
  <c r="K426" i="557" a="1"/>
  <c r="K426" i="557" s="1"/>
  <c r="M426" i="557" s="1"/>
  <c r="H426" i="557"/>
  <c r="K425" i="557" a="1"/>
  <c r="K425" i="557" s="1"/>
  <c r="M425" i="557" s="1"/>
  <c r="H425" i="557"/>
  <c r="K424" i="557" a="1"/>
  <c r="K424" i="557" s="1"/>
  <c r="M424" i="557" s="1"/>
  <c r="H424" i="557"/>
  <c r="K423" i="557" a="1"/>
  <c r="K423" i="557" s="1"/>
  <c r="M423" i="557" s="1"/>
  <c r="H423" i="557"/>
  <c r="K422" i="557" a="1"/>
  <c r="K422" i="557" s="1"/>
  <c r="M422" i="557" s="1"/>
  <c r="H422" i="557"/>
  <c r="K421" i="557" a="1"/>
  <c r="K421" i="557" s="1"/>
  <c r="M421" i="557" s="1"/>
  <c r="H421" i="557"/>
  <c r="K420" i="557" a="1"/>
  <c r="K420" i="557" s="1"/>
  <c r="M420" i="557" s="1"/>
  <c r="H420" i="557"/>
  <c r="K419" i="557" a="1"/>
  <c r="K419" i="557" s="1"/>
  <c r="M419" i="557" s="1"/>
  <c r="H419" i="557"/>
  <c r="K418" i="557" a="1"/>
  <c r="K418" i="557" s="1"/>
  <c r="M418" i="557" s="1"/>
  <c r="H418" i="557"/>
  <c r="W417" i="557"/>
  <c r="V417" i="557"/>
  <c r="N417" i="557"/>
  <c r="K417" i="557" a="1"/>
  <c r="K417" i="557" s="1"/>
  <c r="M417" i="557" s="1"/>
  <c r="J417" i="557" a="1"/>
  <c r="J417" i="557" s="1"/>
  <c r="H417" i="557"/>
  <c r="V416" i="557"/>
  <c r="W416" i="557" s="1"/>
  <c r="N416" i="557"/>
  <c r="K416" i="557" a="1"/>
  <c r="K416" i="557" s="1"/>
  <c r="M416" i="557" s="1"/>
  <c r="J416" i="557" a="1"/>
  <c r="J416" i="557" s="1"/>
  <c r="H416" i="557"/>
  <c r="V415" i="557"/>
  <c r="W415" i="557" s="1"/>
  <c r="N415" i="557"/>
  <c r="K415" i="557"/>
  <c r="M415" i="557" s="1"/>
  <c r="K415" i="557" a="1"/>
  <c r="J415" i="557"/>
  <c r="J415" i="557" a="1"/>
  <c r="H415" i="557"/>
  <c r="V414" i="557"/>
  <c r="W414" i="557" s="1"/>
  <c r="N414" i="557"/>
  <c r="K414" i="557" a="1"/>
  <c r="K414" i="557" s="1"/>
  <c r="M414" i="557" s="1"/>
  <c r="J414" i="557" a="1"/>
  <c r="J414" i="557" s="1"/>
  <c r="H414" i="557"/>
  <c r="H413" i="557"/>
  <c r="V412" i="557"/>
  <c r="W412" i="557" s="1"/>
  <c r="N412" i="557"/>
  <c r="K412" i="557" a="1"/>
  <c r="K412" i="557" s="1"/>
  <c r="M412" i="557" s="1"/>
  <c r="J412" i="557" a="1"/>
  <c r="J412" i="557" s="1"/>
  <c r="H412" i="557"/>
  <c r="W411" i="557"/>
  <c r="V411" i="557"/>
  <c r="N411" i="557"/>
  <c r="K411" i="557" a="1"/>
  <c r="K411" i="557" s="1"/>
  <c r="M411" i="557" s="1"/>
  <c r="J411" i="557" a="1"/>
  <c r="J411" i="557" s="1"/>
  <c r="H411" i="557"/>
  <c r="H410" i="557"/>
  <c r="K409" i="557" a="1"/>
  <c r="K409" i="557" s="1"/>
  <c r="H409" i="557"/>
  <c r="V408" i="557"/>
  <c r="W408" i="557" s="1"/>
  <c r="N408" i="557"/>
  <c r="K408" i="557" a="1"/>
  <c r="K408" i="557" s="1"/>
  <c r="M408" i="557" s="1"/>
  <c r="J408" i="557" a="1"/>
  <c r="J408" i="557" s="1"/>
  <c r="H408" i="557"/>
  <c r="V407" i="557"/>
  <c r="W407" i="557" s="1"/>
  <c r="N407" i="557"/>
  <c r="K407" i="557"/>
  <c r="M407" i="557" s="1"/>
  <c r="K407" i="557" a="1"/>
  <c r="J407" i="557"/>
  <c r="J407" i="557" a="1"/>
  <c r="H407" i="557"/>
  <c r="V406" i="557"/>
  <c r="W406" i="557" s="1"/>
  <c r="N406" i="557"/>
  <c r="K406" i="557" a="1"/>
  <c r="K406" i="557" s="1"/>
  <c r="M406" i="557" s="1"/>
  <c r="J406" i="557" a="1"/>
  <c r="J406" i="557" s="1"/>
  <c r="H406" i="557"/>
  <c r="W405" i="557"/>
  <c r="V405" i="557"/>
  <c r="N405" i="557"/>
  <c r="K405" i="557" a="1"/>
  <c r="K405" i="557" s="1"/>
  <c r="M405" i="557" s="1"/>
  <c r="J405" i="557" a="1"/>
  <c r="J405" i="557" s="1"/>
  <c r="H405" i="557"/>
  <c r="V404" i="557"/>
  <c r="W404" i="557" s="1"/>
  <c r="N404" i="557"/>
  <c r="K404" i="557" a="1"/>
  <c r="K404" i="557" s="1"/>
  <c r="M404" i="557" s="1"/>
  <c r="J404" i="557" a="1"/>
  <c r="J404" i="557" s="1"/>
  <c r="H404" i="557"/>
  <c r="V403" i="557"/>
  <c r="W403" i="557" s="1"/>
  <c r="N403" i="557"/>
  <c r="K403" i="557"/>
  <c r="M403" i="557" s="1"/>
  <c r="K403" i="557" a="1"/>
  <c r="J403" i="557"/>
  <c r="J403" i="557" a="1"/>
  <c r="H403" i="557"/>
  <c r="V402" i="557"/>
  <c r="W402" i="557" s="1"/>
  <c r="N402" i="557"/>
  <c r="K402" i="557" a="1"/>
  <c r="K402" i="557" s="1"/>
  <c r="M402" i="557" s="1"/>
  <c r="J402" i="557" a="1"/>
  <c r="J402" i="557" s="1"/>
  <c r="H402" i="557"/>
  <c r="W401" i="557"/>
  <c r="V401" i="557"/>
  <c r="N401" i="557"/>
  <c r="K401" i="557" a="1"/>
  <c r="K401" i="557" s="1"/>
  <c r="M401" i="557" s="1"/>
  <c r="J401" i="557" a="1"/>
  <c r="J401" i="557" s="1"/>
  <c r="H401" i="557"/>
  <c r="V400" i="557"/>
  <c r="W400" i="557" s="1"/>
  <c r="N400" i="557"/>
  <c r="K400" i="557" a="1"/>
  <c r="K400" i="557" s="1"/>
  <c r="M400" i="557" s="1"/>
  <c r="J400" i="557" a="1"/>
  <c r="J400" i="557" s="1"/>
  <c r="H400" i="557"/>
  <c r="V399" i="557"/>
  <c r="W399" i="557" s="1"/>
  <c r="N399" i="557"/>
  <c r="K399" i="557"/>
  <c r="M399" i="557" s="1"/>
  <c r="K399" i="557" a="1"/>
  <c r="J399" i="557"/>
  <c r="J399" i="557" a="1"/>
  <c r="H399" i="557"/>
  <c r="K398" i="557" a="1"/>
  <c r="K398" i="557" s="1"/>
  <c r="M398" i="557" s="1"/>
  <c r="H398" i="557"/>
  <c r="K397" i="557"/>
  <c r="M397" i="557" s="1"/>
  <c r="K397" i="557" a="1"/>
  <c r="H397" i="557"/>
  <c r="K396" i="557" a="1"/>
  <c r="K396" i="557" s="1"/>
  <c r="M396" i="557" s="1"/>
  <c r="H396" i="557"/>
  <c r="K395" i="557"/>
  <c r="M395" i="557" s="1"/>
  <c r="K395" i="557" a="1"/>
  <c r="H395" i="557"/>
  <c r="N394" i="557"/>
  <c r="K394" i="557" a="1"/>
  <c r="K394" i="557" s="1"/>
  <c r="M394" i="557" s="1"/>
  <c r="H394" i="557"/>
  <c r="N393" i="557"/>
  <c r="K393" i="557" a="1"/>
  <c r="K393" i="557" s="1"/>
  <c r="M393" i="557" s="1"/>
  <c r="H393" i="557"/>
  <c r="N392" i="557"/>
  <c r="K392" i="557" a="1"/>
  <c r="K392" i="557" s="1"/>
  <c r="M392" i="557" s="1"/>
  <c r="H392" i="557"/>
  <c r="N391" i="557"/>
  <c r="K391" i="557"/>
  <c r="M391" i="557" s="1"/>
  <c r="K391" i="557" a="1"/>
  <c r="H391" i="557"/>
  <c r="V390" i="557"/>
  <c r="W390" i="557" s="1"/>
  <c r="N390" i="557"/>
  <c r="K390" i="557" a="1"/>
  <c r="K390" i="557" s="1"/>
  <c r="M390" i="557" s="1"/>
  <c r="J390" i="557" a="1"/>
  <c r="J390" i="557" s="1"/>
  <c r="H390" i="557"/>
  <c r="W389" i="557"/>
  <c r="V389" i="557"/>
  <c r="N389" i="557"/>
  <c r="K389" i="557" a="1"/>
  <c r="K389" i="557" s="1"/>
  <c r="M389" i="557" s="1"/>
  <c r="J389" i="557" a="1"/>
  <c r="J389" i="557" s="1"/>
  <c r="H389" i="557"/>
  <c r="V388" i="557"/>
  <c r="W388" i="557" s="1"/>
  <c r="N388" i="557"/>
  <c r="K388" i="557" a="1"/>
  <c r="K388" i="557" s="1"/>
  <c r="M388" i="557" s="1"/>
  <c r="J388" i="557" a="1"/>
  <c r="J388" i="557" s="1"/>
  <c r="H388" i="557"/>
  <c r="V387" i="557"/>
  <c r="W387" i="557" s="1"/>
  <c r="N387" i="557"/>
  <c r="K387" i="557"/>
  <c r="M387" i="557" s="1"/>
  <c r="K387" i="557" a="1"/>
  <c r="J387" i="557"/>
  <c r="J387" i="557" a="1"/>
  <c r="H387" i="557"/>
  <c r="V386" i="557"/>
  <c r="W386" i="557" s="1"/>
  <c r="N386" i="557"/>
  <c r="K386" i="557" a="1"/>
  <c r="K386" i="557" s="1"/>
  <c r="M386" i="557" s="1"/>
  <c r="J386" i="557" a="1"/>
  <c r="J386" i="557" s="1"/>
  <c r="H386" i="557"/>
  <c r="W385" i="557"/>
  <c r="V385" i="557"/>
  <c r="N385" i="557"/>
  <c r="K385" i="557" a="1"/>
  <c r="K385" i="557" s="1"/>
  <c r="M385" i="557" s="1"/>
  <c r="J385" i="557" a="1"/>
  <c r="J385" i="557" s="1"/>
  <c r="H385" i="557"/>
  <c r="V384" i="557"/>
  <c r="W384" i="557" s="1"/>
  <c r="N384" i="557"/>
  <c r="K384" i="557" a="1"/>
  <c r="K384" i="557" s="1"/>
  <c r="M384" i="557" s="1"/>
  <c r="J384" i="557" a="1"/>
  <c r="J384" i="557" s="1"/>
  <c r="H384" i="557"/>
  <c r="V383" i="557"/>
  <c r="W383" i="557" s="1"/>
  <c r="N383" i="557"/>
  <c r="K383" i="557"/>
  <c r="M383" i="557" s="1"/>
  <c r="K383" i="557" a="1"/>
  <c r="J383" i="557"/>
  <c r="J383" i="557" a="1"/>
  <c r="H383" i="557"/>
  <c r="V382" i="557"/>
  <c r="W382" i="557" s="1"/>
  <c r="N382" i="557"/>
  <c r="K382" i="557" a="1"/>
  <c r="K382" i="557" s="1"/>
  <c r="M382" i="557" s="1"/>
  <c r="J382" i="557" a="1"/>
  <c r="J382" i="557" s="1"/>
  <c r="H382" i="557"/>
  <c r="W381" i="557"/>
  <c r="V381" i="557"/>
  <c r="N381" i="557"/>
  <c r="K381" i="557" a="1"/>
  <c r="K381" i="557" s="1"/>
  <c r="M381" i="557" s="1"/>
  <c r="J381" i="557" a="1"/>
  <c r="J381" i="557" s="1"/>
  <c r="H381" i="557"/>
  <c r="V380" i="557"/>
  <c r="W380" i="557" s="1"/>
  <c r="N380" i="557"/>
  <c r="K380" i="557" a="1"/>
  <c r="K380" i="557" s="1"/>
  <c r="M380" i="557" s="1"/>
  <c r="J380" i="557" a="1"/>
  <c r="J380" i="557" s="1"/>
  <c r="H380" i="557"/>
  <c r="V379" i="557"/>
  <c r="W379" i="557" s="1"/>
  <c r="N379" i="557"/>
  <c r="K379" i="557"/>
  <c r="M379" i="557" s="1"/>
  <c r="K379" i="557" a="1"/>
  <c r="J379" i="557"/>
  <c r="J379" i="557" a="1"/>
  <c r="H379" i="557"/>
  <c r="K378" i="557" a="1"/>
  <c r="K378" i="557" s="1"/>
  <c r="M378" i="557" s="1"/>
  <c r="H378" i="557"/>
  <c r="K377" i="557"/>
  <c r="M377" i="557" s="1"/>
  <c r="K377" i="557" a="1"/>
  <c r="H377" i="557"/>
  <c r="K376" i="557" a="1"/>
  <c r="K376" i="557" s="1"/>
  <c r="M376" i="557" s="1"/>
  <c r="H376" i="557"/>
  <c r="V375" i="557"/>
  <c r="W375" i="557" s="1"/>
  <c r="N375" i="557"/>
  <c r="K375" i="557" a="1"/>
  <c r="K375" i="557" s="1"/>
  <c r="M375" i="557" s="1"/>
  <c r="J375" i="557" a="1"/>
  <c r="J375" i="557" s="1"/>
  <c r="H375" i="557"/>
  <c r="V374" i="557"/>
  <c r="W374" i="557" s="1"/>
  <c r="N374" i="557"/>
  <c r="K374" i="557"/>
  <c r="M374" i="557" s="1"/>
  <c r="K374" i="557" a="1"/>
  <c r="J374" i="557"/>
  <c r="J374" i="557" a="1"/>
  <c r="H374" i="557"/>
  <c r="V373" i="557"/>
  <c r="W373" i="557" s="1"/>
  <c r="N373" i="557"/>
  <c r="K373" i="557" a="1"/>
  <c r="K373" i="557" s="1"/>
  <c r="M373" i="557" s="1"/>
  <c r="J373" i="557" a="1"/>
  <c r="J373" i="557" s="1"/>
  <c r="H373" i="557"/>
  <c r="K372" i="557" a="1"/>
  <c r="K372" i="557" s="1"/>
  <c r="H372" i="557"/>
  <c r="V371" i="557"/>
  <c r="V428" i="557" s="1"/>
  <c r="W428" i="557" s="1"/>
  <c r="N371" i="557"/>
  <c r="N428" i="557" s="1"/>
  <c r="K371" i="557" a="1"/>
  <c r="K371" i="557" s="1"/>
  <c r="J371" i="557" a="1"/>
  <c r="J371" i="557" s="1"/>
  <c r="H371" i="557"/>
  <c r="H428" i="557" s="1"/>
  <c r="AA370" i="557"/>
  <c r="AA507" i="557" s="1"/>
  <c r="Z370" i="557"/>
  <c r="Z507" i="557" s="1"/>
  <c r="Y370" i="557"/>
  <c r="Y507" i="557" s="1"/>
  <c r="X370" i="557"/>
  <c r="X507" i="557" s="1"/>
  <c r="U370" i="557"/>
  <c r="U507" i="557" s="1"/>
  <c r="T370" i="557"/>
  <c r="T507" i="557" s="1"/>
  <c r="S370" i="557"/>
  <c r="S507" i="557" s="1"/>
  <c r="R370" i="557"/>
  <c r="R507" i="557" s="1"/>
  <c r="Q370" i="557"/>
  <c r="Q507" i="557" s="1"/>
  <c r="P370" i="557"/>
  <c r="P507" i="557" s="1"/>
  <c r="O370" i="557"/>
  <c r="I370" i="557"/>
  <c r="I507" i="557" s="1"/>
  <c r="B515" i="557" s="1"/>
  <c r="G370" i="557"/>
  <c r="G507" i="557" s="1"/>
  <c r="V369" i="557"/>
  <c r="W369" i="557" s="1"/>
  <c r="N369" i="557"/>
  <c r="K369" i="557" a="1"/>
  <c r="K369" i="557" s="1"/>
  <c r="M369" i="557" s="1"/>
  <c r="J369" i="557" a="1"/>
  <c r="J369" i="557" s="1"/>
  <c r="H369" i="557"/>
  <c r="V368" i="557"/>
  <c r="W368" i="557" s="1"/>
  <c r="N368" i="557"/>
  <c r="K368" i="557"/>
  <c r="M368" i="557" s="1"/>
  <c r="K368" i="557" a="1"/>
  <c r="J368" i="557"/>
  <c r="J368" i="557" a="1"/>
  <c r="H368" i="557"/>
  <c r="K367" i="557" a="1"/>
  <c r="K367" i="557" s="1"/>
  <c r="M367" i="557" s="1"/>
  <c r="H367" i="557"/>
  <c r="K366" i="557"/>
  <c r="M366" i="557" s="1"/>
  <c r="K366" i="557" a="1"/>
  <c r="H366" i="557"/>
  <c r="K365" i="557" a="1"/>
  <c r="K365" i="557" s="1"/>
  <c r="M365" i="557" s="1"/>
  <c r="H365" i="557"/>
  <c r="K364" i="557"/>
  <c r="M364" i="557" s="1"/>
  <c r="K364" i="557" a="1"/>
  <c r="H364" i="557"/>
  <c r="V363" i="557"/>
  <c r="W363" i="557" s="1"/>
  <c r="N363" i="557"/>
  <c r="K363" i="557" a="1"/>
  <c r="K363" i="557" s="1"/>
  <c r="M363" i="557" s="1"/>
  <c r="J363" i="557" a="1"/>
  <c r="J363" i="557" s="1"/>
  <c r="H363" i="557"/>
  <c r="V362" i="557"/>
  <c r="W362" i="557" s="1"/>
  <c r="N362" i="557"/>
  <c r="K362" i="557" a="1"/>
  <c r="K362" i="557" s="1"/>
  <c r="M362" i="557" s="1"/>
  <c r="J362" i="557" a="1"/>
  <c r="J362" i="557" s="1"/>
  <c r="H362" i="557"/>
  <c r="V361" i="557"/>
  <c r="W361" i="557" s="1"/>
  <c r="N361" i="557"/>
  <c r="K361" i="557" a="1"/>
  <c r="K361" i="557" s="1"/>
  <c r="M361" i="557" s="1"/>
  <c r="J361" i="557" a="1"/>
  <c r="J361" i="557" s="1"/>
  <c r="H361" i="557"/>
  <c r="H360" i="557"/>
  <c r="H359" i="557"/>
  <c r="V358" i="557"/>
  <c r="W358" i="557" s="1"/>
  <c r="N358" i="557"/>
  <c r="K358" i="557"/>
  <c r="M358" i="557" s="1"/>
  <c r="K358" i="557" a="1"/>
  <c r="J358" i="557"/>
  <c r="J358" i="557" a="1"/>
  <c r="H358" i="557"/>
  <c r="V357" i="557"/>
  <c r="W357" i="557" s="1"/>
  <c r="N357" i="557"/>
  <c r="K357" i="557" a="1"/>
  <c r="K357" i="557" s="1"/>
  <c r="M357" i="557" s="1"/>
  <c r="J357" i="557" a="1"/>
  <c r="J357" i="557" s="1"/>
  <c r="H357" i="557"/>
  <c r="K356" i="557" a="1"/>
  <c r="K356" i="557" s="1"/>
  <c r="M356" i="557" s="1"/>
  <c r="H356" i="557"/>
  <c r="K355" i="557" a="1"/>
  <c r="K355" i="557" s="1"/>
  <c r="M355" i="557" s="1"/>
  <c r="H355" i="557"/>
  <c r="W354" i="557"/>
  <c r="V354" i="557"/>
  <c r="N354" i="557"/>
  <c r="K354" i="557" a="1"/>
  <c r="K354" i="557" s="1"/>
  <c r="M354" i="557" s="1"/>
  <c r="J354" i="557" a="1"/>
  <c r="J354" i="557" s="1"/>
  <c r="H354" i="557"/>
  <c r="V353" i="557"/>
  <c r="W353" i="557" s="1"/>
  <c r="N353" i="557"/>
  <c r="K353" i="557" a="1"/>
  <c r="K353" i="557" s="1"/>
  <c r="M353" i="557" s="1"/>
  <c r="J353" i="557" a="1"/>
  <c r="J353" i="557" s="1"/>
  <c r="H353" i="557"/>
  <c r="V352" i="557"/>
  <c r="W352" i="557" s="1"/>
  <c r="N352" i="557"/>
  <c r="K352" i="557"/>
  <c r="M352" i="557" s="1"/>
  <c r="K352" i="557" a="1"/>
  <c r="J352" i="557"/>
  <c r="J352" i="557" a="1"/>
  <c r="H352" i="557"/>
  <c r="V351" i="557"/>
  <c r="W351" i="557" s="1"/>
  <c r="N351" i="557"/>
  <c r="K351" i="557" a="1"/>
  <c r="K351" i="557" s="1"/>
  <c r="M351" i="557" s="1"/>
  <c r="J351" i="557" a="1"/>
  <c r="J351" i="557" s="1"/>
  <c r="H351" i="557"/>
  <c r="W350" i="557"/>
  <c r="V350" i="557"/>
  <c r="N350" i="557"/>
  <c r="K350" i="557" a="1"/>
  <c r="K350" i="557" s="1"/>
  <c r="M350" i="557" s="1"/>
  <c r="J350" i="557" a="1"/>
  <c r="J350" i="557" s="1"/>
  <c r="H350" i="557"/>
  <c r="V349" i="557"/>
  <c r="V370" i="557" s="1"/>
  <c r="V507" i="557" s="1"/>
  <c r="N349" i="557"/>
  <c r="K349" i="557" a="1"/>
  <c r="K349" i="557" s="1"/>
  <c r="J349" i="557" a="1"/>
  <c r="J349" i="557" s="1"/>
  <c r="H349" i="557"/>
  <c r="H370" i="557" s="1"/>
  <c r="X343" i="557"/>
  <c r="X342" i="557"/>
  <c r="X341" i="557"/>
  <c r="G341" i="557"/>
  <c r="C341" i="557"/>
  <c r="X340" i="557"/>
  <c r="I340" i="557"/>
  <c r="E340" i="557"/>
  <c r="K340" i="557" s="1"/>
  <c r="M340" i="557" s="1"/>
  <c r="I339" i="557"/>
  <c r="E339" i="557"/>
  <c r="K339" i="557" s="1"/>
  <c r="M339" i="557" s="1"/>
  <c r="I338" i="557"/>
  <c r="E338" i="557"/>
  <c r="K338" i="557" s="1"/>
  <c r="M338" i="557" s="1"/>
  <c r="X337" i="557"/>
  <c r="I337" i="557"/>
  <c r="I341" i="557" s="1"/>
  <c r="E337" i="557"/>
  <c r="K337" i="557" s="1"/>
  <c r="AA334" i="557"/>
  <c r="Z334" i="557"/>
  <c r="Y334" i="557"/>
  <c r="X334" i="557"/>
  <c r="U334" i="557"/>
  <c r="T334" i="557"/>
  <c r="S334" i="557"/>
  <c r="R334" i="557"/>
  <c r="Q334" i="557"/>
  <c r="P334" i="557"/>
  <c r="O334" i="557"/>
  <c r="I334" i="557"/>
  <c r="G334" i="557"/>
  <c r="K333" i="557" a="1"/>
  <c r="K333" i="557" s="1"/>
  <c r="H333" i="557"/>
  <c r="K332" i="557" a="1"/>
  <c r="K332" i="557" s="1"/>
  <c r="H332" i="557"/>
  <c r="K331" i="557" a="1"/>
  <c r="K331" i="557" s="1"/>
  <c r="H331" i="557"/>
  <c r="W330" i="557"/>
  <c r="V330" i="557"/>
  <c r="N330" i="557"/>
  <c r="K330" i="557" a="1"/>
  <c r="K330" i="557" s="1"/>
  <c r="D330" i="557"/>
  <c r="H330" i="557" s="1"/>
  <c r="H329" i="557"/>
  <c r="K328" i="557" a="1"/>
  <c r="K328" i="557" s="1"/>
  <c r="M328" i="557" s="1"/>
  <c r="H328" i="557"/>
  <c r="H327" i="557"/>
  <c r="V326" i="557"/>
  <c r="W326" i="557" s="1"/>
  <c r="N326" i="557"/>
  <c r="K326" i="557" a="1"/>
  <c r="K326" i="557" s="1"/>
  <c r="M326" i="557" s="1"/>
  <c r="J326" i="557" a="1"/>
  <c r="J326" i="557" s="1"/>
  <c r="H326" i="557"/>
  <c r="W325" i="557"/>
  <c r="V325" i="557"/>
  <c r="N325" i="557"/>
  <c r="K325" i="557" a="1"/>
  <c r="K325" i="557" s="1"/>
  <c r="M325" i="557" s="1"/>
  <c r="J325" i="557" a="1"/>
  <c r="J325" i="557" s="1"/>
  <c r="H325" i="557"/>
  <c r="H324" i="557"/>
  <c r="V323" i="557"/>
  <c r="W323" i="557" s="1"/>
  <c r="N323" i="557"/>
  <c r="K323" i="557" a="1"/>
  <c r="K323" i="557" s="1"/>
  <c r="M323" i="557" s="1"/>
  <c r="J323" i="557" a="1"/>
  <c r="J323" i="557" s="1"/>
  <c r="H323" i="557"/>
  <c r="V322" i="557"/>
  <c r="W322" i="557" s="1"/>
  <c r="N322" i="557"/>
  <c r="K322" i="557" a="1"/>
  <c r="K322" i="557" s="1"/>
  <c r="M322" i="557" s="1"/>
  <c r="J322" i="557" a="1"/>
  <c r="J322" i="557" s="1"/>
  <c r="H322" i="557"/>
  <c r="V321" i="557"/>
  <c r="W321" i="557" s="1"/>
  <c r="N321" i="557"/>
  <c r="K321" i="557" a="1"/>
  <c r="K321" i="557" s="1"/>
  <c r="M321" i="557" s="1"/>
  <c r="J321" i="557" a="1"/>
  <c r="J321" i="557" s="1"/>
  <c r="H321" i="557"/>
  <c r="V320" i="557"/>
  <c r="V334" i="557" s="1"/>
  <c r="N320" i="557"/>
  <c r="K320" i="557"/>
  <c r="K320" i="557" a="1"/>
  <c r="J320" i="557"/>
  <c r="J320" i="557" a="1"/>
  <c r="H320" i="557"/>
  <c r="H334" i="557" s="1"/>
  <c r="AA319" i="557"/>
  <c r="Z319" i="557"/>
  <c r="Y319" i="557"/>
  <c r="X319" i="557"/>
  <c r="U319" i="557"/>
  <c r="T319" i="557"/>
  <c r="S319" i="557"/>
  <c r="Q319" i="557"/>
  <c r="P319" i="557"/>
  <c r="O319" i="557"/>
  <c r="R341" i="557" s="1"/>
  <c r="I319" i="557"/>
  <c r="G319" i="557"/>
  <c r="V318" i="557"/>
  <c r="W318" i="557" s="1"/>
  <c r="N318" i="557"/>
  <c r="K318" i="557" a="1"/>
  <c r="K318" i="557" s="1"/>
  <c r="M318" i="557" s="1"/>
  <c r="J318" i="557" a="1"/>
  <c r="J318" i="557" s="1"/>
  <c r="H318" i="557"/>
  <c r="H317" i="557"/>
  <c r="H316" i="557"/>
  <c r="H315" i="557"/>
  <c r="H314" i="557"/>
  <c r="W313" i="557"/>
  <c r="V313" i="557"/>
  <c r="N313" i="557"/>
  <c r="K313" i="557" a="1"/>
  <c r="K313" i="557" s="1"/>
  <c r="M313" i="557" s="1"/>
  <c r="J313" i="557" a="1"/>
  <c r="J313" i="557" s="1"/>
  <c r="H313" i="557"/>
  <c r="V312" i="557"/>
  <c r="W312" i="557" s="1"/>
  <c r="N312" i="557"/>
  <c r="K312" i="557" a="1"/>
  <c r="K312" i="557" s="1"/>
  <c r="M312" i="557" s="1"/>
  <c r="J312" i="557" a="1"/>
  <c r="J312" i="557" s="1"/>
  <c r="H312" i="557"/>
  <c r="V311" i="557"/>
  <c r="W311" i="557" s="1"/>
  <c r="N311" i="557"/>
  <c r="K311" i="557"/>
  <c r="M311" i="557" s="1"/>
  <c r="K311" i="557" a="1"/>
  <c r="J311" i="557"/>
  <c r="J311" i="557" a="1"/>
  <c r="H311" i="557"/>
  <c r="V310" i="557"/>
  <c r="W310" i="557" s="1"/>
  <c r="N310" i="557"/>
  <c r="K310" i="557" a="1"/>
  <c r="K310" i="557" s="1"/>
  <c r="M310" i="557" s="1"/>
  <c r="J310" i="557" a="1"/>
  <c r="J310" i="557" s="1"/>
  <c r="H310" i="557"/>
  <c r="W309" i="557"/>
  <c r="V309" i="557"/>
  <c r="N309" i="557"/>
  <c r="N319" i="557" s="1"/>
  <c r="K309" i="557" a="1"/>
  <c r="K309" i="557" s="1"/>
  <c r="M309" i="557" s="1"/>
  <c r="M319" i="557" s="1"/>
  <c r="J309" i="557" a="1"/>
  <c r="J309" i="557" s="1"/>
  <c r="H309" i="557"/>
  <c r="AA308" i="557"/>
  <c r="Z308" i="557"/>
  <c r="Y308" i="557"/>
  <c r="X308" i="557"/>
  <c r="U308" i="557"/>
  <c r="T308" i="557"/>
  <c r="S308" i="557"/>
  <c r="Q308" i="557"/>
  <c r="P308" i="557"/>
  <c r="O308" i="557"/>
  <c r="I308" i="557"/>
  <c r="G308" i="557"/>
  <c r="V307" i="557"/>
  <c r="W307" i="557" s="1"/>
  <c r="N307" i="557"/>
  <c r="K307" i="557" a="1"/>
  <c r="K307" i="557" s="1"/>
  <c r="M307" i="557" s="1"/>
  <c r="J307" i="557" a="1"/>
  <c r="J307" i="557" s="1"/>
  <c r="H307" i="557"/>
  <c r="V306" i="557"/>
  <c r="W306" i="557" s="1"/>
  <c r="N306" i="557"/>
  <c r="K306" i="557" a="1"/>
  <c r="K306" i="557" s="1"/>
  <c r="M306" i="557" s="1"/>
  <c r="J306" i="557" a="1"/>
  <c r="J306" i="557" s="1"/>
  <c r="H306" i="557"/>
  <c r="V305" i="557"/>
  <c r="W305" i="557" s="1"/>
  <c r="N305" i="557"/>
  <c r="K305" i="557" a="1"/>
  <c r="K305" i="557" s="1"/>
  <c r="M305" i="557" s="1"/>
  <c r="J305" i="557" a="1"/>
  <c r="J305" i="557" s="1"/>
  <c r="H305" i="557"/>
  <c r="V304" i="557"/>
  <c r="W304" i="557" s="1"/>
  <c r="N304" i="557"/>
  <c r="K304" i="557"/>
  <c r="M304" i="557" s="1"/>
  <c r="K304" i="557" a="1"/>
  <c r="J304" i="557"/>
  <c r="J304" i="557" a="1"/>
  <c r="H304" i="557"/>
  <c r="V303" i="557"/>
  <c r="W303" i="557" s="1"/>
  <c r="N303" i="557"/>
  <c r="K303" i="557" a="1"/>
  <c r="K303" i="557" s="1"/>
  <c r="M303" i="557" s="1"/>
  <c r="J303" i="557" a="1"/>
  <c r="J303" i="557" s="1"/>
  <c r="H303" i="557"/>
  <c r="W302" i="557"/>
  <c r="V302" i="557"/>
  <c r="N302" i="557"/>
  <c r="K302" i="557" a="1"/>
  <c r="K302" i="557" s="1"/>
  <c r="M302" i="557" s="1"/>
  <c r="J302" i="557" a="1"/>
  <c r="J302" i="557" s="1"/>
  <c r="H302" i="557"/>
  <c r="V301" i="557"/>
  <c r="W301" i="557" s="1"/>
  <c r="N301" i="557"/>
  <c r="K301" i="557" a="1"/>
  <c r="K301" i="557" s="1"/>
  <c r="M301" i="557" s="1"/>
  <c r="J301" i="557" a="1"/>
  <c r="J301" i="557" s="1"/>
  <c r="H301" i="557"/>
  <c r="V300" i="557"/>
  <c r="W300" i="557" s="1"/>
  <c r="N300" i="557"/>
  <c r="K300" i="557"/>
  <c r="M300" i="557" s="1"/>
  <c r="K300" i="557" a="1"/>
  <c r="J300" i="557"/>
  <c r="J300" i="557" a="1"/>
  <c r="H300" i="557"/>
  <c r="V299" i="557"/>
  <c r="W299" i="557" s="1"/>
  <c r="N299" i="557"/>
  <c r="K299" i="557" a="1"/>
  <c r="K299" i="557" s="1"/>
  <c r="M299" i="557" s="1"/>
  <c r="J299" i="557" a="1"/>
  <c r="J299" i="557" s="1"/>
  <c r="H299" i="557"/>
  <c r="W298" i="557"/>
  <c r="V298" i="557"/>
  <c r="N298" i="557"/>
  <c r="K298" i="557" a="1"/>
  <c r="K298" i="557" s="1"/>
  <c r="M298" i="557" s="1"/>
  <c r="J298" i="557" a="1"/>
  <c r="J298" i="557" s="1"/>
  <c r="H298" i="557"/>
  <c r="V297" i="557"/>
  <c r="W297" i="557" s="1"/>
  <c r="N297" i="557"/>
  <c r="K297" i="557" a="1"/>
  <c r="K297" i="557" s="1"/>
  <c r="M297" i="557" s="1"/>
  <c r="J297" i="557" a="1"/>
  <c r="J297" i="557" s="1"/>
  <c r="H297" i="557"/>
  <c r="V296" i="557"/>
  <c r="W296" i="557" s="1"/>
  <c r="N296" i="557"/>
  <c r="K296" i="557"/>
  <c r="M296" i="557" s="1"/>
  <c r="K296" i="557" a="1"/>
  <c r="J296" i="557"/>
  <c r="J296" i="557" a="1"/>
  <c r="H296" i="557"/>
  <c r="V295" i="557"/>
  <c r="W295" i="557" s="1"/>
  <c r="N295" i="557"/>
  <c r="K295" i="557" a="1"/>
  <c r="K295" i="557" s="1"/>
  <c r="M295" i="557" s="1"/>
  <c r="J295" i="557" a="1"/>
  <c r="J295" i="557" s="1"/>
  <c r="H295" i="557"/>
  <c r="W294" i="557"/>
  <c r="V294" i="557"/>
  <c r="N294" i="557"/>
  <c r="K294" i="557" a="1"/>
  <c r="K294" i="557" s="1"/>
  <c r="M294" i="557" s="1"/>
  <c r="J294" i="557" a="1"/>
  <c r="J294" i="557" s="1"/>
  <c r="H294" i="557"/>
  <c r="V293" i="557"/>
  <c r="V308" i="557" s="1"/>
  <c r="W308" i="557" s="1"/>
  <c r="N293" i="557"/>
  <c r="K293" i="557" a="1"/>
  <c r="K293" i="557" s="1"/>
  <c r="J293" i="557" a="1"/>
  <c r="J293" i="557" s="1"/>
  <c r="H293" i="557"/>
  <c r="H308" i="557" s="1"/>
  <c r="AA292" i="557"/>
  <c r="Z292" i="557"/>
  <c r="Y292" i="557"/>
  <c r="X292" i="557"/>
  <c r="U292" i="557"/>
  <c r="T292" i="557"/>
  <c r="S292" i="557"/>
  <c r="R292" i="557"/>
  <c r="Q292" i="557"/>
  <c r="P292" i="557"/>
  <c r="O292" i="557"/>
  <c r="R339" i="557" s="1"/>
  <c r="I292" i="557"/>
  <c r="G292" i="557"/>
  <c r="V291" i="557"/>
  <c r="W291" i="557" s="1"/>
  <c r="N291" i="557"/>
  <c r="K291" i="557" a="1"/>
  <c r="K291" i="557" s="1"/>
  <c r="M291" i="557" s="1"/>
  <c r="J291" i="557" a="1"/>
  <c r="J291" i="557" s="1"/>
  <c r="H291" i="557"/>
  <c r="W290" i="557"/>
  <c r="V290" i="557"/>
  <c r="N290" i="557"/>
  <c r="K290" i="557" a="1"/>
  <c r="K290" i="557" s="1"/>
  <c r="M290" i="557" s="1"/>
  <c r="J290" i="557" a="1"/>
  <c r="J290" i="557" s="1"/>
  <c r="H290" i="557"/>
  <c r="V289" i="557"/>
  <c r="W289" i="557" s="1"/>
  <c r="N289" i="557"/>
  <c r="K289" i="557" a="1"/>
  <c r="K289" i="557" s="1"/>
  <c r="M289" i="557" s="1"/>
  <c r="J289" i="557" a="1"/>
  <c r="J289" i="557" s="1"/>
  <c r="H289" i="557"/>
  <c r="H288" i="557"/>
  <c r="H287" i="557"/>
  <c r="H286" i="557"/>
  <c r="V285" i="557"/>
  <c r="W285" i="557" s="1"/>
  <c r="N285" i="557"/>
  <c r="K285" i="557" a="1"/>
  <c r="K285" i="557" s="1"/>
  <c r="M285" i="557" s="1"/>
  <c r="J285" i="557" a="1"/>
  <c r="J285" i="557" s="1"/>
  <c r="H285" i="557"/>
  <c r="V284" i="557"/>
  <c r="W284" i="557" s="1"/>
  <c r="N284" i="557"/>
  <c r="K284" i="557"/>
  <c r="M284" i="557" s="1"/>
  <c r="K284" i="557" a="1"/>
  <c r="J284" i="557"/>
  <c r="J284" i="557" a="1"/>
  <c r="H284" i="557"/>
  <c r="N283" i="557"/>
  <c r="K283" i="557" a="1"/>
  <c r="K283" i="557" s="1"/>
  <c r="M283" i="557" s="1"/>
  <c r="H283" i="557"/>
  <c r="N282" i="557"/>
  <c r="K282" i="557" a="1"/>
  <c r="K282" i="557" s="1"/>
  <c r="M282" i="557" s="1"/>
  <c r="H282" i="557"/>
  <c r="N281" i="557"/>
  <c r="K281" i="557" a="1"/>
  <c r="K281" i="557" s="1"/>
  <c r="M281" i="557" s="1"/>
  <c r="H281" i="557"/>
  <c r="N280" i="557"/>
  <c r="K280" i="557"/>
  <c r="M280" i="557" s="1"/>
  <c r="K280" i="557" a="1"/>
  <c r="H280" i="557"/>
  <c r="N279" i="557"/>
  <c r="K279" i="557" a="1"/>
  <c r="K279" i="557" s="1"/>
  <c r="M279" i="557" s="1"/>
  <c r="H279" i="557"/>
  <c r="N278" i="557"/>
  <c r="K278" i="557" a="1"/>
  <c r="K278" i="557" s="1"/>
  <c r="M278" i="557" s="1"/>
  <c r="H278" i="557"/>
  <c r="V277" i="557"/>
  <c r="W277" i="557" s="1"/>
  <c r="N277" i="557"/>
  <c r="K277" i="557" a="1"/>
  <c r="K277" i="557" s="1"/>
  <c r="M277" i="557" s="1"/>
  <c r="J277" i="557" a="1"/>
  <c r="J277" i="557" s="1"/>
  <c r="H277" i="557"/>
  <c r="W276" i="557"/>
  <c r="V276" i="557"/>
  <c r="N276" i="557"/>
  <c r="K276" i="557" a="1"/>
  <c r="K276" i="557" s="1"/>
  <c r="M276" i="557" s="1"/>
  <c r="J276" i="557" a="1"/>
  <c r="J276" i="557" s="1"/>
  <c r="H276" i="557"/>
  <c r="V275" i="557"/>
  <c r="W275" i="557" s="1"/>
  <c r="N275" i="557"/>
  <c r="K275" i="557" a="1"/>
  <c r="K275" i="557" s="1"/>
  <c r="M275" i="557" s="1"/>
  <c r="J275" i="557" a="1"/>
  <c r="J275" i="557" s="1"/>
  <c r="H275" i="557"/>
  <c r="V274" i="557"/>
  <c r="W274" i="557" s="1"/>
  <c r="N274" i="557"/>
  <c r="K274" i="557"/>
  <c r="M274" i="557" s="1"/>
  <c r="K274" i="557" a="1"/>
  <c r="J274" i="557"/>
  <c r="J274" i="557" a="1"/>
  <c r="H274" i="557"/>
  <c r="V273" i="557"/>
  <c r="W273" i="557" s="1"/>
  <c r="N273" i="557"/>
  <c r="K273" i="557" a="1"/>
  <c r="K273" i="557" s="1"/>
  <c r="M273" i="557" s="1"/>
  <c r="J273" i="557" a="1"/>
  <c r="J273" i="557" s="1"/>
  <c r="H273" i="557"/>
  <c r="V272" i="557"/>
  <c r="W272" i="557" s="1"/>
  <c r="N272" i="557"/>
  <c r="K272" i="557"/>
  <c r="M272" i="557" s="1"/>
  <c r="K272" i="557" a="1"/>
  <c r="J272" i="557"/>
  <c r="J272" i="557" a="1"/>
  <c r="H272" i="557"/>
  <c r="V271" i="557"/>
  <c r="W271" i="557" s="1"/>
  <c r="N271" i="557"/>
  <c r="K271" i="557" a="1"/>
  <c r="K271" i="557" s="1"/>
  <c r="M271" i="557" s="1"/>
  <c r="J271" i="557" a="1"/>
  <c r="J271" i="557" s="1"/>
  <c r="H271" i="557"/>
  <c r="W270" i="557"/>
  <c r="V270" i="557"/>
  <c r="N270" i="557"/>
  <c r="K270" i="557" a="1"/>
  <c r="K270" i="557" s="1"/>
  <c r="M270" i="557" s="1"/>
  <c r="J270" i="557" a="1"/>
  <c r="J270" i="557" s="1"/>
  <c r="H270" i="557"/>
  <c r="V269" i="557"/>
  <c r="W269" i="557" s="1"/>
  <c r="N269" i="557"/>
  <c r="K269" i="557" a="1"/>
  <c r="K269" i="557" s="1"/>
  <c r="M269" i="557" s="1"/>
  <c r="J269" i="557" a="1"/>
  <c r="J269" i="557" s="1"/>
  <c r="H269" i="557"/>
  <c r="V268" i="557"/>
  <c r="W268" i="557" s="1"/>
  <c r="N268" i="557"/>
  <c r="K268" i="557"/>
  <c r="M268" i="557" s="1"/>
  <c r="K268" i="557" a="1"/>
  <c r="J268" i="557"/>
  <c r="J268" i="557" a="1"/>
  <c r="H268" i="557"/>
  <c r="V267" i="557"/>
  <c r="W267" i="557" s="1"/>
  <c r="N267" i="557"/>
  <c r="K267" i="557" a="1"/>
  <c r="K267" i="557" s="1"/>
  <c r="M267" i="557" s="1"/>
  <c r="J267" i="557" a="1"/>
  <c r="J267" i="557" s="1"/>
  <c r="H267" i="557"/>
  <c r="W266" i="557"/>
  <c r="V266" i="557"/>
  <c r="N266" i="557"/>
  <c r="K266" i="557" a="1"/>
  <c r="K266" i="557" s="1"/>
  <c r="M266" i="557" s="1"/>
  <c r="J266" i="557" a="1"/>
  <c r="J266" i="557" s="1"/>
  <c r="H266" i="557"/>
  <c r="N265" i="557"/>
  <c r="K265" i="557" a="1"/>
  <c r="K265" i="557" s="1"/>
  <c r="M265" i="557" s="1"/>
  <c r="H265" i="557"/>
  <c r="V264" i="557"/>
  <c r="W264" i="557" s="1"/>
  <c r="N264" i="557"/>
  <c r="K264" i="557"/>
  <c r="M264" i="557" s="1"/>
  <c r="K264" i="557" a="1"/>
  <c r="J264" i="557"/>
  <c r="J264" i="557" a="1"/>
  <c r="H264" i="557"/>
  <c r="V263" i="557"/>
  <c r="W263" i="557" s="1"/>
  <c r="N263" i="557"/>
  <c r="K263" i="557" a="1"/>
  <c r="K263" i="557" s="1"/>
  <c r="M263" i="557" s="1"/>
  <c r="J263" i="557" a="1"/>
  <c r="J263" i="557" s="1"/>
  <c r="H263" i="557"/>
  <c r="W262" i="557"/>
  <c r="V262" i="557"/>
  <c r="N262" i="557"/>
  <c r="K262" i="557" a="1"/>
  <c r="K262" i="557" s="1"/>
  <c r="M262" i="557" s="1"/>
  <c r="J262" i="557" a="1"/>
  <c r="J262" i="557" s="1"/>
  <c r="H262" i="557"/>
  <c r="V261" i="557"/>
  <c r="W261" i="557" s="1"/>
  <c r="N261" i="557"/>
  <c r="K261" i="557" a="1"/>
  <c r="K261" i="557" s="1"/>
  <c r="M261" i="557" s="1"/>
  <c r="J261" i="557" a="1"/>
  <c r="J261" i="557" s="1"/>
  <c r="H261" i="557"/>
  <c r="V260" i="557"/>
  <c r="W260" i="557" s="1"/>
  <c r="N260" i="557"/>
  <c r="K260" i="557"/>
  <c r="M260" i="557" s="1"/>
  <c r="K260" i="557" a="1"/>
  <c r="J260" i="557"/>
  <c r="J260" i="557" a="1"/>
  <c r="H260" i="557"/>
  <c r="V259" i="557"/>
  <c r="W259" i="557" s="1"/>
  <c r="N259" i="557"/>
  <c r="K259" i="557" a="1"/>
  <c r="K259" i="557" s="1"/>
  <c r="M259" i="557" s="1"/>
  <c r="J259" i="557" a="1"/>
  <c r="J259" i="557" s="1"/>
  <c r="H259" i="557"/>
  <c r="W258" i="557"/>
  <c r="V258" i="557"/>
  <c r="V292" i="557" s="1"/>
  <c r="W292" i="557" s="1"/>
  <c r="N258" i="557"/>
  <c r="N292" i="557" s="1"/>
  <c r="K258" i="557" a="1"/>
  <c r="K258" i="557" s="1"/>
  <c r="J258" i="557" a="1"/>
  <c r="J258" i="557" s="1"/>
  <c r="H258" i="557"/>
  <c r="H292" i="557" s="1"/>
  <c r="AA257" i="557"/>
  <c r="Z257" i="557"/>
  <c r="Y257" i="557"/>
  <c r="X257" i="557"/>
  <c r="U257" i="557"/>
  <c r="T257" i="557"/>
  <c r="S257" i="557"/>
  <c r="R257" i="557"/>
  <c r="Q257" i="557"/>
  <c r="P257" i="557"/>
  <c r="O257" i="557"/>
  <c r="I257" i="557"/>
  <c r="G257" i="557"/>
  <c r="H256" i="557"/>
  <c r="H255" i="557"/>
  <c r="H254" i="557"/>
  <c r="H253" i="557"/>
  <c r="H252" i="557"/>
  <c r="H251" i="557"/>
  <c r="K250" i="557" a="1"/>
  <c r="K250" i="557" s="1"/>
  <c r="M250" i="557" s="1"/>
  <c r="H250" i="557"/>
  <c r="K249" i="557" a="1"/>
  <c r="K249" i="557" s="1"/>
  <c r="M249" i="557" s="1"/>
  <c r="H249" i="557"/>
  <c r="K248" i="557" a="1"/>
  <c r="K248" i="557" s="1"/>
  <c r="M248" i="557" s="1"/>
  <c r="H248" i="557"/>
  <c r="K247" i="557" a="1"/>
  <c r="K247" i="557" s="1"/>
  <c r="M247" i="557" s="1"/>
  <c r="H247" i="557"/>
  <c r="V246" i="557"/>
  <c r="W246" i="557" s="1"/>
  <c r="N246" i="557"/>
  <c r="K246" i="557" a="1"/>
  <c r="K246" i="557" s="1"/>
  <c r="M246" i="557" s="1"/>
  <c r="J246" i="557" a="1"/>
  <c r="J246" i="557" s="1"/>
  <c r="H246" i="557"/>
  <c r="V245" i="557"/>
  <c r="W245" i="557" s="1"/>
  <c r="N245" i="557"/>
  <c r="K245" i="557" a="1"/>
  <c r="K245" i="557" s="1"/>
  <c r="M245" i="557" s="1"/>
  <c r="J245" i="557" a="1"/>
  <c r="J245" i="557" s="1"/>
  <c r="H245" i="557"/>
  <c r="V244" i="557"/>
  <c r="W244" i="557" s="1"/>
  <c r="N244" i="557"/>
  <c r="K244" i="557"/>
  <c r="M244" i="557" s="1"/>
  <c r="K244" i="557" a="1"/>
  <c r="J244" i="557"/>
  <c r="J244" i="557" a="1"/>
  <c r="H244" i="557"/>
  <c r="V243" i="557"/>
  <c r="W243" i="557" s="1"/>
  <c r="N243" i="557"/>
  <c r="K243" i="557" a="1"/>
  <c r="K243" i="557" s="1"/>
  <c r="M243" i="557" s="1"/>
  <c r="J243" i="557" a="1"/>
  <c r="J243" i="557" s="1"/>
  <c r="H243" i="557"/>
  <c r="M242" i="557"/>
  <c r="H242" i="557"/>
  <c r="W241" i="557"/>
  <c r="V241" i="557"/>
  <c r="N241" i="557"/>
  <c r="K241" i="557" a="1"/>
  <c r="K241" i="557" s="1"/>
  <c r="M241" i="557" s="1"/>
  <c r="J241" i="557" a="1"/>
  <c r="J241" i="557" s="1"/>
  <c r="H241" i="557"/>
  <c r="V240" i="557"/>
  <c r="W240" i="557" s="1"/>
  <c r="N240" i="557"/>
  <c r="K240" i="557" a="1"/>
  <c r="K240" i="557" s="1"/>
  <c r="M240" i="557" s="1"/>
  <c r="J240" i="557" a="1"/>
  <c r="J240" i="557" s="1"/>
  <c r="H240" i="557"/>
  <c r="K239" i="557" a="1"/>
  <c r="K239" i="557" s="1"/>
  <c r="M239" i="557" s="1"/>
  <c r="H239" i="557"/>
  <c r="H238" i="557"/>
  <c r="V237" i="557"/>
  <c r="W237" i="557" s="1"/>
  <c r="N237" i="557"/>
  <c r="K237" i="557" a="1"/>
  <c r="K237" i="557" s="1"/>
  <c r="M237" i="557" s="1"/>
  <c r="J237" i="557" a="1"/>
  <c r="J237" i="557" s="1"/>
  <c r="H237" i="557"/>
  <c r="W236" i="557"/>
  <c r="V236" i="557"/>
  <c r="N236" i="557"/>
  <c r="K236" i="557" a="1"/>
  <c r="K236" i="557" s="1"/>
  <c r="M236" i="557" s="1"/>
  <c r="J236" i="557" a="1"/>
  <c r="J236" i="557" s="1"/>
  <c r="H236" i="557"/>
  <c r="V235" i="557"/>
  <c r="W235" i="557" s="1"/>
  <c r="N235" i="557"/>
  <c r="K235" i="557" a="1"/>
  <c r="K235" i="557" s="1"/>
  <c r="M235" i="557" s="1"/>
  <c r="J235" i="557" a="1"/>
  <c r="J235" i="557" s="1"/>
  <c r="H235" i="557"/>
  <c r="V234" i="557"/>
  <c r="W234" i="557" s="1"/>
  <c r="N234" i="557"/>
  <c r="K234" i="557"/>
  <c r="M234" i="557" s="1"/>
  <c r="K234" i="557" a="1"/>
  <c r="J234" i="557"/>
  <c r="J234" i="557" a="1"/>
  <c r="H234" i="557"/>
  <c r="V233" i="557"/>
  <c r="W233" i="557" s="1"/>
  <c r="N233" i="557"/>
  <c r="K233" i="557" a="1"/>
  <c r="K233" i="557" s="1"/>
  <c r="M233" i="557" s="1"/>
  <c r="J233" i="557" a="1"/>
  <c r="J233" i="557" s="1"/>
  <c r="H233" i="557"/>
  <c r="W232" i="557"/>
  <c r="V232" i="557"/>
  <c r="N232" i="557"/>
  <c r="K232" i="557" a="1"/>
  <c r="K232" i="557" s="1"/>
  <c r="M232" i="557" s="1"/>
  <c r="J232" i="557" a="1"/>
  <c r="J232" i="557" s="1"/>
  <c r="H232" i="557"/>
  <c r="V231" i="557"/>
  <c r="W231" i="557" s="1"/>
  <c r="N231" i="557"/>
  <c r="K231" i="557" a="1"/>
  <c r="K231" i="557" s="1"/>
  <c r="M231" i="557" s="1"/>
  <c r="J231" i="557" a="1"/>
  <c r="J231" i="557" s="1"/>
  <c r="H231" i="557"/>
  <c r="V230" i="557"/>
  <c r="W230" i="557" s="1"/>
  <c r="N230" i="557"/>
  <c r="K230" i="557"/>
  <c r="M230" i="557" s="1"/>
  <c r="K230" i="557" a="1"/>
  <c r="J230" i="557"/>
  <c r="J230" i="557" a="1"/>
  <c r="H230" i="557"/>
  <c r="V229" i="557"/>
  <c r="W229" i="557" s="1"/>
  <c r="N229" i="557"/>
  <c r="K229" i="557" a="1"/>
  <c r="K229" i="557" s="1"/>
  <c r="M229" i="557" s="1"/>
  <c r="J229" i="557" a="1"/>
  <c r="J229" i="557" s="1"/>
  <c r="H229" i="557"/>
  <c r="W228" i="557"/>
  <c r="V228" i="557"/>
  <c r="N228" i="557"/>
  <c r="K228" i="557" a="1"/>
  <c r="K228" i="557" s="1"/>
  <c r="M228" i="557" s="1"/>
  <c r="J228" i="557" a="1"/>
  <c r="J228" i="557" s="1"/>
  <c r="H228" i="557"/>
  <c r="N227" i="557"/>
  <c r="K227" i="557" a="1"/>
  <c r="K227" i="557" s="1"/>
  <c r="M227" i="557" s="1"/>
  <c r="H227" i="557"/>
  <c r="N226" i="557"/>
  <c r="K226" i="557"/>
  <c r="M226" i="557" s="1"/>
  <c r="K226" i="557" a="1"/>
  <c r="H226" i="557"/>
  <c r="N225" i="557"/>
  <c r="K225" i="557" a="1"/>
  <c r="K225" i="557" s="1"/>
  <c r="M225" i="557" s="1"/>
  <c r="H225" i="557"/>
  <c r="N224" i="557"/>
  <c r="K224" i="557" a="1"/>
  <c r="K224" i="557" s="1"/>
  <c r="M224" i="557" s="1"/>
  <c r="H224" i="557"/>
  <c r="N223" i="557"/>
  <c r="K223" i="557" a="1"/>
  <c r="K223" i="557" s="1"/>
  <c r="M223" i="557" s="1"/>
  <c r="H223" i="557"/>
  <c r="N222" i="557"/>
  <c r="K222" i="557"/>
  <c r="M222" i="557" s="1"/>
  <c r="K222" i="557" a="1"/>
  <c r="H222" i="557"/>
  <c r="N221" i="557"/>
  <c r="K221" i="557" a="1"/>
  <c r="K221" i="557" s="1"/>
  <c r="M221" i="557" s="1"/>
  <c r="H221" i="557"/>
  <c r="N220" i="557"/>
  <c r="K220" i="557" a="1"/>
  <c r="K220" i="557" s="1"/>
  <c r="M220" i="557" s="1"/>
  <c r="H220" i="557"/>
  <c r="V219" i="557"/>
  <c r="W219" i="557" s="1"/>
  <c r="N219" i="557"/>
  <c r="K219" i="557" a="1"/>
  <c r="K219" i="557" s="1"/>
  <c r="M219" i="557" s="1"/>
  <c r="J219" i="557" a="1"/>
  <c r="J219" i="557" s="1"/>
  <c r="H219" i="557"/>
  <c r="W218" i="557"/>
  <c r="V218" i="557"/>
  <c r="N218" i="557"/>
  <c r="K218" i="557"/>
  <c r="M218" i="557" s="1"/>
  <c r="K218" i="557" a="1"/>
  <c r="J218" i="557" a="1"/>
  <c r="J218" i="557" s="1"/>
  <c r="H218" i="557"/>
  <c r="V217" i="557"/>
  <c r="W217" i="557" s="1"/>
  <c r="N217" i="557"/>
  <c r="K217" i="557" a="1"/>
  <c r="K217" i="557" s="1"/>
  <c r="M217" i="557" s="1"/>
  <c r="J217" i="557" a="1"/>
  <c r="J217" i="557" s="1"/>
  <c r="H217" i="557"/>
  <c r="W216" i="557"/>
  <c r="V216" i="557"/>
  <c r="N216" i="557"/>
  <c r="K216" i="557" a="1"/>
  <c r="K216" i="557" s="1"/>
  <c r="M216" i="557" s="1"/>
  <c r="J216" i="557" a="1"/>
  <c r="J216" i="557" s="1"/>
  <c r="H216" i="557"/>
  <c r="V215" i="557"/>
  <c r="W215" i="557" s="1"/>
  <c r="N215" i="557"/>
  <c r="K215" i="557" a="1"/>
  <c r="K215" i="557" s="1"/>
  <c r="M215" i="557" s="1"/>
  <c r="J215" i="557" a="1"/>
  <c r="J215" i="557" s="1"/>
  <c r="H215" i="557"/>
  <c r="V214" i="557"/>
  <c r="W214" i="557" s="1"/>
  <c r="N214" i="557"/>
  <c r="K214" i="557"/>
  <c r="M214" i="557" s="1"/>
  <c r="K214" i="557" a="1"/>
  <c r="J214" i="557"/>
  <c r="J214" i="557" a="1"/>
  <c r="H214" i="557"/>
  <c r="V213" i="557"/>
  <c r="W213" i="557" s="1"/>
  <c r="N213" i="557"/>
  <c r="K213" i="557" a="1"/>
  <c r="K213" i="557" s="1"/>
  <c r="M213" i="557" s="1"/>
  <c r="J213" i="557" a="1"/>
  <c r="J213" i="557" s="1"/>
  <c r="H213" i="557"/>
  <c r="W212" i="557"/>
  <c r="V212" i="557"/>
  <c r="N212" i="557"/>
  <c r="K212" i="557" a="1"/>
  <c r="K212" i="557" s="1"/>
  <c r="M212" i="557" s="1"/>
  <c r="J212" i="557" a="1"/>
  <c r="J212" i="557" s="1"/>
  <c r="H212" i="557"/>
  <c r="V211" i="557"/>
  <c r="W211" i="557" s="1"/>
  <c r="N211" i="557"/>
  <c r="K211" i="557" a="1"/>
  <c r="K211" i="557" s="1"/>
  <c r="M211" i="557" s="1"/>
  <c r="J211" i="557" a="1"/>
  <c r="J211" i="557" s="1"/>
  <c r="H211" i="557"/>
  <c r="V210" i="557"/>
  <c r="W210" i="557" s="1"/>
  <c r="N210" i="557"/>
  <c r="K210" i="557"/>
  <c r="M210" i="557" s="1"/>
  <c r="K210" i="557" a="1"/>
  <c r="J210" i="557"/>
  <c r="J210" i="557" a="1"/>
  <c r="H210" i="557"/>
  <c r="V209" i="557"/>
  <c r="W209" i="557" s="1"/>
  <c r="N209" i="557"/>
  <c r="K209" i="557" a="1"/>
  <c r="K209" i="557" s="1"/>
  <c r="M209" i="557" s="1"/>
  <c r="J209" i="557" a="1"/>
  <c r="J209" i="557" s="1"/>
  <c r="H209" i="557"/>
  <c r="W208" i="557"/>
  <c r="V208" i="557"/>
  <c r="N208" i="557"/>
  <c r="K208" i="557" a="1"/>
  <c r="K208" i="557" s="1"/>
  <c r="M208" i="557" s="1"/>
  <c r="J208" i="557" a="1"/>
  <c r="J208" i="557" s="1"/>
  <c r="H208" i="557"/>
  <c r="H207" i="557"/>
  <c r="H206" i="557"/>
  <c r="H205" i="557"/>
  <c r="W204" i="557"/>
  <c r="V204" i="557"/>
  <c r="N204" i="557"/>
  <c r="K204" i="557"/>
  <c r="M204" i="557" s="1"/>
  <c r="K204" i="557" a="1"/>
  <c r="J204" i="557" a="1"/>
  <c r="J204" i="557" s="1"/>
  <c r="H204" i="557"/>
  <c r="V203" i="557"/>
  <c r="W203" i="557" s="1"/>
  <c r="N203" i="557"/>
  <c r="K203" i="557" a="1"/>
  <c r="K203" i="557" s="1"/>
  <c r="M203" i="557" s="1"/>
  <c r="J203" i="557" a="1"/>
  <c r="J203" i="557" s="1"/>
  <c r="H203" i="557"/>
  <c r="W202" i="557"/>
  <c r="V202" i="557"/>
  <c r="N202" i="557"/>
  <c r="K202" i="557" a="1"/>
  <c r="K202" i="557" s="1"/>
  <c r="M202" i="557" s="1"/>
  <c r="J202" i="557" a="1"/>
  <c r="J202" i="557" s="1"/>
  <c r="H202" i="557"/>
  <c r="H201" i="557"/>
  <c r="V200" i="557"/>
  <c r="V257" i="557" s="1"/>
  <c r="W257" i="557" s="1"/>
  <c r="N200" i="557"/>
  <c r="N257" i="557" s="1"/>
  <c r="K200" i="557" a="1"/>
  <c r="K200" i="557" s="1"/>
  <c r="J200" i="557" a="1"/>
  <c r="J200" i="557" s="1"/>
  <c r="H200" i="557"/>
  <c r="AA199" i="557"/>
  <c r="AA335" i="557" s="1"/>
  <c r="Z199" i="557"/>
  <c r="Z335" i="557" s="1"/>
  <c r="Y199" i="557"/>
  <c r="Y335" i="557" s="1"/>
  <c r="X199" i="557"/>
  <c r="X335" i="557" s="1"/>
  <c r="U199" i="557"/>
  <c r="U335" i="557" s="1"/>
  <c r="T199" i="557"/>
  <c r="T335" i="557" s="1"/>
  <c r="S199" i="557"/>
  <c r="S335" i="557" s="1"/>
  <c r="R199" i="557"/>
  <c r="R335" i="557" s="1"/>
  <c r="Q199" i="557"/>
  <c r="Q335" i="557" s="1"/>
  <c r="P199" i="557"/>
  <c r="O199" i="557"/>
  <c r="I199" i="557"/>
  <c r="I335" i="557" s="1"/>
  <c r="B343" i="557" s="1"/>
  <c r="G199" i="557"/>
  <c r="G335" i="557" s="1"/>
  <c r="V198" i="557"/>
  <c r="W198" i="557" s="1"/>
  <c r="N198" i="557"/>
  <c r="K198" i="557" a="1"/>
  <c r="K198" i="557" s="1"/>
  <c r="M198" i="557" s="1"/>
  <c r="J198" i="557" a="1"/>
  <c r="J198" i="557" s="1"/>
  <c r="H198" i="557"/>
  <c r="V197" i="557"/>
  <c r="W197" i="557" s="1"/>
  <c r="N197" i="557"/>
  <c r="K197" i="557"/>
  <c r="M197" i="557" s="1"/>
  <c r="K197" i="557" a="1"/>
  <c r="J197" i="557" a="1"/>
  <c r="J197" i="557" s="1"/>
  <c r="H197" i="557"/>
  <c r="K196" i="557" a="1"/>
  <c r="K196" i="557" s="1"/>
  <c r="M196" i="557" s="1"/>
  <c r="H196" i="557"/>
  <c r="K195" i="557" a="1"/>
  <c r="K195" i="557" s="1"/>
  <c r="M195" i="557" s="1"/>
  <c r="H195" i="557"/>
  <c r="K194" i="557" a="1"/>
  <c r="K194" i="557" s="1"/>
  <c r="M194" i="557" s="1"/>
  <c r="H194" i="557"/>
  <c r="K193" i="557" a="1"/>
  <c r="K193" i="557" s="1"/>
  <c r="M193" i="557" s="1"/>
  <c r="H193" i="557"/>
  <c r="V192" i="557"/>
  <c r="W192" i="557" s="1"/>
  <c r="N192" i="557"/>
  <c r="K192" i="557" a="1"/>
  <c r="K192" i="557" s="1"/>
  <c r="M192" i="557" s="1"/>
  <c r="J192" i="557" a="1"/>
  <c r="J192" i="557" s="1"/>
  <c r="H192" i="557"/>
  <c r="W191" i="557"/>
  <c r="V191" i="557"/>
  <c r="N191" i="557"/>
  <c r="K191" i="557"/>
  <c r="M191" i="557" s="1"/>
  <c r="K191" i="557" a="1"/>
  <c r="J191" i="557" a="1"/>
  <c r="J191" i="557" s="1"/>
  <c r="H191" i="557"/>
  <c r="V190" i="557"/>
  <c r="W190" i="557" s="1"/>
  <c r="N190" i="557"/>
  <c r="K190" i="557" a="1"/>
  <c r="K190" i="557" s="1"/>
  <c r="M190" i="557" s="1"/>
  <c r="J190" i="557" a="1"/>
  <c r="J190" i="557" s="1"/>
  <c r="H190" i="557"/>
  <c r="N189" i="557"/>
  <c r="K189" i="557" a="1"/>
  <c r="K189" i="557" s="1"/>
  <c r="M189" i="557" s="1"/>
  <c r="J189" i="557" a="1"/>
  <c r="J189" i="557" s="1"/>
  <c r="H189" i="557"/>
  <c r="N188" i="557"/>
  <c r="K188" i="557" a="1"/>
  <c r="K188" i="557" s="1"/>
  <c r="M188" i="557" s="1"/>
  <c r="J188" i="557" a="1"/>
  <c r="J188" i="557" s="1"/>
  <c r="H188" i="557"/>
  <c r="W187" i="557"/>
  <c r="V187" i="557"/>
  <c r="N187" i="557"/>
  <c r="K187" i="557" a="1"/>
  <c r="K187" i="557" s="1"/>
  <c r="M187" i="557" s="1"/>
  <c r="J187" i="557" a="1"/>
  <c r="J187" i="557" s="1"/>
  <c r="H187" i="557"/>
  <c r="V186" i="557"/>
  <c r="W186" i="557" s="1"/>
  <c r="N186" i="557"/>
  <c r="K186" i="557" a="1"/>
  <c r="K186" i="557" s="1"/>
  <c r="M186" i="557" s="1"/>
  <c r="J186" i="557" a="1"/>
  <c r="J186" i="557" s="1"/>
  <c r="H186" i="557"/>
  <c r="N185" i="557"/>
  <c r="K185" i="557" a="1"/>
  <c r="K185" i="557" s="1"/>
  <c r="M185" i="557" s="1"/>
  <c r="H185" i="557"/>
  <c r="N184" i="557"/>
  <c r="K184" i="557" a="1"/>
  <c r="K184" i="557" s="1"/>
  <c r="M184" i="557" s="1"/>
  <c r="H184" i="557"/>
  <c r="V183" i="557"/>
  <c r="W183" i="557" s="1"/>
  <c r="N183" i="557"/>
  <c r="K183" i="557" a="1"/>
  <c r="K183" i="557" s="1"/>
  <c r="M183" i="557" s="1"/>
  <c r="J183" i="557" a="1"/>
  <c r="J183" i="557" s="1"/>
  <c r="H183" i="557"/>
  <c r="V182" i="557"/>
  <c r="W182" i="557" s="1"/>
  <c r="N182" i="557"/>
  <c r="K182" i="557" a="1"/>
  <c r="K182" i="557" s="1"/>
  <c r="M182" i="557" s="1"/>
  <c r="J182" i="557" a="1"/>
  <c r="J182" i="557" s="1"/>
  <c r="H182" i="557"/>
  <c r="V181" i="557"/>
  <c r="W181" i="557" s="1"/>
  <c r="N181" i="557"/>
  <c r="K181" i="557" a="1"/>
  <c r="K181" i="557" s="1"/>
  <c r="M181" i="557" s="1"/>
  <c r="J181" i="557" a="1"/>
  <c r="J181" i="557" s="1"/>
  <c r="H181" i="557"/>
  <c r="V180" i="557"/>
  <c r="W180" i="557" s="1"/>
  <c r="N180" i="557"/>
  <c r="K180" i="557" a="1"/>
  <c r="K180" i="557" s="1"/>
  <c r="M180" i="557" s="1"/>
  <c r="J180" i="557" a="1"/>
  <c r="J180" i="557" s="1"/>
  <c r="H180" i="557"/>
  <c r="V179" i="557"/>
  <c r="W179" i="557" s="1"/>
  <c r="N179" i="557"/>
  <c r="K179" i="557" a="1"/>
  <c r="K179" i="557" s="1"/>
  <c r="M179" i="557" s="1"/>
  <c r="J179" i="557" a="1"/>
  <c r="J179" i="557" s="1"/>
  <c r="H179" i="557"/>
  <c r="V178" i="557"/>
  <c r="N178" i="557"/>
  <c r="K178" i="557" a="1"/>
  <c r="K178" i="557" s="1"/>
  <c r="J178" i="557" a="1"/>
  <c r="J178" i="557" s="1"/>
  <c r="H178" i="557"/>
  <c r="X171" i="557"/>
  <c r="Q529" i="557" s="1"/>
  <c r="X170" i="557"/>
  <c r="Q528" i="557" s="1"/>
  <c r="G170" i="557"/>
  <c r="C170" i="557"/>
  <c r="X169" i="557"/>
  <c r="Q527" i="557" s="1"/>
  <c r="I169" i="557"/>
  <c r="E169" i="557"/>
  <c r="K169" i="557" s="1"/>
  <c r="M169" i="557" s="1"/>
  <c r="I168" i="557"/>
  <c r="E168" i="557"/>
  <c r="K168" i="557" s="1"/>
  <c r="M168" i="557" s="1"/>
  <c r="I167" i="557"/>
  <c r="E167" i="557"/>
  <c r="K167" i="557" s="1"/>
  <c r="M167" i="557" s="1"/>
  <c r="X166" i="557"/>
  <c r="Q524" i="557" s="1"/>
  <c r="I166" i="557"/>
  <c r="I170" i="557" s="1"/>
  <c r="E166" i="557"/>
  <c r="E170" i="557" s="1"/>
  <c r="AA163" i="557"/>
  <c r="Z163" i="557"/>
  <c r="Y163" i="557"/>
  <c r="X163" i="557"/>
  <c r="U163" i="557"/>
  <c r="T163" i="557"/>
  <c r="S163" i="557"/>
  <c r="R163" i="557"/>
  <c r="Q163" i="557"/>
  <c r="P163" i="557"/>
  <c r="O163" i="557"/>
  <c r="I163" i="557"/>
  <c r="G163" i="557"/>
  <c r="C529" i="557" s="1"/>
  <c r="H162" i="557"/>
  <c r="H161" i="557"/>
  <c r="H160" i="557"/>
  <c r="V159" i="557"/>
  <c r="W159" i="557" s="1"/>
  <c r="N159" i="557"/>
  <c r="K159" i="557"/>
  <c r="K159" i="557" a="1"/>
  <c r="J159" i="557" a="1"/>
  <c r="J159" i="557" s="1"/>
  <c r="H159" i="557"/>
  <c r="D159" i="557"/>
  <c r="V158" i="557"/>
  <c r="W158" i="557" s="1"/>
  <c r="N158" i="557"/>
  <c r="K158" i="557" a="1"/>
  <c r="K158" i="557" s="1"/>
  <c r="M158" i="557" s="1"/>
  <c r="J158" i="557" a="1"/>
  <c r="J158" i="557" s="1"/>
  <c r="H158" i="557"/>
  <c r="H157" i="557"/>
  <c r="H156" i="557"/>
  <c r="V155" i="557"/>
  <c r="W155" i="557" s="1"/>
  <c r="N155" i="557"/>
  <c r="K155" i="557" a="1"/>
  <c r="K155" i="557" s="1"/>
  <c r="M155" i="557" s="1"/>
  <c r="J155" i="557" a="1"/>
  <c r="J155" i="557" s="1"/>
  <c r="H155" i="557"/>
  <c r="V154" i="557"/>
  <c r="W154" i="557" s="1"/>
  <c r="N154" i="557"/>
  <c r="K154" i="557" a="1"/>
  <c r="K154" i="557" s="1"/>
  <c r="M154" i="557" s="1"/>
  <c r="J154" i="557" a="1"/>
  <c r="J154" i="557" s="1"/>
  <c r="H154" i="557"/>
  <c r="H153" i="557"/>
  <c r="V152" i="557"/>
  <c r="W152" i="557" s="1"/>
  <c r="N152" i="557"/>
  <c r="K152" i="557" a="1"/>
  <c r="K152" i="557" s="1"/>
  <c r="M152" i="557" s="1"/>
  <c r="J152" i="557" a="1"/>
  <c r="J152" i="557" s="1"/>
  <c r="H152" i="557"/>
  <c r="V151" i="557"/>
  <c r="W151" i="557" s="1"/>
  <c r="N151" i="557"/>
  <c r="K151" i="557" a="1"/>
  <c r="K151" i="557" s="1"/>
  <c r="M151" i="557" s="1"/>
  <c r="J151" i="557" a="1"/>
  <c r="J151" i="557" s="1"/>
  <c r="H151" i="557"/>
  <c r="V150" i="557"/>
  <c r="W150" i="557" s="1"/>
  <c r="N150" i="557"/>
  <c r="K150" i="557"/>
  <c r="M150" i="557" s="1"/>
  <c r="K150" i="557" a="1"/>
  <c r="J150" i="557"/>
  <c r="J150" i="557" a="1"/>
  <c r="H150" i="557"/>
  <c r="V149" i="557"/>
  <c r="W149" i="557" s="1"/>
  <c r="N149" i="557"/>
  <c r="N163" i="557" s="1"/>
  <c r="K149" i="557" a="1"/>
  <c r="K149" i="557" s="1"/>
  <c r="J149" i="557" a="1"/>
  <c r="J149" i="557" s="1"/>
  <c r="H149" i="557"/>
  <c r="AA148" i="557"/>
  <c r="Z148" i="557"/>
  <c r="Y148" i="557"/>
  <c r="X148" i="557"/>
  <c r="U148" i="557"/>
  <c r="T148" i="557"/>
  <c r="S148" i="557"/>
  <c r="Q148" i="557"/>
  <c r="P148" i="557"/>
  <c r="O148" i="557"/>
  <c r="R170" i="557" s="1"/>
  <c r="I148" i="557"/>
  <c r="G148" i="557"/>
  <c r="C528" i="557" s="1"/>
  <c r="V147" i="557"/>
  <c r="W147" i="557" s="1"/>
  <c r="N147" i="557"/>
  <c r="K147" i="557" a="1"/>
  <c r="K147" i="557" s="1"/>
  <c r="M147" i="557" s="1"/>
  <c r="J147" i="557" a="1"/>
  <c r="J147" i="557" s="1"/>
  <c r="H147" i="557"/>
  <c r="K146" i="557" a="1"/>
  <c r="K146" i="557" s="1"/>
  <c r="H146" i="557"/>
  <c r="K145" i="557" a="1"/>
  <c r="K145" i="557" s="1"/>
  <c r="H145" i="557"/>
  <c r="K144" i="557"/>
  <c r="K144" i="557" a="1"/>
  <c r="H144" i="557"/>
  <c r="K143" i="557" a="1"/>
  <c r="K143" i="557" s="1"/>
  <c r="H143" i="557"/>
  <c r="V142" i="557"/>
  <c r="W142" i="557" s="1"/>
  <c r="N142" i="557"/>
  <c r="K142" i="557" a="1"/>
  <c r="K142" i="557" s="1"/>
  <c r="M142" i="557" s="1"/>
  <c r="J142" i="557" a="1"/>
  <c r="J142" i="557" s="1"/>
  <c r="H142" i="557"/>
  <c r="V141" i="557"/>
  <c r="W141" i="557" s="1"/>
  <c r="N141" i="557"/>
  <c r="K141" i="557" a="1"/>
  <c r="K141" i="557" s="1"/>
  <c r="M141" i="557" s="1"/>
  <c r="J141" i="557" a="1"/>
  <c r="J141" i="557" s="1"/>
  <c r="H141" i="557"/>
  <c r="V140" i="557"/>
  <c r="W140" i="557" s="1"/>
  <c r="N140" i="557"/>
  <c r="K140" i="557" a="1"/>
  <c r="K140" i="557" s="1"/>
  <c r="M140" i="557" s="1"/>
  <c r="J140" i="557" a="1"/>
  <c r="J140" i="557" s="1"/>
  <c r="H140" i="557"/>
  <c r="V139" i="557"/>
  <c r="W139" i="557" s="1"/>
  <c r="N139" i="557"/>
  <c r="K139" i="557" a="1"/>
  <c r="K139" i="557" s="1"/>
  <c r="M139" i="557" s="1"/>
  <c r="J139" i="557" a="1"/>
  <c r="J139" i="557" s="1"/>
  <c r="H139" i="557"/>
  <c r="V138" i="557"/>
  <c r="V148" i="557" s="1"/>
  <c r="W148" i="557" s="1"/>
  <c r="N138" i="557"/>
  <c r="N148" i="557" s="1"/>
  <c r="K138" i="557" a="1"/>
  <c r="K138" i="557" s="1"/>
  <c r="J138" i="557" a="1"/>
  <c r="J138" i="557" s="1"/>
  <c r="H138" i="557"/>
  <c r="H148" i="557" s="1"/>
  <c r="AA137" i="557"/>
  <c r="Z137" i="557"/>
  <c r="Y137" i="557"/>
  <c r="X137" i="557"/>
  <c r="U137" i="557"/>
  <c r="T137" i="557"/>
  <c r="S137" i="557"/>
  <c r="Q137" i="557"/>
  <c r="P137" i="557"/>
  <c r="O137" i="557"/>
  <c r="I137" i="557"/>
  <c r="G137" i="557"/>
  <c r="C527" i="557" s="1"/>
  <c r="V136" i="557"/>
  <c r="W136" i="557" s="1"/>
  <c r="N136" i="557"/>
  <c r="K136" i="557" a="1"/>
  <c r="K136" i="557" s="1"/>
  <c r="M136" i="557" s="1"/>
  <c r="J136" i="557" a="1"/>
  <c r="J136" i="557" s="1"/>
  <c r="H136" i="557"/>
  <c r="W135" i="557"/>
  <c r="V135" i="557"/>
  <c r="N135" i="557"/>
  <c r="K135" i="557" a="1"/>
  <c r="K135" i="557" s="1"/>
  <c r="M135" i="557" s="1"/>
  <c r="J135" i="557" a="1"/>
  <c r="J135" i="557" s="1"/>
  <c r="H135" i="557"/>
  <c r="V134" i="557"/>
  <c r="W134" i="557" s="1"/>
  <c r="N134" i="557"/>
  <c r="K134" i="557" a="1"/>
  <c r="K134" i="557" s="1"/>
  <c r="M134" i="557" s="1"/>
  <c r="J134" i="557" a="1"/>
  <c r="J134" i="557" s="1"/>
  <c r="H134" i="557"/>
  <c r="V133" i="557"/>
  <c r="W133" i="557" s="1"/>
  <c r="N133" i="557"/>
  <c r="K133" i="557"/>
  <c r="M133" i="557" s="1"/>
  <c r="K133" i="557" a="1"/>
  <c r="J133" i="557"/>
  <c r="J133" i="557" a="1"/>
  <c r="H133" i="557"/>
  <c r="V132" i="557"/>
  <c r="W132" i="557" s="1"/>
  <c r="N132" i="557"/>
  <c r="K132" i="557" a="1"/>
  <c r="K132" i="557" s="1"/>
  <c r="M132" i="557" s="1"/>
  <c r="J132" i="557" a="1"/>
  <c r="J132" i="557" s="1"/>
  <c r="H132" i="557"/>
  <c r="W131" i="557"/>
  <c r="V131" i="557"/>
  <c r="N131" i="557"/>
  <c r="K131" i="557" a="1"/>
  <c r="K131" i="557" s="1"/>
  <c r="M131" i="557" s="1"/>
  <c r="J131" i="557" a="1"/>
  <c r="J131" i="557" s="1"/>
  <c r="H131" i="557"/>
  <c r="V130" i="557"/>
  <c r="W130" i="557" s="1"/>
  <c r="N130" i="557"/>
  <c r="K130" i="557" a="1"/>
  <c r="K130" i="557" s="1"/>
  <c r="M130" i="557" s="1"/>
  <c r="J130" i="557" a="1"/>
  <c r="J130" i="557" s="1"/>
  <c r="H130" i="557"/>
  <c r="V129" i="557"/>
  <c r="W129" i="557" s="1"/>
  <c r="N129" i="557"/>
  <c r="K129" i="557"/>
  <c r="M129" i="557" s="1"/>
  <c r="K129" i="557" a="1"/>
  <c r="J129" i="557"/>
  <c r="J129" i="557" a="1"/>
  <c r="H129" i="557"/>
  <c r="V128" i="557"/>
  <c r="W128" i="557" s="1"/>
  <c r="N128" i="557"/>
  <c r="K128" i="557" a="1"/>
  <c r="K128" i="557" s="1"/>
  <c r="M128" i="557" s="1"/>
  <c r="J128" i="557" a="1"/>
  <c r="J128" i="557" s="1"/>
  <c r="H128" i="557"/>
  <c r="W127" i="557"/>
  <c r="V127" i="557"/>
  <c r="N127" i="557"/>
  <c r="K127" i="557" a="1"/>
  <c r="K127" i="557" s="1"/>
  <c r="M127" i="557" s="1"/>
  <c r="J127" i="557" a="1"/>
  <c r="J127" i="557" s="1"/>
  <c r="H127" i="557"/>
  <c r="V126" i="557"/>
  <c r="W126" i="557" s="1"/>
  <c r="N126" i="557"/>
  <c r="K126" i="557" a="1"/>
  <c r="K126" i="557" s="1"/>
  <c r="M126" i="557" s="1"/>
  <c r="J126" i="557" a="1"/>
  <c r="J126" i="557" s="1"/>
  <c r="H126" i="557"/>
  <c r="V125" i="557"/>
  <c r="W125" i="557" s="1"/>
  <c r="N125" i="557"/>
  <c r="K125" i="557"/>
  <c r="M125" i="557" s="1"/>
  <c r="K125" i="557" a="1"/>
  <c r="J125" i="557" a="1"/>
  <c r="J125" i="557" s="1"/>
  <c r="H125" i="557"/>
  <c r="W124" i="557"/>
  <c r="V124" i="557"/>
  <c r="N124" i="557"/>
  <c r="K124" i="557" a="1"/>
  <c r="K124" i="557" s="1"/>
  <c r="M124" i="557" s="1"/>
  <c r="J124" i="557" a="1"/>
  <c r="J124" i="557" s="1"/>
  <c r="H124" i="557"/>
  <c r="V123" i="557"/>
  <c r="W123" i="557" s="1"/>
  <c r="N123" i="557"/>
  <c r="K123" i="557" a="1"/>
  <c r="K123" i="557" s="1"/>
  <c r="M123" i="557" s="1"/>
  <c r="J123" i="557" a="1"/>
  <c r="J123" i="557" s="1"/>
  <c r="H123" i="557"/>
  <c r="V122" i="557"/>
  <c r="V137" i="557" s="1"/>
  <c r="W137" i="557" s="1"/>
  <c r="N122" i="557"/>
  <c r="K122" i="557"/>
  <c r="M122" i="557" s="1"/>
  <c r="K122" i="557" a="1"/>
  <c r="J122" i="557"/>
  <c r="J122" i="557" a="1"/>
  <c r="H122" i="557"/>
  <c r="H137" i="557" s="1"/>
  <c r="AA121" i="557"/>
  <c r="Z121" i="557"/>
  <c r="Y121" i="557"/>
  <c r="X121" i="557"/>
  <c r="U121" i="557"/>
  <c r="T121" i="557"/>
  <c r="S121" i="557"/>
  <c r="R121" i="557"/>
  <c r="Q121" i="557"/>
  <c r="P121" i="557"/>
  <c r="O121" i="557"/>
  <c r="R168" i="557" s="1"/>
  <c r="I121" i="557"/>
  <c r="G121" i="557"/>
  <c r="C526" i="557" s="1"/>
  <c r="V120" i="557"/>
  <c r="W120" i="557" s="1"/>
  <c r="N120" i="557"/>
  <c r="K120" i="557" a="1"/>
  <c r="K120" i="557" s="1"/>
  <c r="M120" i="557" s="1"/>
  <c r="J120" i="557" a="1"/>
  <c r="J120" i="557" s="1"/>
  <c r="H120" i="557"/>
  <c r="W119" i="557"/>
  <c r="V119" i="557"/>
  <c r="N119" i="557"/>
  <c r="K119" i="557" a="1"/>
  <c r="K119" i="557" s="1"/>
  <c r="M119" i="557" s="1"/>
  <c r="J119" i="557" a="1"/>
  <c r="J119" i="557" s="1"/>
  <c r="H119" i="557"/>
  <c r="V118" i="557"/>
  <c r="W118" i="557" s="1"/>
  <c r="N118" i="557"/>
  <c r="K118" i="557" a="1"/>
  <c r="K118" i="557" s="1"/>
  <c r="M118" i="557" s="1"/>
  <c r="J118" i="557" a="1"/>
  <c r="J118" i="557" s="1"/>
  <c r="H118" i="557"/>
  <c r="K117" i="557" a="1"/>
  <c r="K117" i="557" s="1"/>
  <c r="H117" i="557"/>
  <c r="K116" i="557" a="1"/>
  <c r="K116" i="557" s="1"/>
  <c r="H116" i="557"/>
  <c r="K115" i="557"/>
  <c r="K115" i="557" a="1"/>
  <c r="H115" i="557"/>
  <c r="V114" i="557"/>
  <c r="W114" i="557" s="1"/>
  <c r="N114" i="557"/>
  <c r="K114" i="557" a="1"/>
  <c r="K114" i="557" s="1"/>
  <c r="M114" i="557" s="1"/>
  <c r="J114" i="557" a="1"/>
  <c r="J114" i="557" s="1"/>
  <c r="H114" i="557"/>
  <c r="W113" i="557"/>
  <c r="V113" i="557"/>
  <c r="N113" i="557"/>
  <c r="K113" i="557" a="1"/>
  <c r="K113" i="557" s="1"/>
  <c r="M113" i="557" s="1"/>
  <c r="J113" i="557" a="1"/>
  <c r="J113" i="557" s="1"/>
  <c r="H113" i="557"/>
  <c r="N112" i="557"/>
  <c r="K112" i="557" a="1"/>
  <c r="K112" i="557" s="1"/>
  <c r="M112" i="557" s="1"/>
  <c r="H112" i="557"/>
  <c r="N111" i="557"/>
  <c r="K111" i="557"/>
  <c r="M111" i="557" s="1"/>
  <c r="K111" i="557" a="1"/>
  <c r="H111" i="557"/>
  <c r="N110" i="557"/>
  <c r="K110" i="557" a="1"/>
  <c r="K110" i="557" s="1"/>
  <c r="M110" i="557" s="1"/>
  <c r="H110" i="557"/>
  <c r="N109" i="557"/>
  <c r="K109" i="557" a="1"/>
  <c r="K109" i="557" s="1"/>
  <c r="M109" i="557" s="1"/>
  <c r="H109" i="557"/>
  <c r="N108" i="557"/>
  <c r="K108" i="557" a="1"/>
  <c r="K108" i="557" s="1"/>
  <c r="M108" i="557" s="1"/>
  <c r="H108" i="557"/>
  <c r="N107" i="557"/>
  <c r="K107" i="557" a="1"/>
  <c r="K107" i="557" s="1"/>
  <c r="M107" i="557" s="1"/>
  <c r="H107" i="557"/>
  <c r="V106" i="557"/>
  <c r="W106" i="557" s="1"/>
  <c r="N106" i="557"/>
  <c r="K106" i="557" a="1"/>
  <c r="K106" i="557" s="1"/>
  <c r="M106" i="557" s="1"/>
  <c r="J106" i="557" a="1"/>
  <c r="J106" i="557" s="1"/>
  <c r="H106" i="557"/>
  <c r="V105" i="557"/>
  <c r="W105" i="557" s="1"/>
  <c r="N105" i="557"/>
  <c r="K105" i="557" a="1"/>
  <c r="K105" i="557" s="1"/>
  <c r="M105" i="557" s="1"/>
  <c r="J105" i="557" a="1"/>
  <c r="J105" i="557" s="1"/>
  <c r="H105" i="557"/>
  <c r="V104" i="557"/>
  <c r="W104" i="557" s="1"/>
  <c r="N104" i="557"/>
  <c r="K104" i="557" a="1"/>
  <c r="K104" i="557" s="1"/>
  <c r="M104" i="557" s="1"/>
  <c r="J104" i="557" a="1"/>
  <c r="J104" i="557" s="1"/>
  <c r="H104" i="557"/>
  <c r="V103" i="557"/>
  <c r="W103" i="557" s="1"/>
  <c r="N103" i="557"/>
  <c r="K103" i="557"/>
  <c r="M103" i="557" s="1"/>
  <c r="K103" i="557" a="1"/>
  <c r="J103" i="557"/>
  <c r="J103" i="557" a="1"/>
  <c r="H103" i="557"/>
  <c r="V102" i="557"/>
  <c r="W102" i="557" s="1"/>
  <c r="N102" i="557"/>
  <c r="K102" i="557" a="1"/>
  <c r="K102" i="557" s="1"/>
  <c r="M102" i="557" s="1"/>
  <c r="J102" i="557" a="1"/>
  <c r="J102" i="557" s="1"/>
  <c r="H102" i="557"/>
  <c r="V101" i="557"/>
  <c r="W101" i="557" s="1"/>
  <c r="N101" i="557"/>
  <c r="K101" i="557"/>
  <c r="M101" i="557" s="1"/>
  <c r="K101" i="557" a="1"/>
  <c r="J101" i="557"/>
  <c r="J101" i="557" a="1"/>
  <c r="H101" i="557"/>
  <c r="V100" i="557"/>
  <c r="W100" i="557" s="1"/>
  <c r="N100" i="557"/>
  <c r="K100" i="557" a="1"/>
  <c r="K100" i="557" s="1"/>
  <c r="M100" i="557" s="1"/>
  <c r="J100" i="557" a="1"/>
  <c r="J100" i="557" s="1"/>
  <c r="H100" i="557"/>
  <c r="W99" i="557"/>
  <c r="V99" i="557"/>
  <c r="N99" i="557"/>
  <c r="K99" i="557" a="1"/>
  <c r="K99" i="557" s="1"/>
  <c r="M99" i="557" s="1"/>
  <c r="J99" i="557" a="1"/>
  <c r="J99" i="557" s="1"/>
  <c r="H99" i="557"/>
  <c r="V98" i="557"/>
  <c r="W98" i="557" s="1"/>
  <c r="N98" i="557"/>
  <c r="K98" i="557" a="1"/>
  <c r="K98" i="557" s="1"/>
  <c r="M98" i="557" s="1"/>
  <c r="J98" i="557" a="1"/>
  <c r="J98" i="557" s="1"/>
  <c r="H98" i="557"/>
  <c r="V97" i="557"/>
  <c r="W97" i="557" s="1"/>
  <c r="N97" i="557"/>
  <c r="K97" i="557"/>
  <c r="M97" i="557" s="1"/>
  <c r="K97" i="557" a="1"/>
  <c r="J97" i="557"/>
  <c r="J97" i="557" a="1"/>
  <c r="H97" i="557"/>
  <c r="V96" i="557"/>
  <c r="W96" i="557" s="1"/>
  <c r="N96" i="557"/>
  <c r="K96" i="557" a="1"/>
  <c r="K96" i="557" s="1"/>
  <c r="M96" i="557" s="1"/>
  <c r="J96" i="557" a="1"/>
  <c r="J96" i="557" s="1"/>
  <c r="H96" i="557"/>
  <c r="W95" i="557"/>
  <c r="V95" i="557"/>
  <c r="N95" i="557"/>
  <c r="K95" i="557" a="1"/>
  <c r="K95" i="557" s="1"/>
  <c r="M95" i="557" s="1"/>
  <c r="J95" i="557" a="1"/>
  <c r="J95" i="557" s="1"/>
  <c r="H95" i="557"/>
  <c r="K94" i="557"/>
  <c r="M94" i="557" s="1"/>
  <c r="K94" i="557" a="1"/>
  <c r="H94" i="557"/>
  <c r="V93" i="557"/>
  <c r="W93" i="557" s="1"/>
  <c r="N93" i="557"/>
  <c r="K93" i="557" a="1"/>
  <c r="K93" i="557" s="1"/>
  <c r="M93" i="557" s="1"/>
  <c r="J93" i="557" a="1"/>
  <c r="J93" i="557" s="1"/>
  <c r="H93" i="557"/>
  <c r="W92" i="557"/>
  <c r="V92" i="557"/>
  <c r="N92" i="557"/>
  <c r="K92" i="557" a="1"/>
  <c r="K92" i="557" s="1"/>
  <c r="M92" i="557" s="1"/>
  <c r="J92" i="557" a="1"/>
  <c r="J92" i="557" s="1"/>
  <c r="H92" i="557"/>
  <c r="V91" i="557"/>
  <c r="W91" i="557" s="1"/>
  <c r="N91" i="557"/>
  <c r="K91" i="557" a="1"/>
  <c r="K91" i="557" s="1"/>
  <c r="M91" i="557" s="1"/>
  <c r="J91" i="557" a="1"/>
  <c r="J91" i="557" s="1"/>
  <c r="H91" i="557"/>
  <c r="V90" i="557"/>
  <c r="W90" i="557" s="1"/>
  <c r="N90" i="557"/>
  <c r="K90" i="557"/>
  <c r="M90" i="557" s="1"/>
  <c r="K90" i="557" a="1"/>
  <c r="J90" i="557"/>
  <c r="J90" i="557" a="1"/>
  <c r="H90" i="557"/>
  <c r="V89" i="557"/>
  <c r="W89" i="557" s="1"/>
  <c r="N89" i="557"/>
  <c r="K89" i="557" a="1"/>
  <c r="K89" i="557" s="1"/>
  <c r="M89" i="557" s="1"/>
  <c r="J89" i="557" a="1"/>
  <c r="J89" i="557" s="1"/>
  <c r="H89" i="557"/>
  <c r="W88" i="557"/>
  <c r="V88" i="557"/>
  <c r="N88" i="557"/>
  <c r="K88" i="557" a="1"/>
  <c r="K88" i="557" s="1"/>
  <c r="M88" i="557" s="1"/>
  <c r="J88" i="557" a="1"/>
  <c r="J88" i="557" s="1"/>
  <c r="H88" i="557"/>
  <c r="V87" i="557"/>
  <c r="V121" i="557" s="1"/>
  <c r="W121" i="557" s="1"/>
  <c r="N87" i="557"/>
  <c r="K87" i="557" a="1"/>
  <c r="K87" i="557" s="1"/>
  <c r="J87" i="557" a="1"/>
  <c r="J87" i="557" s="1"/>
  <c r="H87" i="557"/>
  <c r="AA86" i="557"/>
  <c r="Z86" i="557"/>
  <c r="Y86" i="557"/>
  <c r="X86" i="557"/>
  <c r="U86" i="557"/>
  <c r="T86" i="557"/>
  <c r="S86" i="557"/>
  <c r="R86" i="557"/>
  <c r="Q86" i="557"/>
  <c r="P86" i="557"/>
  <c r="O86" i="557"/>
  <c r="R167" i="557" s="1"/>
  <c r="I86" i="557"/>
  <c r="G86" i="557"/>
  <c r="C525" i="557" s="1"/>
  <c r="K85" i="557" a="1"/>
  <c r="K85" i="557" s="1"/>
  <c r="H85" i="557"/>
  <c r="K84" i="557"/>
  <c r="K84" i="557" a="1"/>
  <c r="H84" i="557"/>
  <c r="K83" i="557" a="1"/>
  <c r="K83" i="557" s="1"/>
  <c r="H83" i="557"/>
  <c r="K82" i="557" a="1"/>
  <c r="K82" i="557" s="1"/>
  <c r="H82" i="557"/>
  <c r="K81" i="557" a="1"/>
  <c r="K81" i="557" s="1"/>
  <c r="H81" i="557"/>
  <c r="K80" i="557" a="1"/>
  <c r="K80" i="557" s="1"/>
  <c r="H80" i="557"/>
  <c r="K79" i="557" a="1"/>
  <c r="K79" i="557" s="1"/>
  <c r="M79" i="557" s="1"/>
  <c r="H79" i="557"/>
  <c r="K78" i="557"/>
  <c r="M78" i="557" s="1"/>
  <c r="K78" i="557" a="1"/>
  <c r="H78" i="557"/>
  <c r="K77" i="557" a="1"/>
  <c r="K77" i="557" s="1"/>
  <c r="M77" i="557" s="1"/>
  <c r="H77" i="557"/>
  <c r="K76" i="557"/>
  <c r="M76" i="557" s="1"/>
  <c r="K76" i="557" a="1"/>
  <c r="H76" i="557"/>
  <c r="V75" i="557"/>
  <c r="W75" i="557" s="1"/>
  <c r="N75" i="557"/>
  <c r="K75" i="557" a="1"/>
  <c r="K75" i="557" s="1"/>
  <c r="M75" i="557" s="1"/>
  <c r="J75" i="557" a="1"/>
  <c r="J75" i="557" s="1"/>
  <c r="H75" i="557"/>
  <c r="V74" i="557"/>
  <c r="W74" i="557" s="1"/>
  <c r="N74" i="557"/>
  <c r="K74" i="557"/>
  <c r="M74" i="557" s="1"/>
  <c r="K74" i="557" a="1"/>
  <c r="J74" i="557"/>
  <c r="J74" i="557" a="1"/>
  <c r="H74" i="557"/>
  <c r="V73" i="557"/>
  <c r="W73" i="557" s="1"/>
  <c r="N73" i="557"/>
  <c r="K73" i="557" a="1"/>
  <c r="K73" i="557" s="1"/>
  <c r="M73" i="557" s="1"/>
  <c r="J73" i="557" a="1"/>
  <c r="J73" i="557" s="1"/>
  <c r="H73" i="557"/>
  <c r="W72" i="557"/>
  <c r="V72" i="557"/>
  <c r="N72" i="557"/>
  <c r="K72" i="557" a="1"/>
  <c r="K72" i="557" s="1"/>
  <c r="M72" i="557" s="1"/>
  <c r="J72" i="557" a="1"/>
  <c r="J72" i="557" s="1"/>
  <c r="H72" i="557"/>
  <c r="H71" i="557"/>
  <c r="V70" i="557"/>
  <c r="W70" i="557" s="1"/>
  <c r="N70" i="557"/>
  <c r="K70" i="557"/>
  <c r="M70" i="557" s="1"/>
  <c r="K70" i="557" a="1"/>
  <c r="J70" i="557"/>
  <c r="J70" i="557" a="1"/>
  <c r="H70" i="557"/>
  <c r="V69" i="557"/>
  <c r="W69" i="557" s="1"/>
  <c r="N69" i="557"/>
  <c r="K69" i="557" a="1"/>
  <c r="K69" i="557" s="1"/>
  <c r="M69" i="557" s="1"/>
  <c r="J69" i="557" a="1"/>
  <c r="J69" i="557" s="1"/>
  <c r="H69" i="557"/>
  <c r="K68" i="557"/>
  <c r="K68" i="557" a="1"/>
  <c r="H68" i="557"/>
  <c r="K67" i="557" a="1"/>
  <c r="K67" i="557" s="1"/>
  <c r="H67" i="557"/>
  <c r="V66" i="557"/>
  <c r="W66" i="557" s="1"/>
  <c r="N66" i="557"/>
  <c r="K66" i="557" a="1"/>
  <c r="K66" i="557" s="1"/>
  <c r="M66" i="557" s="1"/>
  <c r="J66" i="557" a="1"/>
  <c r="J66" i="557" s="1"/>
  <c r="H66" i="557"/>
  <c r="V65" i="557"/>
  <c r="W65" i="557" s="1"/>
  <c r="N65" i="557"/>
  <c r="K65" i="557" a="1"/>
  <c r="K65" i="557" s="1"/>
  <c r="M65" i="557" s="1"/>
  <c r="J65" i="557" a="1"/>
  <c r="J65" i="557" s="1"/>
  <c r="H65" i="557"/>
  <c r="V64" i="557"/>
  <c r="W64" i="557" s="1"/>
  <c r="N64" i="557"/>
  <c r="K64" i="557" a="1"/>
  <c r="K64" i="557" s="1"/>
  <c r="M64" i="557" s="1"/>
  <c r="J64" i="557" a="1"/>
  <c r="J64" i="557" s="1"/>
  <c r="H64" i="557"/>
  <c r="V63" i="557"/>
  <c r="W63" i="557" s="1"/>
  <c r="N63" i="557"/>
  <c r="K63" i="557" a="1"/>
  <c r="K63" i="557" s="1"/>
  <c r="M63" i="557" s="1"/>
  <c r="J63" i="557" a="1"/>
  <c r="J63" i="557" s="1"/>
  <c r="H63" i="557"/>
  <c r="V62" i="557"/>
  <c r="W62" i="557" s="1"/>
  <c r="N62" i="557"/>
  <c r="K62" i="557" a="1"/>
  <c r="K62" i="557" s="1"/>
  <c r="M62" i="557" s="1"/>
  <c r="J62" i="557" a="1"/>
  <c r="J62" i="557" s="1"/>
  <c r="H62" i="557"/>
  <c r="V61" i="557"/>
  <c r="W61" i="557" s="1"/>
  <c r="N61" i="557"/>
  <c r="K61" i="557" a="1"/>
  <c r="K61" i="557" s="1"/>
  <c r="M61" i="557" s="1"/>
  <c r="J61" i="557" a="1"/>
  <c r="J61" i="557" s="1"/>
  <c r="H61" i="557"/>
  <c r="V60" i="557"/>
  <c r="W60" i="557" s="1"/>
  <c r="N60" i="557"/>
  <c r="K60" i="557" a="1"/>
  <c r="K60" i="557" s="1"/>
  <c r="M60" i="557" s="1"/>
  <c r="J60" i="557" a="1"/>
  <c r="J60" i="557" s="1"/>
  <c r="H60" i="557"/>
  <c r="V59" i="557"/>
  <c r="W59" i="557" s="1"/>
  <c r="N59" i="557"/>
  <c r="K59" i="557" a="1"/>
  <c r="K59" i="557" s="1"/>
  <c r="M59" i="557" s="1"/>
  <c r="J59" i="557" a="1"/>
  <c r="J59" i="557" s="1"/>
  <c r="H59" i="557"/>
  <c r="V58" i="557"/>
  <c r="W58" i="557" s="1"/>
  <c r="N58" i="557"/>
  <c r="K58" i="557" a="1"/>
  <c r="K58" i="557" s="1"/>
  <c r="M58" i="557" s="1"/>
  <c r="J58" i="557" a="1"/>
  <c r="J58" i="557" s="1"/>
  <c r="H58" i="557"/>
  <c r="V57" i="557"/>
  <c r="W57" i="557" s="1"/>
  <c r="N57" i="557"/>
  <c r="K57" i="557" a="1"/>
  <c r="K57" i="557" s="1"/>
  <c r="M57" i="557" s="1"/>
  <c r="J57" i="557" a="1"/>
  <c r="J57" i="557" s="1"/>
  <c r="H57" i="557"/>
  <c r="K56" i="557" a="1"/>
  <c r="K56" i="557" s="1"/>
  <c r="M56" i="557" s="1"/>
  <c r="H56" i="557"/>
  <c r="K55" i="557" a="1"/>
  <c r="K55" i="557" s="1"/>
  <c r="M55" i="557" s="1"/>
  <c r="H55" i="557"/>
  <c r="K54" i="557" a="1"/>
  <c r="K54" i="557" s="1"/>
  <c r="M54" i="557" s="1"/>
  <c r="H54" i="557"/>
  <c r="K53" i="557" a="1"/>
  <c r="K53" i="557" s="1"/>
  <c r="M53" i="557" s="1"/>
  <c r="H53" i="557"/>
  <c r="N52" i="557"/>
  <c r="K52" i="557" a="1"/>
  <c r="K52" i="557" s="1"/>
  <c r="M52" i="557" s="1"/>
  <c r="H52" i="557"/>
  <c r="N51" i="557"/>
  <c r="K51" i="557" a="1"/>
  <c r="K51" i="557" s="1"/>
  <c r="M51" i="557" s="1"/>
  <c r="H51" i="557"/>
  <c r="N50" i="557"/>
  <c r="K50" i="557" a="1"/>
  <c r="K50" i="557" s="1"/>
  <c r="M50" i="557" s="1"/>
  <c r="H50" i="557"/>
  <c r="N49" i="557"/>
  <c r="K49" i="557" a="1"/>
  <c r="K49" i="557" s="1"/>
  <c r="M49" i="557" s="1"/>
  <c r="H49" i="557"/>
  <c r="V48" i="557"/>
  <c r="W48" i="557" s="1"/>
  <c r="N48" i="557"/>
  <c r="K48" i="557" a="1"/>
  <c r="K48" i="557" s="1"/>
  <c r="M48" i="557" s="1"/>
  <c r="J48" i="557" a="1"/>
  <c r="J48" i="557" s="1"/>
  <c r="H48" i="557"/>
  <c r="V47" i="557"/>
  <c r="W47" i="557" s="1"/>
  <c r="N47" i="557"/>
  <c r="K47" i="557" a="1"/>
  <c r="K47" i="557" s="1"/>
  <c r="M47" i="557" s="1"/>
  <c r="J47" i="557" a="1"/>
  <c r="J47" i="557" s="1"/>
  <c r="H47" i="557"/>
  <c r="V46" i="557"/>
  <c r="W46" i="557" s="1"/>
  <c r="N46" i="557"/>
  <c r="K46" i="557"/>
  <c r="M46" i="557" s="1"/>
  <c r="K46" i="557" a="1"/>
  <c r="J46" i="557"/>
  <c r="J46" i="557" a="1"/>
  <c r="H46" i="557"/>
  <c r="V45" i="557"/>
  <c r="W45" i="557" s="1"/>
  <c r="N45" i="557"/>
  <c r="K45" i="557" a="1"/>
  <c r="K45" i="557" s="1"/>
  <c r="M45" i="557" s="1"/>
  <c r="J45" i="557" a="1"/>
  <c r="J45" i="557" s="1"/>
  <c r="H45" i="557"/>
  <c r="V44" i="557"/>
  <c r="W44" i="557" s="1"/>
  <c r="N44" i="557"/>
  <c r="K44" i="557" a="1"/>
  <c r="K44" i="557" s="1"/>
  <c r="M44" i="557" s="1"/>
  <c r="J44" i="557" a="1"/>
  <c r="J44" i="557" s="1"/>
  <c r="H44" i="557"/>
  <c r="V43" i="557"/>
  <c r="W43" i="557" s="1"/>
  <c r="N43" i="557"/>
  <c r="K43" i="557" a="1"/>
  <c r="K43" i="557" s="1"/>
  <c r="M43" i="557" s="1"/>
  <c r="J43" i="557" a="1"/>
  <c r="J43" i="557" s="1"/>
  <c r="H43" i="557"/>
  <c r="V42" i="557"/>
  <c r="W42" i="557" s="1"/>
  <c r="N42" i="557"/>
  <c r="K42" i="557" a="1"/>
  <c r="K42" i="557" s="1"/>
  <c r="M42" i="557" s="1"/>
  <c r="J42" i="557" a="1"/>
  <c r="J42" i="557" s="1"/>
  <c r="H42" i="557"/>
  <c r="V41" i="557"/>
  <c r="W41" i="557" s="1"/>
  <c r="N41" i="557"/>
  <c r="K41" i="557" a="1"/>
  <c r="K41" i="557" s="1"/>
  <c r="M41" i="557" s="1"/>
  <c r="J41" i="557" a="1"/>
  <c r="J41" i="557" s="1"/>
  <c r="H41" i="557"/>
  <c r="V40" i="557"/>
  <c r="W40" i="557" s="1"/>
  <c r="N40" i="557"/>
  <c r="K40" i="557" a="1"/>
  <c r="K40" i="557" s="1"/>
  <c r="M40" i="557" s="1"/>
  <c r="J40" i="557" a="1"/>
  <c r="J40" i="557" s="1"/>
  <c r="H40" i="557"/>
  <c r="V39" i="557"/>
  <c r="W39" i="557" s="1"/>
  <c r="N39" i="557"/>
  <c r="K39" i="557" a="1"/>
  <c r="K39" i="557" s="1"/>
  <c r="M39" i="557" s="1"/>
  <c r="J39" i="557" a="1"/>
  <c r="J39" i="557" s="1"/>
  <c r="H39" i="557"/>
  <c r="W38" i="557"/>
  <c r="V38" i="557"/>
  <c r="N38" i="557"/>
  <c r="K38" i="557" a="1"/>
  <c r="K38" i="557" s="1"/>
  <c r="M38" i="557" s="1"/>
  <c r="J38" i="557" a="1"/>
  <c r="J38" i="557" s="1"/>
  <c r="H38" i="557"/>
  <c r="V37" i="557"/>
  <c r="W37" i="557" s="1"/>
  <c r="N37" i="557"/>
  <c r="K37" i="557" a="1"/>
  <c r="K37" i="557" s="1"/>
  <c r="M37" i="557" s="1"/>
  <c r="J37" i="557" a="1"/>
  <c r="J37" i="557" s="1"/>
  <c r="H37" i="557"/>
  <c r="H36" i="557"/>
  <c r="H35" i="557"/>
  <c r="H34" i="557"/>
  <c r="V33" i="557"/>
  <c r="W33" i="557" s="1"/>
  <c r="N33" i="557"/>
  <c r="K33" i="557" a="1"/>
  <c r="K33" i="557" s="1"/>
  <c r="M33" i="557" s="1"/>
  <c r="J33" i="557" a="1"/>
  <c r="J33" i="557" s="1"/>
  <c r="H33" i="557"/>
  <c r="V32" i="557"/>
  <c r="W32" i="557" s="1"/>
  <c r="N32" i="557"/>
  <c r="K32" i="557" a="1"/>
  <c r="K32" i="557" s="1"/>
  <c r="M32" i="557" s="1"/>
  <c r="J32" i="557" a="1"/>
  <c r="J32" i="557" s="1"/>
  <c r="H32" i="557"/>
  <c r="V31" i="557"/>
  <c r="W31" i="557" s="1"/>
  <c r="N31" i="557"/>
  <c r="K31" i="557" a="1"/>
  <c r="K31" i="557" s="1"/>
  <c r="M31" i="557" s="1"/>
  <c r="J31" i="557" a="1"/>
  <c r="J31" i="557" s="1"/>
  <c r="H31" i="557"/>
  <c r="K30" i="557" a="1"/>
  <c r="K30" i="557" s="1"/>
  <c r="H30" i="557"/>
  <c r="V29" i="557"/>
  <c r="V86" i="557" s="1"/>
  <c r="W86" i="557" s="1"/>
  <c r="N29" i="557"/>
  <c r="N86" i="557" s="1"/>
  <c r="K29" i="557" a="1"/>
  <c r="K29" i="557" s="1"/>
  <c r="J29" i="557" a="1"/>
  <c r="J29" i="557" s="1"/>
  <c r="H29" i="557"/>
  <c r="H86" i="557" s="1"/>
  <c r="AA28" i="557"/>
  <c r="AA164" i="557" s="1"/>
  <c r="Z28" i="557"/>
  <c r="Z164" i="557" s="1"/>
  <c r="Y28" i="557"/>
  <c r="Y164" i="557" s="1"/>
  <c r="X28" i="557"/>
  <c r="X164" i="557" s="1"/>
  <c r="U28" i="557"/>
  <c r="U164" i="557" s="1"/>
  <c r="T28" i="557"/>
  <c r="T164" i="557" s="1"/>
  <c r="S28" i="557"/>
  <c r="S164" i="557" s="1"/>
  <c r="R28" i="557"/>
  <c r="R164" i="557" s="1"/>
  <c r="Q28" i="557"/>
  <c r="Q164" i="557" s="1"/>
  <c r="P28" i="557"/>
  <c r="O28" i="557"/>
  <c r="I28" i="557"/>
  <c r="I164" i="557" s="1"/>
  <c r="B172" i="557" s="1"/>
  <c r="G28" i="557"/>
  <c r="V27" i="557"/>
  <c r="W27" i="557" s="1"/>
  <c r="N27" i="557"/>
  <c r="K27" i="557" a="1"/>
  <c r="K27" i="557" s="1"/>
  <c r="M27" i="557" s="1"/>
  <c r="J27" i="557" a="1"/>
  <c r="J27" i="557" s="1"/>
  <c r="H27" i="557"/>
  <c r="V26" i="557"/>
  <c r="W26" i="557" s="1"/>
  <c r="N26" i="557"/>
  <c r="K26" i="557"/>
  <c r="M26" i="557" s="1"/>
  <c r="K26" i="557" a="1"/>
  <c r="J26" i="557"/>
  <c r="J26" i="557" a="1"/>
  <c r="H26" i="557"/>
  <c r="K25" i="557" a="1"/>
  <c r="K25" i="557" s="1"/>
  <c r="M25" i="557" s="1"/>
  <c r="J25" i="557" a="1"/>
  <c r="J25" i="557" s="1"/>
  <c r="H25" i="557"/>
  <c r="K24" i="557"/>
  <c r="M24" i="557" s="1"/>
  <c r="K24" i="557" a="1"/>
  <c r="J24" i="557"/>
  <c r="J24" i="557" a="1"/>
  <c r="H24" i="557"/>
  <c r="K23" i="557" a="1"/>
  <c r="K23" i="557" s="1"/>
  <c r="M23" i="557" s="1"/>
  <c r="J23" i="557" a="1"/>
  <c r="J23" i="557" s="1"/>
  <c r="H23" i="557"/>
  <c r="K22" i="557"/>
  <c r="M22" i="557" s="1"/>
  <c r="K22" i="557" a="1"/>
  <c r="J22" i="557"/>
  <c r="J22" i="557" a="1"/>
  <c r="H22" i="557"/>
  <c r="V21" i="557"/>
  <c r="W21" i="557" s="1"/>
  <c r="N21" i="557"/>
  <c r="K21" i="557" a="1"/>
  <c r="K21" i="557" s="1"/>
  <c r="M21" i="557" s="1"/>
  <c r="J21" i="557" a="1"/>
  <c r="J21" i="557" s="1"/>
  <c r="H21" i="557"/>
  <c r="W20" i="557"/>
  <c r="V20" i="557"/>
  <c r="N20" i="557"/>
  <c r="K20" i="557" a="1"/>
  <c r="K20" i="557" s="1"/>
  <c r="M20" i="557" s="1"/>
  <c r="J20" i="557" a="1"/>
  <c r="J20" i="557" s="1"/>
  <c r="H20" i="557"/>
  <c r="V19" i="557"/>
  <c r="W19" i="557" s="1"/>
  <c r="N19" i="557"/>
  <c r="K19" i="557" a="1"/>
  <c r="K19" i="557" s="1"/>
  <c r="M19" i="557" s="1"/>
  <c r="H19" i="557"/>
  <c r="N18" i="557"/>
  <c r="K18" i="557" a="1"/>
  <c r="K18" i="557" s="1"/>
  <c r="M18" i="557" s="1"/>
  <c r="J18" i="557" a="1"/>
  <c r="J18" i="557" s="1"/>
  <c r="H18" i="557"/>
  <c r="N17" i="557"/>
  <c r="K17" i="557" a="1"/>
  <c r="K17" i="557" s="1"/>
  <c r="M17" i="557" s="1"/>
  <c r="J17" i="557" a="1"/>
  <c r="J17" i="557" s="1"/>
  <c r="H17" i="557"/>
  <c r="W16" i="557"/>
  <c r="V16" i="557"/>
  <c r="N16" i="557"/>
  <c r="K16" i="557" a="1"/>
  <c r="K16" i="557" s="1"/>
  <c r="M16" i="557" s="1"/>
  <c r="J16" i="557" a="1"/>
  <c r="J16" i="557" s="1"/>
  <c r="H16" i="557"/>
  <c r="V15" i="557"/>
  <c r="W15" i="557" s="1"/>
  <c r="N15" i="557"/>
  <c r="K15" i="557" a="1"/>
  <c r="K15" i="557" s="1"/>
  <c r="M15" i="557" s="1"/>
  <c r="J15" i="557" a="1"/>
  <c r="J15" i="557" s="1"/>
  <c r="H15" i="557"/>
  <c r="N14" i="557"/>
  <c r="K14" i="557" a="1"/>
  <c r="K14" i="557" s="1"/>
  <c r="M14" i="557" s="1"/>
  <c r="H14" i="557"/>
  <c r="N13" i="557"/>
  <c r="K13" i="557" a="1"/>
  <c r="K13" i="557" s="1"/>
  <c r="M13" i="557" s="1"/>
  <c r="H13" i="557"/>
  <c r="W12" i="557"/>
  <c r="V12" i="557"/>
  <c r="N12" i="557"/>
  <c r="K12" i="557" a="1"/>
  <c r="K12" i="557" s="1"/>
  <c r="M12" i="557" s="1"/>
  <c r="J12" i="557" a="1"/>
  <c r="J12" i="557" s="1"/>
  <c r="H12" i="557"/>
  <c r="V11" i="557"/>
  <c r="W11" i="557" s="1"/>
  <c r="N11" i="557"/>
  <c r="K11" i="557" a="1"/>
  <c r="K11" i="557" s="1"/>
  <c r="M11" i="557" s="1"/>
  <c r="J11" i="557" a="1"/>
  <c r="J11" i="557" s="1"/>
  <c r="H11" i="557"/>
  <c r="V10" i="557"/>
  <c r="W10" i="557" s="1"/>
  <c r="N10" i="557"/>
  <c r="K10" i="557" a="1"/>
  <c r="K10" i="557" s="1"/>
  <c r="M10" i="557" s="1"/>
  <c r="J10" i="557" a="1"/>
  <c r="J10" i="557" s="1"/>
  <c r="H10" i="557"/>
  <c r="V9" i="557"/>
  <c r="W9" i="557" s="1"/>
  <c r="N9" i="557"/>
  <c r="K9" i="557" a="1"/>
  <c r="K9" i="557" s="1"/>
  <c r="M9" i="557" s="1"/>
  <c r="J9" i="557" a="1"/>
  <c r="J9" i="557" s="1"/>
  <c r="H9" i="557"/>
  <c r="V8" i="557"/>
  <c r="W8" i="557" s="1"/>
  <c r="N8" i="557"/>
  <c r="K8" i="557" a="1"/>
  <c r="K8" i="557" s="1"/>
  <c r="M8" i="557" s="1"/>
  <c r="J8" i="557" a="1"/>
  <c r="J8" i="557" s="1"/>
  <c r="H8" i="557"/>
  <c r="V7" i="557"/>
  <c r="N7" i="557"/>
  <c r="K7" i="557" a="1"/>
  <c r="K7" i="557" s="1"/>
  <c r="J7" i="557" a="1"/>
  <c r="J7" i="557" s="1"/>
  <c r="H7" i="557"/>
  <c r="H28" i="557" l="1"/>
  <c r="V28" i="557"/>
  <c r="J319" i="557" a="1"/>
  <c r="J319" i="557" s="1"/>
  <c r="H199" i="557"/>
  <c r="V199" i="557"/>
  <c r="J257" i="557" a="1"/>
  <c r="J257" i="557" s="1"/>
  <c r="J292" i="557" a="1"/>
  <c r="J292" i="557" s="1"/>
  <c r="J308" i="557" a="1"/>
  <c r="J308" i="557" s="1"/>
  <c r="N334" i="557"/>
  <c r="R342" i="557"/>
  <c r="W320" i="557"/>
  <c r="R340" i="557"/>
  <c r="N308" i="557"/>
  <c r="H257" i="557"/>
  <c r="N199" i="557"/>
  <c r="N335" i="557" s="1"/>
  <c r="B344" i="557" s="1"/>
  <c r="E344" i="557" s="1"/>
  <c r="K334" i="557"/>
  <c r="H319" i="557"/>
  <c r="K292" i="557"/>
  <c r="J463" i="557" a="1"/>
  <c r="J463" i="557" s="1"/>
  <c r="R535" i="557"/>
  <c r="S535" i="557" a="1"/>
  <c r="S535" i="557" s="1"/>
  <c r="T535" i="557" a="1"/>
  <c r="T535" i="557" s="1"/>
  <c r="J534" i="557"/>
  <c r="Q534" i="557" s="1"/>
  <c r="R534" i="557" s="1"/>
  <c r="J536" i="557"/>
  <c r="Q533" i="557"/>
  <c r="S533" i="557" s="1" a="1"/>
  <c r="S533" i="557" s="1"/>
  <c r="T533" i="557" a="1"/>
  <c r="T533" i="557" s="1"/>
  <c r="C536" i="557"/>
  <c r="T536" i="557" s="1" a="1"/>
  <c r="T536" i="557" s="1"/>
  <c r="N479" i="557"/>
  <c r="W464" i="557"/>
  <c r="H490" i="557"/>
  <c r="K479" i="557"/>
  <c r="K463" i="557"/>
  <c r="W429" i="557"/>
  <c r="N370" i="557"/>
  <c r="R171" i="557"/>
  <c r="J148" i="557" a="1"/>
  <c r="J148" i="557" s="1"/>
  <c r="R169" i="557"/>
  <c r="N137" i="557"/>
  <c r="W122" i="557"/>
  <c r="N28" i="557"/>
  <c r="H163" i="557"/>
  <c r="J163" i="557" a="1"/>
  <c r="J163" i="557" s="1"/>
  <c r="M137" i="557"/>
  <c r="K28" i="557"/>
  <c r="M7" i="557"/>
  <c r="M28" i="557" s="1"/>
  <c r="W28" i="557"/>
  <c r="K121" i="557"/>
  <c r="M87" i="557"/>
  <c r="M121" i="557" s="1"/>
  <c r="K86" i="557"/>
  <c r="M29" i="557"/>
  <c r="M86" i="557" s="1"/>
  <c r="C524" i="557"/>
  <c r="G164" i="557"/>
  <c r="C520" i="557"/>
  <c r="O164" i="557"/>
  <c r="R166" i="557"/>
  <c r="K525" i="557"/>
  <c r="K527" i="557"/>
  <c r="K148" i="557"/>
  <c r="M138" i="557"/>
  <c r="M148" i="557" s="1"/>
  <c r="K199" i="557"/>
  <c r="M178" i="557"/>
  <c r="M199" i="557" s="1"/>
  <c r="K257" i="557"/>
  <c r="M200" i="557"/>
  <c r="M257" i="557" s="1"/>
  <c r="M293" i="557"/>
  <c r="M308" i="557" s="1"/>
  <c r="K308" i="557"/>
  <c r="W7" i="557"/>
  <c r="J28" i="557" a="1"/>
  <c r="J28" i="557" s="1"/>
  <c r="X167" i="557"/>
  <c r="P164" i="557"/>
  <c r="X168" i="557" s="1"/>
  <c r="W29" i="557"/>
  <c r="J86" i="557" a="1"/>
  <c r="J86" i="557" s="1"/>
  <c r="H121" i="557"/>
  <c r="H164" i="557" s="1"/>
  <c r="E171" i="557" s="1"/>
  <c r="N121" i="557"/>
  <c r="N164" i="557" s="1"/>
  <c r="B173" i="557" s="1"/>
  <c r="W87" i="557"/>
  <c r="K526" i="557"/>
  <c r="K528" i="557"/>
  <c r="K163" i="557"/>
  <c r="M149" i="557"/>
  <c r="M163" i="557" s="1"/>
  <c r="K529" i="557"/>
  <c r="J121" i="557" a="1"/>
  <c r="J121" i="557" s="1"/>
  <c r="J137" i="557" a="1"/>
  <c r="J137" i="557" s="1"/>
  <c r="K137" i="557"/>
  <c r="V163" i="557"/>
  <c r="W163" i="557" s="1"/>
  <c r="K166" i="557"/>
  <c r="X173" i="557"/>
  <c r="Z169" i="557" s="1"/>
  <c r="B342" i="557"/>
  <c r="J335" i="557" a="1"/>
  <c r="J335" i="557" s="1"/>
  <c r="M342" i="557" s="1"/>
  <c r="R337" i="557"/>
  <c r="O335" i="557"/>
  <c r="R338" i="557"/>
  <c r="M258" i="557"/>
  <c r="M292" i="557" s="1"/>
  <c r="W293" i="557"/>
  <c r="V319" i="557"/>
  <c r="W319" i="557" s="1"/>
  <c r="W334" i="557"/>
  <c r="K341" i="557"/>
  <c r="M337" i="557"/>
  <c r="W138" i="557"/>
  <c r="W178" i="557"/>
  <c r="W199" i="557" s="1"/>
  <c r="J199" i="557" a="1"/>
  <c r="J199" i="557" s="1"/>
  <c r="X338" i="557"/>
  <c r="P335" i="557"/>
  <c r="X339" i="557" s="1"/>
  <c r="W200" i="557"/>
  <c r="K319" i="557"/>
  <c r="K370" i="557"/>
  <c r="M349" i="557"/>
  <c r="M370" i="557" s="1"/>
  <c r="I516" i="557"/>
  <c r="W507" i="557"/>
  <c r="K428" i="557"/>
  <c r="M371" i="557"/>
  <c r="M428" i="557" s="1"/>
  <c r="E341" i="557"/>
  <c r="B514" i="557"/>
  <c r="J507" i="557" a="1"/>
  <c r="J507" i="557" s="1"/>
  <c r="M514" i="557" s="1"/>
  <c r="R509" i="557"/>
  <c r="X509" i="557"/>
  <c r="O507" i="557"/>
  <c r="X510" i="557" s="1"/>
  <c r="M320" i="557"/>
  <c r="M334" i="557" s="1"/>
  <c r="W349" i="557"/>
  <c r="W370" i="557" s="1"/>
  <c r="J370" i="557" a="1"/>
  <c r="J370" i="557" s="1"/>
  <c r="W371" i="557"/>
  <c r="K490" i="557"/>
  <c r="M480" i="557"/>
  <c r="M490" i="557" s="1"/>
  <c r="K506" i="557"/>
  <c r="M491" i="557"/>
  <c r="M506" i="557" s="1"/>
  <c r="R510" i="557"/>
  <c r="M429" i="557"/>
  <c r="M463" i="557" s="1"/>
  <c r="R511" i="557"/>
  <c r="M464" i="557"/>
  <c r="M479" i="557" s="1"/>
  <c r="R512" i="557"/>
  <c r="W480" i="557"/>
  <c r="R513" i="557"/>
  <c r="H506" i="557"/>
  <c r="H507" i="557" s="1"/>
  <c r="E514" i="557" s="1"/>
  <c r="N506" i="557"/>
  <c r="N507" i="557" s="1"/>
  <c r="B516" i="557" s="1"/>
  <c r="E516" i="557" s="1"/>
  <c r="W491" i="557"/>
  <c r="W506" i="557" s="1"/>
  <c r="R533" i="557"/>
  <c r="R536" i="557" s="1"/>
  <c r="Q536" i="557"/>
  <c r="S536" i="557" s="1" a="1"/>
  <c r="S536" i="557" s="1"/>
  <c r="S534" i="557" a="1"/>
  <c r="S534" i="557" s="1"/>
  <c r="K157" i="556" a="1"/>
  <c r="K157" i="556" s="1"/>
  <c r="M328" i="556"/>
  <c r="H335" i="557" l="1"/>
  <c r="E342" i="557" s="1"/>
  <c r="X344" i="557"/>
  <c r="Z342" i="557" s="1"/>
  <c r="W335" i="557"/>
  <c r="Z170" i="557"/>
  <c r="Z171" i="557"/>
  <c r="Z337" i="557" a="1"/>
  <c r="Z337" i="557" s="1"/>
  <c r="Z343" i="557"/>
  <c r="Z340" i="557"/>
  <c r="C521" i="557"/>
  <c r="G521" i="557" s="1"/>
  <c r="E173" i="557"/>
  <c r="G519" i="557"/>
  <c r="R516" i="557"/>
  <c r="M507" i="557"/>
  <c r="Z339" i="557"/>
  <c r="M341" i="557"/>
  <c r="Z172" i="557"/>
  <c r="Z166" i="557" a="1"/>
  <c r="Z166" i="557" s="1"/>
  <c r="M166" i="557"/>
  <c r="K170" i="557"/>
  <c r="M170" i="557" s="1"/>
  <c r="Q526" i="557"/>
  <c r="Z168" i="557"/>
  <c r="V335" i="557"/>
  <c r="I344" i="557" s="1"/>
  <c r="M344" i="557" s="1" a="1"/>
  <c r="M344" i="557" s="1"/>
  <c r="K335" i="557"/>
  <c r="K524" i="557"/>
  <c r="R173" i="557"/>
  <c r="T166" i="557" s="1" a="1"/>
  <c r="T166" i="557" s="1"/>
  <c r="J164" i="557" a="1"/>
  <c r="J164" i="557" s="1"/>
  <c r="M171" i="557" s="1"/>
  <c r="B171" i="557"/>
  <c r="C519" i="557" s="1"/>
  <c r="V164" i="557"/>
  <c r="I173" i="557" s="1"/>
  <c r="K164" i="557"/>
  <c r="E172" i="557" s="1"/>
  <c r="X516" i="557"/>
  <c r="Z509" i="557" s="1" a="1"/>
  <c r="Z509" i="557" s="1"/>
  <c r="M516" i="557" a="1"/>
  <c r="M516" i="557" s="1"/>
  <c r="K507" i="557"/>
  <c r="Z338" i="557"/>
  <c r="R344" i="557"/>
  <c r="Q525" i="557"/>
  <c r="Z167" i="557"/>
  <c r="M335" i="557"/>
  <c r="C530" i="557"/>
  <c r="W164" i="557"/>
  <c r="M164" i="557"/>
  <c r="G136" i="556"/>
  <c r="G64" i="556"/>
  <c r="G45" i="556"/>
  <c r="G37" i="556"/>
  <c r="G328" i="556"/>
  <c r="G307" i="556"/>
  <c r="G235" i="556"/>
  <c r="G212" i="556"/>
  <c r="G215" i="556"/>
  <c r="G200" i="556"/>
  <c r="G192" i="556"/>
  <c r="G190" i="556"/>
  <c r="G178" i="556"/>
  <c r="D534" i="556"/>
  <c r="D535" i="556"/>
  <c r="D533" i="556"/>
  <c r="G434" i="556"/>
  <c r="G433" i="556"/>
  <c r="G449" i="556"/>
  <c r="G65" i="556"/>
  <c r="G19" i="556"/>
  <c r="G44" i="556"/>
  <c r="G21" i="556"/>
  <c r="G7" i="556"/>
  <c r="G120" i="556"/>
  <c r="G107" i="556"/>
  <c r="Z341" i="557" l="1"/>
  <c r="Q530" i="557"/>
  <c r="T343" i="557"/>
  <c r="T340" i="557"/>
  <c r="T341" i="557"/>
  <c r="T339" i="557"/>
  <c r="T342" i="557"/>
  <c r="K521" i="557"/>
  <c r="O521" i="557" s="1" a="1"/>
  <c r="O521" i="557" s="1"/>
  <c r="M173" i="557" a="1"/>
  <c r="M173" i="557" s="1"/>
  <c r="O519" i="557" a="1"/>
  <c r="O519" i="557" s="1"/>
  <c r="S526" i="557"/>
  <c r="T515" i="557"/>
  <c r="T514" i="557"/>
  <c r="T510" i="557"/>
  <c r="T512" i="557"/>
  <c r="E525" i="557"/>
  <c r="E526" i="557"/>
  <c r="E529" i="557"/>
  <c r="E527" i="557"/>
  <c r="E528" i="557"/>
  <c r="E524" i="557"/>
  <c r="T337" i="557" a="1"/>
  <c r="T337" i="557" s="1"/>
  <c r="T338" i="557"/>
  <c r="E515" i="557"/>
  <c r="I515" i="557" s="1"/>
  <c r="M515" i="557" s="1"/>
  <c r="L507" i="557"/>
  <c r="I514" i="557" s="1"/>
  <c r="Z515" i="557"/>
  <c r="Z513" i="557"/>
  <c r="Z512" i="557"/>
  <c r="Z514" i="557"/>
  <c r="Z511" i="557"/>
  <c r="I172" i="557"/>
  <c r="M172" i="557" s="1"/>
  <c r="L164" i="557"/>
  <c r="I171" i="557" s="1"/>
  <c r="K530" i="557"/>
  <c r="T172" i="557"/>
  <c r="T167" i="557"/>
  <c r="T169" i="557"/>
  <c r="T168" i="557"/>
  <c r="T170" i="557"/>
  <c r="T171" i="557"/>
  <c r="E343" i="557"/>
  <c r="I343" i="557" s="1"/>
  <c r="M343" i="557" s="1"/>
  <c r="L335" i="557"/>
  <c r="I342" i="557" s="1"/>
  <c r="T509" i="557" a="1"/>
  <c r="T509" i="557" s="1"/>
  <c r="Z510" i="557"/>
  <c r="T511" i="557"/>
  <c r="T513" i="557"/>
  <c r="P536" i="556"/>
  <c r="O536" i="556"/>
  <c r="N536" i="556"/>
  <c r="M536" i="556"/>
  <c r="L536" i="556"/>
  <c r="K536" i="556"/>
  <c r="I536" i="556"/>
  <c r="H536" i="556"/>
  <c r="G536" i="556"/>
  <c r="F536" i="556"/>
  <c r="E536" i="556"/>
  <c r="D536" i="556"/>
  <c r="C535" i="556"/>
  <c r="J535" i="556" s="1"/>
  <c r="Q535" i="556" s="1"/>
  <c r="C534" i="556"/>
  <c r="J534" i="556" s="1"/>
  <c r="Q534" i="556" s="1"/>
  <c r="C533" i="556"/>
  <c r="J533" i="556" s="1"/>
  <c r="G517" i="556"/>
  <c r="N517" i="556" s="1"/>
  <c r="X515" i="556"/>
  <c r="X514" i="556"/>
  <c r="X513" i="556"/>
  <c r="G513" i="556"/>
  <c r="C513" i="556"/>
  <c r="X512" i="556"/>
  <c r="I512" i="556"/>
  <c r="E512" i="556"/>
  <c r="K512" i="556" s="1"/>
  <c r="M512" i="556" s="1"/>
  <c r="X511" i="556"/>
  <c r="I511" i="556"/>
  <c r="E511" i="556"/>
  <c r="K511" i="556" s="1"/>
  <c r="M511" i="556" s="1"/>
  <c r="I510" i="556"/>
  <c r="E510" i="556"/>
  <c r="K510" i="556" s="1"/>
  <c r="M510" i="556" s="1"/>
  <c r="I509" i="556"/>
  <c r="I513" i="556" s="1"/>
  <c r="E509" i="556"/>
  <c r="E513" i="556" s="1"/>
  <c r="AA506" i="556"/>
  <c r="Z506" i="556"/>
  <c r="Y506" i="556"/>
  <c r="X506" i="556"/>
  <c r="U506" i="556"/>
  <c r="T506" i="556"/>
  <c r="S506" i="556"/>
  <c r="R506" i="556"/>
  <c r="Q506" i="556"/>
  <c r="P506" i="556"/>
  <c r="O506" i="556"/>
  <c r="R514" i="556" s="1"/>
  <c r="I506" i="556"/>
  <c r="G506" i="556"/>
  <c r="J506" i="556" s="1" a="1"/>
  <c r="J506" i="556" s="1"/>
  <c r="H505" i="556"/>
  <c r="H504" i="556"/>
  <c r="H503" i="556"/>
  <c r="D502" i="556"/>
  <c r="H502" i="556" s="1"/>
  <c r="V501" i="556"/>
  <c r="W501" i="556" s="1"/>
  <c r="N501" i="556"/>
  <c r="K501" i="556" a="1"/>
  <c r="K501" i="556" s="1"/>
  <c r="M501" i="556" s="1"/>
  <c r="J501" i="556" a="1"/>
  <c r="J501" i="556" s="1"/>
  <c r="H501" i="556"/>
  <c r="H500" i="556"/>
  <c r="H499" i="556"/>
  <c r="V498" i="556"/>
  <c r="W498" i="556" s="1"/>
  <c r="N498" i="556"/>
  <c r="K498" i="556"/>
  <c r="M498" i="556" s="1"/>
  <c r="K498" i="556" a="1"/>
  <c r="J498" i="556"/>
  <c r="J498" i="556" a="1"/>
  <c r="H498" i="556"/>
  <c r="V497" i="556"/>
  <c r="W497" i="556" s="1"/>
  <c r="N497" i="556"/>
  <c r="K497" i="556" a="1"/>
  <c r="K497" i="556" s="1"/>
  <c r="M497" i="556" s="1"/>
  <c r="J497" i="556" a="1"/>
  <c r="J497" i="556" s="1"/>
  <c r="H497" i="556"/>
  <c r="H496" i="556"/>
  <c r="H495" i="556"/>
  <c r="V494" i="556"/>
  <c r="W494" i="556" s="1"/>
  <c r="N494" i="556"/>
  <c r="K494" i="556" a="1"/>
  <c r="K494" i="556" s="1"/>
  <c r="M494" i="556" s="1"/>
  <c r="J494" i="556" a="1"/>
  <c r="J494" i="556" s="1"/>
  <c r="H494" i="556"/>
  <c r="V493" i="556"/>
  <c r="W493" i="556" s="1"/>
  <c r="N493" i="556"/>
  <c r="K493" i="556" a="1"/>
  <c r="K493" i="556" s="1"/>
  <c r="M493" i="556" s="1"/>
  <c r="J493" i="556" a="1"/>
  <c r="J493" i="556" s="1"/>
  <c r="H493" i="556"/>
  <c r="V492" i="556"/>
  <c r="W492" i="556" s="1"/>
  <c r="N492" i="556"/>
  <c r="K492" i="556"/>
  <c r="M492" i="556" s="1"/>
  <c r="K492" i="556" a="1"/>
  <c r="J492" i="556"/>
  <c r="J492" i="556" a="1"/>
  <c r="H492" i="556"/>
  <c r="V491" i="556"/>
  <c r="N491" i="556"/>
  <c r="N506" i="556" s="1"/>
  <c r="K491" i="556" a="1"/>
  <c r="K491" i="556" s="1"/>
  <c r="J491" i="556" a="1"/>
  <c r="J491" i="556" s="1"/>
  <c r="H491" i="556"/>
  <c r="AA490" i="556"/>
  <c r="Z490" i="556"/>
  <c r="Y490" i="556"/>
  <c r="X490" i="556"/>
  <c r="U490" i="556"/>
  <c r="T490" i="556"/>
  <c r="S490" i="556"/>
  <c r="Q490" i="556"/>
  <c r="P490" i="556"/>
  <c r="O490" i="556"/>
  <c r="I490" i="556"/>
  <c r="G490" i="556"/>
  <c r="J490" i="556" s="1" a="1"/>
  <c r="J490" i="556" s="1"/>
  <c r="V489" i="556"/>
  <c r="W489" i="556" s="1"/>
  <c r="N489" i="556"/>
  <c r="K489" i="556"/>
  <c r="M489" i="556" s="1"/>
  <c r="K489" i="556" a="1"/>
  <c r="J489" i="556"/>
  <c r="J489" i="556" a="1"/>
  <c r="H489" i="556"/>
  <c r="H488" i="556"/>
  <c r="H487" i="556"/>
  <c r="H486" i="556"/>
  <c r="H485" i="556"/>
  <c r="V484" i="556"/>
  <c r="W484" i="556" s="1"/>
  <c r="N484" i="556"/>
  <c r="K484" i="556" a="1"/>
  <c r="K484" i="556" s="1"/>
  <c r="M484" i="556" s="1"/>
  <c r="J484" i="556" a="1"/>
  <c r="J484" i="556" s="1"/>
  <c r="H484" i="556"/>
  <c r="V483" i="556"/>
  <c r="W483" i="556" s="1"/>
  <c r="N483" i="556"/>
  <c r="K483" i="556"/>
  <c r="M483" i="556" s="1"/>
  <c r="K483" i="556" a="1"/>
  <c r="J483" i="556"/>
  <c r="J483" i="556" a="1"/>
  <c r="H483" i="556"/>
  <c r="V482" i="556"/>
  <c r="W482" i="556" s="1"/>
  <c r="N482" i="556"/>
  <c r="K482" i="556" a="1"/>
  <c r="K482" i="556" s="1"/>
  <c r="M482" i="556" s="1"/>
  <c r="J482" i="556" a="1"/>
  <c r="J482" i="556" s="1"/>
  <c r="H482" i="556"/>
  <c r="V481" i="556"/>
  <c r="W481" i="556" s="1"/>
  <c r="N481" i="556"/>
  <c r="K481" i="556" a="1"/>
  <c r="K481" i="556" s="1"/>
  <c r="M481" i="556" s="1"/>
  <c r="J481" i="556" a="1"/>
  <c r="J481" i="556" s="1"/>
  <c r="H481" i="556"/>
  <c r="V480" i="556"/>
  <c r="V490" i="556" s="1"/>
  <c r="W490" i="556" s="1"/>
  <c r="N480" i="556"/>
  <c r="K480" i="556" a="1"/>
  <c r="K480" i="556" s="1"/>
  <c r="J480" i="556" a="1"/>
  <c r="J480" i="556" s="1"/>
  <c r="H480" i="556"/>
  <c r="AA479" i="556"/>
  <c r="Z479" i="556"/>
  <c r="Y479" i="556"/>
  <c r="X479" i="556"/>
  <c r="U479" i="556"/>
  <c r="T479" i="556"/>
  <c r="S479" i="556"/>
  <c r="Q479" i="556"/>
  <c r="P479" i="556"/>
  <c r="O479" i="556"/>
  <c r="I479" i="556"/>
  <c r="G479" i="556"/>
  <c r="J479" i="556" s="1" a="1"/>
  <c r="J479" i="556" s="1"/>
  <c r="V478" i="556"/>
  <c r="W478" i="556" s="1"/>
  <c r="N478" i="556"/>
  <c r="K478" i="556" a="1"/>
  <c r="K478" i="556" s="1"/>
  <c r="M478" i="556" s="1"/>
  <c r="J478" i="556" a="1"/>
  <c r="J478" i="556" s="1"/>
  <c r="H478" i="556"/>
  <c r="V477" i="556"/>
  <c r="W477" i="556" s="1"/>
  <c r="N477" i="556"/>
  <c r="K477" i="556" a="1"/>
  <c r="K477" i="556" s="1"/>
  <c r="M477" i="556" s="1"/>
  <c r="J477" i="556" a="1"/>
  <c r="J477" i="556" s="1"/>
  <c r="H477" i="556"/>
  <c r="V476" i="556"/>
  <c r="W476" i="556" s="1"/>
  <c r="N476" i="556"/>
  <c r="K476" i="556"/>
  <c r="M476" i="556" s="1"/>
  <c r="K476" i="556" a="1"/>
  <c r="J476" i="556"/>
  <c r="J476" i="556" a="1"/>
  <c r="H476" i="556"/>
  <c r="V475" i="556"/>
  <c r="W475" i="556" s="1"/>
  <c r="N475" i="556"/>
  <c r="K475" i="556" a="1"/>
  <c r="K475" i="556" s="1"/>
  <c r="M475" i="556" s="1"/>
  <c r="J475" i="556" a="1"/>
  <c r="J475" i="556" s="1"/>
  <c r="H475" i="556"/>
  <c r="W474" i="556"/>
  <c r="V474" i="556"/>
  <c r="N474" i="556"/>
  <c r="K474" i="556" a="1"/>
  <c r="K474" i="556" s="1"/>
  <c r="M474" i="556" s="1"/>
  <c r="J474" i="556" a="1"/>
  <c r="J474" i="556" s="1"/>
  <c r="H474" i="556"/>
  <c r="V473" i="556"/>
  <c r="W473" i="556" s="1"/>
  <c r="N473" i="556"/>
  <c r="K473" i="556" a="1"/>
  <c r="K473" i="556" s="1"/>
  <c r="M473" i="556" s="1"/>
  <c r="J473" i="556" a="1"/>
  <c r="J473" i="556" s="1"/>
  <c r="H473" i="556"/>
  <c r="V472" i="556"/>
  <c r="W472" i="556" s="1"/>
  <c r="N472" i="556"/>
  <c r="K472" i="556"/>
  <c r="M472" i="556" s="1"/>
  <c r="K472" i="556" a="1"/>
  <c r="J472" i="556"/>
  <c r="J472" i="556" a="1"/>
  <c r="H472" i="556"/>
  <c r="V471" i="556"/>
  <c r="W471" i="556" s="1"/>
  <c r="N471" i="556"/>
  <c r="K471" i="556" a="1"/>
  <c r="K471" i="556" s="1"/>
  <c r="M471" i="556" s="1"/>
  <c r="J471" i="556" a="1"/>
  <c r="J471" i="556" s="1"/>
  <c r="H471" i="556"/>
  <c r="W470" i="556"/>
  <c r="V470" i="556"/>
  <c r="N470" i="556"/>
  <c r="K470" i="556" a="1"/>
  <c r="K470" i="556" s="1"/>
  <c r="M470" i="556" s="1"/>
  <c r="J470" i="556" a="1"/>
  <c r="J470" i="556" s="1"/>
  <c r="H470" i="556"/>
  <c r="V469" i="556"/>
  <c r="W469" i="556" s="1"/>
  <c r="N469" i="556"/>
  <c r="M469" i="556"/>
  <c r="K469" i="556" a="1"/>
  <c r="K469" i="556" s="1"/>
  <c r="J469" i="556" a="1"/>
  <c r="J469" i="556" s="1"/>
  <c r="H469" i="556"/>
  <c r="W468" i="556"/>
  <c r="V468" i="556"/>
  <c r="N468" i="556"/>
  <c r="K468" i="556" a="1"/>
  <c r="K468" i="556" s="1"/>
  <c r="M468" i="556" s="1"/>
  <c r="J468" i="556" a="1"/>
  <c r="J468" i="556" s="1"/>
  <c r="H468" i="556"/>
  <c r="V467" i="556"/>
  <c r="W467" i="556" s="1"/>
  <c r="N467" i="556"/>
  <c r="M467" i="556"/>
  <c r="K467" i="556" a="1"/>
  <c r="K467" i="556" s="1"/>
  <c r="J467" i="556" a="1"/>
  <c r="J467" i="556" s="1"/>
  <c r="H467" i="556"/>
  <c r="W466" i="556"/>
  <c r="V466" i="556"/>
  <c r="N466" i="556"/>
  <c r="K466" i="556" a="1"/>
  <c r="K466" i="556" s="1"/>
  <c r="M466" i="556" s="1"/>
  <c r="J466" i="556" a="1"/>
  <c r="J466" i="556" s="1"/>
  <c r="H466" i="556"/>
  <c r="V465" i="556"/>
  <c r="W465" i="556" s="1"/>
  <c r="N465" i="556"/>
  <c r="M465" i="556"/>
  <c r="K465" i="556" a="1"/>
  <c r="K465" i="556" s="1"/>
  <c r="J465" i="556" a="1"/>
  <c r="J465" i="556" s="1"/>
  <c r="H465" i="556"/>
  <c r="W464" i="556"/>
  <c r="V464" i="556"/>
  <c r="N464" i="556"/>
  <c r="N479" i="556" s="1"/>
  <c r="K464" i="556" a="1"/>
  <c r="K464" i="556" s="1"/>
  <c r="J464" i="556" a="1"/>
  <c r="J464" i="556" s="1"/>
  <c r="H464" i="556"/>
  <c r="H479" i="556" s="1"/>
  <c r="AA463" i="556"/>
  <c r="Z463" i="556"/>
  <c r="Y463" i="556"/>
  <c r="X463" i="556"/>
  <c r="U463" i="556"/>
  <c r="T463" i="556"/>
  <c r="S463" i="556"/>
  <c r="R463" i="556"/>
  <c r="Q463" i="556"/>
  <c r="P463" i="556"/>
  <c r="O463" i="556"/>
  <c r="I463" i="556"/>
  <c r="G463" i="556"/>
  <c r="V462" i="556"/>
  <c r="W462" i="556" s="1"/>
  <c r="N462" i="556"/>
  <c r="K462" i="556"/>
  <c r="M462" i="556" s="1"/>
  <c r="K462" i="556" a="1"/>
  <c r="J462" i="556"/>
  <c r="J462" i="556" a="1"/>
  <c r="H462" i="556"/>
  <c r="V461" i="556"/>
  <c r="W461" i="556" s="1"/>
  <c r="N461" i="556"/>
  <c r="K461" i="556" a="1"/>
  <c r="K461" i="556" s="1"/>
  <c r="M461" i="556" s="1"/>
  <c r="J461" i="556" a="1"/>
  <c r="J461" i="556" s="1"/>
  <c r="H461" i="556"/>
  <c r="V460" i="556"/>
  <c r="W460" i="556" s="1"/>
  <c r="N460" i="556"/>
  <c r="K460" i="556" a="1"/>
  <c r="K460" i="556" s="1"/>
  <c r="M460" i="556" s="1"/>
  <c r="J460" i="556" a="1"/>
  <c r="J460" i="556" s="1"/>
  <c r="H460" i="556"/>
  <c r="K459" i="556" a="1"/>
  <c r="K459" i="556" s="1"/>
  <c r="M459" i="556" s="1"/>
  <c r="H459" i="556"/>
  <c r="K458" i="556" a="1"/>
  <c r="K458" i="556" s="1"/>
  <c r="M458" i="556" s="1"/>
  <c r="H458" i="556"/>
  <c r="K457" i="556" a="1"/>
  <c r="K457" i="556" s="1"/>
  <c r="M457" i="556" s="1"/>
  <c r="H457" i="556"/>
  <c r="V456" i="556"/>
  <c r="W456" i="556" s="1"/>
  <c r="N456" i="556"/>
  <c r="K456" i="556"/>
  <c r="M456" i="556" s="1"/>
  <c r="K456" i="556" a="1"/>
  <c r="J456" i="556"/>
  <c r="J456" i="556" a="1"/>
  <c r="H456" i="556"/>
  <c r="V455" i="556"/>
  <c r="W455" i="556" s="1"/>
  <c r="N455" i="556"/>
  <c r="K455" i="556" a="1"/>
  <c r="K455" i="556" s="1"/>
  <c r="M455" i="556" s="1"/>
  <c r="J455" i="556" a="1"/>
  <c r="J455" i="556" s="1"/>
  <c r="H455" i="556"/>
  <c r="N454" i="556"/>
  <c r="K454" i="556" a="1"/>
  <c r="K454" i="556" s="1"/>
  <c r="M454" i="556" s="1"/>
  <c r="H454" i="556"/>
  <c r="N453" i="556"/>
  <c r="K453" i="556" a="1"/>
  <c r="K453" i="556" s="1"/>
  <c r="M453" i="556" s="1"/>
  <c r="H453" i="556"/>
  <c r="N452" i="556"/>
  <c r="K452" i="556" a="1"/>
  <c r="K452" i="556" s="1"/>
  <c r="M452" i="556" s="1"/>
  <c r="H452" i="556"/>
  <c r="N451" i="556"/>
  <c r="K451" i="556" a="1"/>
  <c r="K451" i="556" s="1"/>
  <c r="M451" i="556" s="1"/>
  <c r="H451" i="556"/>
  <c r="N450" i="556"/>
  <c r="K450" i="556" a="1"/>
  <c r="K450" i="556" s="1"/>
  <c r="M450" i="556" s="1"/>
  <c r="H450" i="556"/>
  <c r="N449" i="556"/>
  <c r="K449" i="556" a="1"/>
  <c r="K449" i="556" s="1"/>
  <c r="M449" i="556" s="1"/>
  <c r="H449" i="556"/>
  <c r="V448" i="556"/>
  <c r="W448" i="556" s="1"/>
  <c r="N448" i="556"/>
  <c r="K448" i="556"/>
  <c r="M448" i="556" s="1"/>
  <c r="K448" i="556" a="1"/>
  <c r="J448" i="556"/>
  <c r="J448" i="556" a="1"/>
  <c r="H448" i="556"/>
  <c r="V447" i="556"/>
  <c r="W447" i="556" s="1"/>
  <c r="N447" i="556"/>
  <c r="K447" i="556" a="1"/>
  <c r="K447" i="556" s="1"/>
  <c r="M447" i="556" s="1"/>
  <c r="J447" i="556" a="1"/>
  <c r="J447" i="556" s="1"/>
  <c r="H447" i="556"/>
  <c r="W446" i="556"/>
  <c r="V446" i="556"/>
  <c r="N446" i="556"/>
  <c r="K446" i="556" a="1"/>
  <c r="K446" i="556" s="1"/>
  <c r="M446" i="556" s="1"/>
  <c r="J446" i="556" a="1"/>
  <c r="J446" i="556" s="1"/>
  <c r="H446" i="556"/>
  <c r="V445" i="556"/>
  <c r="W445" i="556" s="1"/>
  <c r="N445" i="556"/>
  <c r="K445" i="556" a="1"/>
  <c r="K445" i="556" s="1"/>
  <c r="M445" i="556" s="1"/>
  <c r="J445" i="556" a="1"/>
  <c r="J445" i="556" s="1"/>
  <c r="H445" i="556"/>
  <c r="V444" i="556"/>
  <c r="W444" i="556" s="1"/>
  <c r="N444" i="556"/>
  <c r="K444" i="556"/>
  <c r="M444" i="556" s="1"/>
  <c r="K444" i="556" a="1"/>
  <c r="J444" i="556"/>
  <c r="J444" i="556" a="1"/>
  <c r="H444" i="556"/>
  <c r="V443" i="556"/>
  <c r="W443" i="556" s="1"/>
  <c r="N443" i="556"/>
  <c r="K443" i="556" a="1"/>
  <c r="K443" i="556" s="1"/>
  <c r="M443" i="556" s="1"/>
  <c r="J443" i="556" a="1"/>
  <c r="J443" i="556" s="1"/>
  <c r="H443" i="556"/>
  <c r="W442" i="556"/>
  <c r="V442" i="556"/>
  <c r="N442" i="556"/>
  <c r="K442" i="556" a="1"/>
  <c r="K442" i="556" s="1"/>
  <c r="M442" i="556" s="1"/>
  <c r="J442" i="556" a="1"/>
  <c r="J442" i="556" s="1"/>
  <c r="H442" i="556"/>
  <c r="V441" i="556"/>
  <c r="W441" i="556" s="1"/>
  <c r="N441" i="556"/>
  <c r="K441" i="556" a="1"/>
  <c r="K441" i="556" s="1"/>
  <c r="M441" i="556" s="1"/>
  <c r="J441" i="556" a="1"/>
  <c r="J441" i="556" s="1"/>
  <c r="H441" i="556"/>
  <c r="V440" i="556"/>
  <c r="W440" i="556" s="1"/>
  <c r="N440" i="556"/>
  <c r="K440" i="556"/>
  <c r="M440" i="556" s="1"/>
  <c r="K440" i="556" a="1"/>
  <c r="J440" i="556"/>
  <c r="J440" i="556" a="1"/>
  <c r="H440" i="556"/>
  <c r="V439" i="556"/>
  <c r="W439" i="556" s="1"/>
  <c r="N439" i="556"/>
  <c r="K439" i="556" a="1"/>
  <c r="K439" i="556" s="1"/>
  <c r="M439" i="556" s="1"/>
  <c r="J439" i="556" a="1"/>
  <c r="J439" i="556" s="1"/>
  <c r="H439" i="556"/>
  <c r="W438" i="556"/>
  <c r="V438" i="556"/>
  <c r="N438" i="556"/>
  <c r="K438" i="556" a="1"/>
  <c r="K438" i="556" s="1"/>
  <c r="M438" i="556" s="1"/>
  <c r="J438" i="556" a="1"/>
  <c r="J438" i="556" s="1"/>
  <c r="H438" i="556"/>
  <c r="V437" i="556"/>
  <c r="W437" i="556" s="1"/>
  <c r="N437" i="556"/>
  <c r="K437" i="556" a="1"/>
  <c r="K437" i="556" s="1"/>
  <c r="M437" i="556" s="1"/>
  <c r="J437" i="556" a="1"/>
  <c r="J437" i="556" s="1"/>
  <c r="H437" i="556"/>
  <c r="N436" i="556"/>
  <c r="K436" i="556"/>
  <c r="M436" i="556" s="1"/>
  <c r="K436" i="556" a="1"/>
  <c r="H436" i="556"/>
  <c r="V435" i="556"/>
  <c r="W435" i="556" s="1"/>
  <c r="N435" i="556"/>
  <c r="K435" i="556" a="1"/>
  <c r="K435" i="556" s="1"/>
  <c r="M435" i="556" s="1"/>
  <c r="J435" i="556" a="1"/>
  <c r="J435" i="556" s="1"/>
  <c r="H435" i="556"/>
  <c r="W434" i="556"/>
  <c r="V434" i="556"/>
  <c r="N434" i="556"/>
  <c r="K434" i="556" a="1"/>
  <c r="K434" i="556" s="1"/>
  <c r="M434" i="556" s="1"/>
  <c r="J434" i="556" a="1"/>
  <c r="J434" i="556" s="1"/>
  <c r="H434" i="556"/>
  <c r="V433" i="556"/>
  <c r="W433" i="556" s="1"/>
  <c r="N433" i="556"/>
  <c r="K433" i="556" a="1"/>
  <c r="K433" i="556" s="1"/>
  <c r="M433" i="556" s="1"/>
  <c r="J433" i="556" a="1"/>
  <c r="J433" i="556" s="1"/>
  <c r="H433" i="556"/>
  <c r="V432" i="556"/>
  <c r="W432" i="556" s="1"/>
  <c r="N432" i="556"/>
  <c r="K432" i="556"/>
  <c r="M432" i="556" s="1"/>
  <c r="K432" i="556" a="1"/>
  <c r="J432" i="556"/>
  <c r="J432" i="556" a="1"/>
  <c r="H432" i="556"/>
  <c r="V431" i="556"/>
  <c r="W431" i="556" s="1"/>
  <c r="N431" i="556"/>
  <c r="K431" i="556" a="1"/>
  <c r="K431" i="556" s="1"/>
  <c r="M431" i="556" s="1"/>
  <c r="J431" i="556" a="1"/>
  <c r="J431" i="556" s="1"/>
  <c r="H431" i="556"/>
  <c r="W430" i="556"/>
  <c r="V430" i="556"/>
  <c r="N430" i="556"/>
  <c r="K430" i="556" a="1"/>
  <c r="K430" i="556" s="1"/>
  <c r="M430" i="556" s="1"/>
  <c r="J430" i="556" a="1"/>
  <c r="J430" i="556" s="1"/>
  <c r="H430" i="556"/>
  <c r="V429" i="556"/>
  <c r="V463" i="556" s="1"/>
  <c r="W463" i="556" s="1"/>
  <c r="N429" i="556"/>
  <c r="K429" i="556" a="1"/>
  <c r="K429" i="556" s="1"/>
  <c r="J429" i="556" a="1"/>
  <c r="J429" i="556" s="1"/>
  <c r="H429" i="556"/>
  <c r="H463" i="556" s="1"/>
  <c r="AA428" i="556"/>
  <c r="Z428" i="556"/>
  <c r="Y428" i="556"/>
  <c r="X428" i="556"/>
  <c r="U428" i="556"/>
  <c r="T428" i="556"/>
  <c r="S428" i="556"/>
  <c r="R428" i="556"/>
  <c r="Q428" i="556"/>
  <c r="P428" i="556"/>
  <c r="O428" i="556"/>
  <c r="R510" i="556" s="1"/>
  <c r="I428" i="556"/>
  <c r="G428" i="556"/>
  <c r="J428" i="556" s="1" a="1"/>
  <c r="J428" i="556" s="1"/>
  <c r="K427" i="556" a="1"/>
  <c r="K427" i="556" s="1"/>
  <c r="M427" i="556" s="1"/>
  <c r="H427" i="556"/>
  <c r="K426" i="556"/>
  <c r="M426" i="556" s="1"/>
  <c r="K426" i="556" a="1"/>
  <c r="H426" i="556"/>
  <c r="K425" i="556" a="1"/>
  <c r="K425" i="556" s="1"/>
  <c r="M425" i="556" s="1"/>
  <c r="H425" i="556"/>
  <c r="K424" i="556"/>
  <c r="M424" i="556" s="1"/>
  <c r="K424" i="556" a="1"/>
  <c r="H424" i="556"/>
  <c r="K423" i="556" a="1"/>
  <c r="K423" i="556" s="1"/>
  <c r="M423" i="556" s="1"/>
  <c r="H423" i="556"/>
  <c r="K422" i="556"/>
  <c r="M422" i="556" s="1"/>
  <c r="K422" i="556" a="1"/>
  <c r="H422" i="556"/>
  <c r="K421" i="556" a="1"/>
  <c r="K421" i="556" s="1"/>
  <c r="M421" i="556" s="1"/>
  <c r="H421" i="556"/>
  <c r="K420" i="556"/>
  <c r="M420" i="556" s="1"/>
  <c r="K420" i="556" a="1"/>
  <c r="H420" i="556"/>
  <c r="K419" i="556" a="1"/>
  <c r="K419" i="556" s="1"/>
  <c r="M419" i="556" s="1"/>
  <c r="H419" i="556"/>
  <c r="K418" i="556"/>
  <c r="M418" i="556" s="1"/>
  <c r="K418" i="556" a="1"/>
  <c r="H418" i="556"/>
  <c r="V417" i="556"/>
  <c r="W417" i="556" s="1"/>
  <c r="N417" i="556"/>
  <c r="K417" i="556" a="1"/>
  <c r="K417" i="556" s="1"/>
  <c r="M417" i="556" s="1"/>
  <c r="J417" i="556" a="1"/>
  <c r="J417" i="556" s="1"/>
  <c r="H417" i="556"/>
  <c r="V416" i="556"/>
  <c r="W416" i="556" s="1"/>
  <c r="N416" i="556"/>
  <c r="K416" i="556"/>
  <c r="M416" i="556" s="1"/>
  <c r="K416" i="556" a="1"/>
  <c r="J416" i="556"/>
  <c r="J416" i="556" a="1"/>
  <c r="H416" i="556"/>
  <c r="V415" i="556"/>
  <c r="W415" i="556" s="1"/>
  <c r="N415" i="556"/>
  <c r="K415" i="556" a="1"/>
  <c r="K415" i="556" s="1"/>
  <c r="M415" i="556" s="1"/>
  <c r="J415" i="556" a="1"/>
  <c r="J415" i="556" s="1"/>
  <c r="H415" i="556"/>
  <c r="W414" i="556"/>
  <c r="V414" i="556"/>
  <c r="N414" i="556"/>
  <c r="K414" i="556" a="1"/>
  <c r="K414" i="556" s="1"/>
  <c r="M414" i="556" s="1"/>
  <c r="J414" i="556" a="1"/>
  <c r="J414" i="556" s="1"/>
  <c r="H414" i="556"/>
  <c r="H413" i="556"/>
  <c r="V412" i="556"/>
  <c r="W412" i="556" s="1"/>
  <c r="N412" i="556"/>
  <c r="K412" i="556"/>
  <c r="M412" i="556" s="1"/>
  <c r="K412" i="556" a="1"/>
  <c r="J412" i="556"/>
  <c r="J412" i="556" a="1"/>
  <c r="H412" i="556"/>
  <c r="V411" i="556"/>
  <c r="W411" i="556" s="1"/>
  <c r="N411" i="556"/>
  <c r="K411" i="556" a="1"/>
  <c r="K411" i="556" s="1"/>
  <c r="M411" i="556" s="1"/>
  <c r="J411" i="556" a="1"/>
  <c r="J411" i="556" s="1"/>
  <c r="H411" i="556"/>
  <c r="H410" i="556"/>
  <c r="K409" i="556" a="1"/>
  <c r="K409" i="556" s="1"/>
  <c r="H409" i="556"/>
  <c r="V408" i="556"/>
  <c r="W408" i="556" s="1"/>
  <c r="N408" i="556"/>
  <c r="K408" i="556"/>
  <c r="M408" i="556" s="1"/>
  <c r="K408" i="556" a="1"/>
  <c r="J408" i="556"/>
  <c r="J408" i="556" a="1"/>
  <c r="H408" i="556"/>
  <c r="V407" i="556"/>
  <c r="W407" i="556" s="1"/>
  <c r="N407" i="556"/>
  <c r="K407" i="556" a="1"/>
  <c r="K407" i="556" s="1"/>
  <c r="M407" i="556" s="1"/>
  <c r="J407" i="556" a="1"/>
  <c r="J407" i="556" s="1"/>
  <c r="H407" i="556"/>
  <c r="W406" i="556"/>
  <c r="V406" i="556"/>
  <c r="N406" i="556"/>
  <c r="K406" i="556" a="1"/>
  <c r="K406" i="556" s="1"/>
  <c r="M406" i="556" s="1"/>
  <c r="J406" i="556" a="1"/>
  <c r="J406" i="556" s="1"/>
  <c r="H406" i="556"/>
  <c r="V405" i="556"/>
  <c r="W405" i="556" s="1"/>
  <c r="N405" i="556"/>
  <c r="K405" i="556" a="1"/>
  <c r="K405" i="556" s="1"/>
  <c r="M405" i="556" s="1"/>
  <c r="J405" i="556" a="1"/>
  <c r="J405" i="556" s="1"/>
  <c r="H405" i="556"/>
  <c r="V404" i="556"/>
  <c r="W404" i="556" s="1"/>
  <c r="N404" i="556"/>
  <c r="K404" i="556"/>
  <c r="M404" i="556" s="1"/>
  <c r="K404" i="556" a="1"/>
  <c r="J404" i="556"/>
  <c r="J404" i="556" a="1"/>
  <c r="H404" i="556"/>
  <c r="V403" i="556"/>
  <c r="W403" i="556" s="1"/>
  <c r="N403" i="556"/>
  <c r="K403" i="556" a="1"/>
  <c r="K403" i="556" s="1"/>
  <c r="M403" i="556" s="1"/>
  <c r="J403" i="556" a="1"/>
  <c r="J403" i="556" s="1"/>
  <c r="H403" i="556"/>
  <c r="W402" i="556"/>
  <c r="V402" i="556"/>
  <c r="N402" i="556"/>
  <c r="K402" i="556" a="1"/>
  <c r="K402" i="556" s="1"/>
  <c r="M402" i="556" s="1"/>
  <c r="J402" i="556" a="1"/>
  <c r="J402" i="556" s="1"/>
  <c r="H402" i="556"/>
  <c r="V401" i="556"/>
  <c r="W401" i="556" s="1"/>
  <c r="N401" i="556"/>
  <c r="K401" i="556" a="1"/>
  <c r="K401" i="556" s="1"/>
  <c r="M401" i="556" s="1"/>
  <c r="J401" i="556" a="1"/>
  <c r="J401" i="556" s="1"/>
  <c r="H401" i="556"/>
  <c r="V400" i="556"/>
  <c r="W400" i="556" s="1"/>
  <c r="N400" i="556"/>
  <c r="K400" i="556"/>
  <c r="M400" i="556" s="1"/>
  <c r="K400" i="556" a="1"/>
  <c r="J400" i="556"/>
  <c r="J400" i="556" a="1"/>
  <c r="H400" i="556"/>
  <c r="V399" i="556"/>
  <c r="W399" i="556" s="1"/>
  <c r="N399" i="556"/>
  <c r="K399" i="556" a="1"/>
  <c r="K399" i="556" s="1"/>
  <c r="M399" i="556" s="1"/>
  <c r="J399" i="556" a="1"/>
  <c r="J399" i="556" s="1"/>
  <c r="H399" i="556"/>
  <c r="K398" i="556" a="1"/>
  <c r="K398" i="556" s="1"/>
  <c r="M398" i="556" s="1"/>
  <c r="H398" i="556"/>
  <c r="K397" i="556" a="1"/>
  <c r="K397" i="556" s="1"/>
  <c r="M397" i="556" s="1"/>
  <c r="H397" i="556"/>
  <c r="K396" i="556" a="1"/>
  <c r="K396" i="556" s="1"/>
  <c r="M396" i="556" s="1"/>
  <c r="H396" i="556"/>
  <c r="K395" i="556" a="1"/>
  <c r="K395" i="556" s="1"/>
  <c r="M395" i="556" s="1"/>
  <c r="H395" i="556"/>
  <c r="N394" i="556"/>
  <c r="K394" i="556" a="1"/>
  <c r="K394" i="556" s="1"/>
  <c r="M394" i="556" s="1"/>
  <c r="H394" i="556"/>
  <c r="N393" i="556"/>
  <c r="K393" i="556" a="1"/>
  <c r="K393" i="556" s="1"/>
  <c r="M393" i="556" s="1"/>
  <c r="H393" i="556"/>
  <c r="N392" i="556"/>
  <c r="K392" i="556"/>
  <c r="M392" i="556" s="1"/>
  <c r="K392" i="556" a="1"/>
  <c r="H392" i="556"/>
  <c r="N391" i="556"/>
  <c r="K391" i="556" a="1"/>
  <c r="K391" i="556" s="1"/>
  <c r="M391" i="556" s="1"/>
  <c r="H391" i="556"/>
  <c r="W390" i="556"/>
  <c r="V390" i="556"/>
  <c r="N390" i="556"/>
  <c r="K390" i="556" a="1"/>
  <c r="K390" i="556" s="1"/>
  <c r="M390" i="556" s="1"/>
  <c r="J390" i="556" a="1"/>
  <c r="J390" i="556" s="1"/>
  <c r="H390" i="556"/>
  <c r="V389" i="556"/>
  <c r="W389" i="556" s="1"/>
  <c r="N389" i="556"/>
  <c r="K389" i="556" a="1"/>
  <c r="K389" i="556" s="1"/>
  <c r="M389" i="556" s="1"/>
  <c r="J389" i="556" a="1"/>
  <c r="J389" i="556" s="1"/>
  <c r="H389" i="556"/>
  <c r="V388" i="556"/>
  <c r="W388" i="556" s="1"/>
  <c r="N388" i="556"/>
  <c r="K388" i="556"/>
  <c r="M388" i="556" s="1"/>
  <c r="K388" i="556" a="1"/>
  <c r="J388" i="556"/>
  <c r="J388" i="556" a="1"/>
  <c r="H388" i="556"/>
  <c r="V387" i="556"/>
  <c r="W387" i="556" s="1"/>
  <c r="N387" i="556"/>
  <c r="K387" i="556" a="1"/>
  <c r="K387" i="556" s="1"/>
  <c r="M387" i="556" s="1"/>
  <c r="J387" i="556" a="1"/>
  <c r="J387" i="556" s="1"/>
  <c r="H387" i="556"/>
  <c r="W386" i="556"/>
  <c r="V386" i="556"/>
  <c r="N386" i="556"/>
  <c r="K386" i="556" a="1"/>
  <c r="K386" i="556" s="1"/>
  <c r="M386" i="556" s="1"/>
  <c r="J386" i="556" a="1"/>
  <c r="J386" i="556" s="1"/>
  <c r="H386" i="556"/>
  <c r="V385" i="556"/>
  <c r="W385" i="556" s="1"/>
  <c r="N385" i="556"/>
  <c r="K385" i="556" a="1"/>
  <c r="K385" i="556" s="1"/>
  <c r="M385" i="556" s="1"/>
  <c r="J385" i="556" a="1"/>
  <c r="J385" i="556" s="1"/>
  <c r="H385" i="556"/>
  <c r="V384" i="556"/>
  <c r="W384" i="556" s="1"/>
  <c r="N384" i="556"/>
  <c r="K384" i="556"/>
  <c r="M384" i="556" s="1"/>
  <c r="K384" i="556" a="1"/>
  <c r="J384" i="556"/>
  <c r="J384" i="556" a="1"/>
  <c r="H384" i="556"/>
  <c r="V383" i="556"/>
  <c r="W383" i="556" s="1"/>
  <c r="N383" i="556"/>
  <c r="K383" i="556" a="1"/>
  <c r="K383" i="556" s="1"/>
  <c r="M383" i="556" s="1"/>
  <c r="J383" i="556" a="1"/>
  <c r="J383" i="556" s="1"/>
  <c r="H383" i="556"/>
  <c r="W382" i="556"/>
  <c r="V382" i="556"/>
  <c r="N382" i="556"/>
  <c r="K382" i="556" a="1"/>
  <c r="K382" i="556" s="1"/>
  <c r="M382" i="556" s="1"/>
  <c r="J382" i="556" a="1"/>
  <c r="J382" i="556" s="1"/>
  <c r="H382" i="556"/>
  <c r="V381" i="556"/>
  <c r="W381" i="556" s="1"/>
  <c r="N381" i="556"/>
  <c r="K381" i="556" a="1"/>
  <c r="K381" i="556" s="1"/>
  <c r="M381" i="556" s="1"/>
  <c r="J381" i="556" a="1"/>
  <c r="J381" i="556" s="1"/>
  <c r="H381" i="556"/>
  <c r="V380" i="556"/>
  <c r="W380" i="556" s="1"/>
  <c r="N380" i="556"/>
  <c r="K380" i="556"/>
  <c r="M380" i="556" s="1"/>
  <c r="K380" i="556" a="1"/>
  <c r="J380" i="556"/>
  <c r="J380" i="556" a="1"/>
  <c r="H380" i="556"/>
  <c r="V379" i="556"/>
  <c r="W379" i="556" s="1"/>
  <c r="N379" i="556"/>
  <c r="K379" i="556" a="1"/>
  <c r="K379" i="556" s="1"/>
  <c r="M379" i="556" s="1"/>
  <c r="J379" i="556" a="1"/>
  <c r="J379" i="556" s="1"/>
  <c r="H379" i="556"/>
  <c r="K378" i="556" a="1"/>
  <c r="K378" i="556" s="1"/>
  <c r="M378" i="556" s="1"/>
  <c r="H378" i="556"/>
  <c r="K377" i="556" a="1"/>
  <c r="K377" i="556" s="1"/>
  <c r="M377" i="556" s="1"/>
  <c r="H377" i="556"/>
  <c r="K376" i="556" a="1"/>
  <c r="K376" i="556" s="1"/>
  <c r="M376" i="556" s="1"/>
  <c r="H376" i="556"/>
  <c r="W375" i="556"/>
  <c r="V375" i="556"/>
  <c r="N375" i="556"/>
  <c r="K375" i="556" a="1"/>
  <c r="K375" i="556" s="1"/>
  <c r="M375" i="556" s="1"/>
  <c r="J375" i="556" a="1"/>
  <c r="J375" i="556" s="1"/>
  <c r="H375" i="556"/>
  <c r="V374" i="556"/>
  <c r="W374" i="556" s="1"/>
  <c r="N374" i="556"/>
  <c r="K374" i="556" a="1"/>
  <c r="K374" i="556" s="1"/>
  <c r="M374" i="556" s="1"/>
  <c r="J374" i="556" a="1"/>
  <c r="J374" i="556" s="1"/>
  <c r="H374" i="556"/>
  <c r="V373" i="556"/>
  <c r="W373" i="556" s="1"/>
  <c r="N373" i="556"/>
  <c r="K373" i="556"/>
  <c r="M373" i="556" s="1"/>
  <c r="K373" i="556" a="1"/>
  <c r="J373" i="556"/>
  <c r="J373" i="556" a="1"/>
  <c r="H373" i="556"/>
  <c r="K372" i="556" a="1"/>
  <c r="K372" i="556" s="1"/>
  <c r="H372" i="556"/>
  <c r="V371" i="556"/>
  <c r="V428" i="556" s="1"/>
  <c r="W428" i="556" s="1"/>
  <c r="N371" i="556"/>
  <c r="K371" i="556"/>
  <c r="K371" i="556" a="1"/>
  <c r="J371" i="556"/>
  <c r="J371" i="556" a="1"/>
  <c r="H371" i="556"/>
  <c r="H428" i="556" s="1"/>
  <c r="AA370" i="556"/>
  <c r="AA507" i="556" s="1"/>
  <c r="Z370" i="556"/>
  <c r="Z507" i="556" s="1"/>
  <c r="Y370" i="556"/>
  <c r="Y507" i="556" s="1"/>
  <c r="X370" i="556"/>
  <c r="X507" i="556" s="1"/>
  <c r="U370" i="556"/>
  <c r="U507" i="556" s="1"/>
  <c r="T370" i="556"/>
  <c r="T507" i="556" s="1"/>
  <c r="S370" i="556"/>
  <c r="S507" i="556" s="1"/>
  <c r="R370" i="556"/>
  <c r="R507" i="556" s="1"/>
  <c r="Q370" i="556"/>
  <c r="Q507" i="556" s="1"/>
  <c r="P370" i="556"/>
  <c r="P507" i="556" s="1"/>
  <c r="O370" i="556"/>
  <c r="I370" i="556"/>
  <c r="I507" i="556" s="1"/>
  <c r="B515" i="556" s="1"/>
  <c r="G370" i="556"/>
  <c r="G507" i="556" s="1"/>
  <c r="V369" i="556"/>
  <c r="W369" i="556" s="1"/>
  <c r="N369" i="556"/>
  <c r="K369" i="556" a="1"/>
  <c r="K369" i="556" s="1"/>
  <c r="M369" i="556" s="1"/>
  <c r="J369" i="556" a="1"/>
  <c r="J369" i="556" s="1"/>
  <c r="H369" i="556"/>
  <c r="V368" i="556"/>
  <c r="W368" i="556" s="1"/>
  <c r="N368" i="556"/>
  <c r="K368" i="556"/>
  <c r="M368" i="556" s="1"/>
  <c r="K368" i="556" a="1"/>
  <c r="J368" i="556"/>
  <c r="J368" i="556" a="1"/>
  <c r="H368" i="556"/>
  <c r="K367" i="556" a="1"/>
  <c r="K367" i="556" s="1"/>
  <c r="M367" i="556" s="1"/>
  <c r="H367" i="556"/>
  <c r="K366" i="556" a="1"/>
  <c r="K366" i="556" s="1"/>
  <c r="M366" i="556" s="1"/>
  <c r="H366" i="556"/>
  <c r="K365" i="556" a="1"/>
  <c r="K365" i="556" s="1"/>
  <c r="M365" i="556" s="1"/>
  <c r="H365" i="556"/>
  <c r="K364" i="556" a="1"/>
  <c r="K364" i="556" s="1"/>
  <c r="M364" i="556" s="1"/>
  <c r="H364" i="556"/>
  <c r="W363" i="556"/>
  <c r="V363" i="556"/>
  <c r="N363" i="556"/>
  <c r="K363" i="556" a="1"/>
  <c r="K363" i="556" s="1"/>
  <c r="M363" i="556" s="1"/>
  <c r="J363" i="556" a="1"/>
  <c r="J363" i="556" s="1"/>
  <c r="H363" i="556"/>
  <c r="V362" i="556"/>
  <c r="W362" i="556" s="1"/>
  <c r="N362" i="556"/>
  <c r="K362" i="556" a="1"/>
  <c r="K362" i="556" s="1"/>
  <c r="M362" i="556" s="1"/>
  <c r="J362" i="556" a="1"/>
  <c r="J362" i="556" s="1"/>
  <c r="H362" i="556"/>
  <c r="V361" i="556"/>
  <c r="W361" i="556" s="1"/>
  <c r="N361" i="556"/>
  <c r="K361" i="556"/>
  <c r="M361" i="556" s="1"/>
  <c r="K361" i="556" a="1"/>
  <c r="J361" i="556"/>
  <c r="J361" i="556" a="1"/>
  <c r="H361" i="556"/>
  <c r="H360" i="556"/>
  <c r="H359" i="556"/>
  <c r="V358" i="556"/>
  <c r="W358" i="556" s="1"/>
  <c r="N358" i="556"/>
  <c r="K358" i="556" a="1"/>
  <c r="K358" i="556" s="1"/>
  <c r="M358" i="556" s="1"/>
  <c r="J358" i="556" a="1"/>
  <c r="J358" i="556" s="1"/>
  <c r="H358" i="556"/>
  <c r="W357" i="556"/>
  <c r="V357" i="556"/>
  <c r="N357" i="556"/>
  <c r="K357" i="556" a="1"/>
  <c r="K357" i="556" s="1"/>
  <c r="M357" i="556" s="1"/>
  <c r="J357" i="556" a="1"/>
  <c r="J357" i="556" s="1"/>
  <c r="H357" i="556"/>
  <c r="K356" i="556" a="1"/>
  <c r="K356" i="556" s="1"/>
  <c r="M356" i="556" s="1"/>
  <c r="H356" i="556"/>
  <c r="K355" i="556" a="1"/>
  <c r="K355" i="556" s="1"/>
  <c r="M355" i="556" s="1"/>
  <c r="H355" i="556"/>
  <c r="W354" i="556"/>
  <c r="V354" i="556"/>
  <c r="N354" i="556"/>
  <c r="K354" i="556" a="1"/>
  <c r="K354" i="556" s="1"/>
  <c r="M354" i="556" s="1"/>
  <c r="J354" i="556" a="1"/>
  <c r="J354" i="556" s="1"/>
  <c r="H354" i="556"/>
  <c r="V353" i="556"/>
  <c r="W353" i="556" s="1"/>
  <c r="N353" i="556"/>
  <c r="K353" i="556"/>
  <c r="M353" i="556" s="1"/>
  <c r="K353" i="556" a="1"/>
  <c r="J353" i="556"/>
  <c r="J353" i="556" a="1"/>
  <c r="H353" i="556"/>
  <c r="V352" i="556"/>
  <c r="W352" i="556" s="1"/>
  <c r="N352" i="556"/>
  <c r="K352" i="556" a="1"/>
  <c r="K352" i="556" s="1"/>
  <c r="M352" i="556" s="1"/>
  <c r="J352" i="556" a="1"/>
  <c r="J352" i="556" s="1"/>
  <c r="H352" i="556"/>
  <c r="W351" i="556"/>
  <c r="V351" i="556"/>
  <c r="N351" i="556"/>
  <c r="K351" i="556" a="1"/>
  <c r="K351" i="556" s="1"/>
  <c r="M351" i="556" s="1"/>
  <c r="J351" i="556" a="1"/>
  <c r="J351" i="556" s="1"/>
  <c r="H351" i="556"/>
  <c r="V350" i="556"/>
  <c r="W350" i="556" s="1"/>
  <c r="N350" i="556"/>
  <c r="K350" i="556" a="1"/>
  <c r="K350" i="556" s="1"/>
  <c r="M350" i="556" s="1"/>
  <c r="J350" i="556" a="1"/>
  <c r="J350" i="556" s="1"/>
  <c r="H350" i="556"/>
  <c r="V349" i="556"/>
  <c r="W349" i="556" s="1"/>
  <c r="N349" i="556"/>
  <c r="K349" i="556"/>
  <c r="K349" i="556" a="1"/>
  <c r="J349" i="556"/>
  <c r="J349" i="556" a="1"/>
  <c r="H349" i="556"/>
  <c r="H370" i="556" s="1"/>
  <c r="X343" i="556"/>
  <c r="X342" i="556"/>
  <c r="X341" i="556"/>
  <c r="G341" i="556"/>
  <c r="C341" i="556"/>
  <c r="X340" i="556"/>
  <c r="I340" i="556"/>
  <c r="E340" i="556"/>
  <c r="K340" i="556" s="1"/>
  <c r="M340" i="556" s="1"/>
  <c r="I339" i="556"/>
  <c r="E339" i="556"/>
  <c r="K339" i="556" s="1"/>
  <c r="M339" i="556" s="1"/>
  <c r="I338" i="556"/>
  <c r="E338" i="556"/>
  <c r="K338" i="556" s="1"/>
  <c r="M338" i="556" s="1"/>
  <c r="X337" i="556"/>
  <c r="I337" i="556"/>
  <c r="I341" i="556" s="1"/>
  <c r="E337" i="556"/>
  <c r="E341" i="556" s="1"/>
  <c r="AA334" i="556"/>
  <c r="Z334" i="556"/>
  <c r="Y334" i="556"/>
  <c r="X334" i="556"/>
  <c r="U334" i="556"/>
  <c r="T334" i="556"/>
  <c r="S334" i="556"/>
  <c r="R334" i="556"/>
  <c r="Q334" i="556"/>
  <c r="P334" i="556"/>
  <c r="O334" i="556"/>
  <c r="I334" i="556"/>
  <c r="G334" i="556"/>
  <c r="K333" i="556" a="1"/>
  <c r="K333" i="556" s="1"/>
  <c r="H333" i="556"/>
  <c r="K332" i="556" a="1"/>
  <c r="K332" i="556" s="1"/>
  <c r="H332" i="556"/>
  <c r="K331" i="556"/>
  <c r="K331" i="556" a="1"/>
  <c r="H331" i="556"/>
  <c r="V330" i="556"/>
  <c r="W330" i="556" s="1"/>
  <c r="N330" i="556"/>
  <c r="K330" i="556" a="1"/>
  <c r="K330" i="556" s="1"/>
  <c r="H330" i="556"/>
  <c r="D330" i="556"/>
  <c r="H329" i="556"/>
  <c r="K328" i="556" a="1"/>
  <c r="K328" i="556" s="1"/>
  <c r="H328" i="556"/>
  <c r="H327" i="556"/>
  <c r="V326" i="556"/>
  <c r="W326" i="556" s="1"/>
  <c r="N326" i="556"/>
  <c r="K326" i="556" a="1"/>
  <c r="K326" i="556" s="1"/>
  <c r="M326" i="556" s="1"/>
  <c r="J326" i="556" a="1"/>
  <c r="J326" i="556" s="1"/>
  <c r="H326" i="556"/>
  <c r="V325" i="556"/>
  <c r="W325" i="556" s="1"/>
  <c r="N325" i="556"/>
  <c r="K325" i="556"/>
  <c r="M325" i="556" s="1"/>
  <c r="K325" i="556" a="1"/>
  <c r="J325" i="556"/>
  <c r="J325" i="556" a="1"/>
  <c r="H325" i="556"/>
  <c r="H324" i="556"/>
  <c r="W323" i="556"/>
  <c r="V323" i="556"/>
  <c r="N323" i="556"/>
  <c r="K323" i="556" a="1"/>
  <c r="K323" i="556" s="1"/>
  <c r="M323" i="556" s="1"/>
  <c r="J323" i="556" a="1"/>
  <c r="J323" i="556" s="1"/>
  <c r="H323" i="556"/>
  <c r="V322" i="556"/>
  <c r="W322" i="556" s="1"/>
  <c r="N322" i="556"/>
  <c r="K322" i="556" a="1"/>
  <c r="K322" i="556" s="1"/>
  <c r="M322" i="556" s="1"/>
  <c r="J322" i="556" a="1"/>
  <c r="J322" i="556" s="1"/>
  <c r="H322" i="556"/>
  <c r="V321" i="556"/>
  <c r="W321" i="556" s="1"/>
  <c r="N321" i="556"/>
  <c r="K321" i="556"/>
  <c r="M321" i="556" s="1"/>
  <c r="K321" i="556" a="1"/>
  <c r="J321" i="556"/>
  <c r="J321" i="556" a="1"/>
  <c r="H321" i="556"/>
  <c r="V320" i="556"/>
  <c r="W320" i="556" s="1"/>
  <c r="N320" i="556"/>
  <c r="N334" i="556" s="1"/>
  <c r="K320" i="556" a="1"/>
  <c r="K320" i="556" s="1"/>
  <c r="J320" i="556" a="1"/>
  <c r="J320" i="556" s="1"/>
  <c r="H320" i="556"/>
  <c r="AA319" i="556"/>
  <c r="Z319" i="556"/>
  <c r="Y319" i="556"/>
  <c r="X319" i="556"/>
  <c r="U319" i="556"/>
  <c r="T319" i="556"/>
  <c r="S319" i="556"/>
  <c r="Q319" i="556"/>
  <c r="P319" i="556"/>
  <c r="O319" i="556"/>
  <c r="I319" i="556"/>
  <c r="G319" i="556"/>
  <c r="J319" i="556" s="1" a="1"/>
  <c r="J319" i="556" s="1"/>
  <c r="V318" i="556"/>
  <c r="W318" i="556" s="1"/>
  <c r="N318" i="556"/>
  <c r="K318" i="556"/>
  <c r="M318" i="556" s="1"/>
  <c r="K318" i="556" a="1"/>
  <c r="J318" i="556"/>
  <c r="J318" i="556" a="1"/>
  <c r="H318" i="556"/>
  <c r="H317" i="556"/>
  <c r="H316" i="556"/>
  <c r="H315" i="556"/>
  <c r="H314" i="556"/>
  <c r="V313" i="556"/>
  <c r="W313" i="556" s="1"/>
  <c r="N313" i="556"/>
  <c r="K313" i="556" a="1"/>
  <c r="K313" i="556" s="1"/>
  <c r="M313" i="556" s="1"/>
  <c r="J313" i="556" a="1"/>
  <c r="J313" i="556" s="1"/>
  <c r="H313" i="556"/>
  <c r="V312" i="556"/>
  <c r="W312" i="556" s="1"/>
  <c r="N312" i="556"/>
  <c r="K312" i="556"/>
  <c r="M312" i="556" s="1"/>
  <c r="K312" i="556" a="1"/>
  <c r="J312" i="556"/>
  <c r="J312" i="556" a="1"/>
  <c r="H312" i="556"/>
  <c r="V311" i="556"/>
  <c r="W311" i="556" s="1"/>
  <c r="N311" i="556"/>
  <c r="K311" i="556" a="1"/>
  <c r="K311" i="556" s="1"/>
  <c r="M311" i="556" s="1"/>
  <c r="J311" i="556" a="1"/>
  <c r="J311" i="556" s="1"/>
  <c r="H311" i="556"/>
  <c r="V310" i="556"/>
  <c r="W310" i="556" s="1"/>
  <c r="N310" i="556"/>
  <c r="K310" i="556" a="1"/>
  <c r="K310" i="556" s="1"/>
  <c r="M310" i="556" s="1"/>
  <c r="J310" i="556" a="1"/>
  <c r="J310" i="556" s="1"/>
  <c r="H310" i="556"/>
  <c r="V309" i="556"/>
  <c r="V319" i="556" s="1"/>
  <c r="W319" i="556" s="1"/>
  <c r="N309" i="556"/>
  <c r="N319" i="556" s="1"/>
  <c r="K309" i="556" a="1"/>
  <c r="K309" i="556" s="1"/>
  <c r="J309" i="556" a="1"/>
  <c r="J309" i="556" s="1"/>
  <c r="H309" i="556"/>
  <c r="H319" i="556" s="1"/>
  <c r="AA308" i="556"/>
  <c r="Z308" i="556"/>
  <c r="Y308" i="556"/>
  <c r="X308" i="556"/>
  <c r="U308" i="556"/>
  <c r="T308" i="556"/>
  <c r="S308" i="556"/>
  <c r="Q308" i="556"/>
  <c r="P308" i="556"/>
  <c r="O308" i="556"/>
  <c r="R340" i="556" s="1"/>
  <c r="I308" i="556"/>
  <c r="G308" i="556"/>
  <c r="W307" i="556"/>
  <c r="V307" i="556"/>
  <c r="N307" i="556"/>
  <c r="K307" i="556" a="1"/>
  <c r="K307" i="556" s="1"/>
  <c r="M307" i="556" s="1"/>
  <c r="J307" i="556" a="1"/>
  <c r="J307" i="556" s="1"/>
  <c r="H307" i="556"/>
  <c r="V306" i="556"/>
  <c r="W306" i="556" s="1"/>
  <c r="N306" i="556"/>
  <c r="K306" i="556" a="1"/>
  <c r="K306" i="556" s="1"/>
  <c r="M306" i="556" s="1"/>
  <c r="J306" i="556" a="1"/>
  <c r="J306" i="556" s="1"/>
  <c r="H306" i="556"/>
  <c r="W305" i="556"/>
  <c r="V305" i="556"/>
  <c r="N305" i="556"/>
  <c r="K305" i="556" a="1"/>
  <c r="K305" i="556" s="1"/>
  <c r="M305" i="556" s="1"/>
  <c r="J305" i="556" a="1"/>
  <c r="J305" i="556" s="1"/>
  <c r="H305" i="556"/>
  <c r="V304" i="556"/>
  <c r="W304" i="556" s="1"/>
  <c r="N304" i="556"/>
  <c r="K304" i="556" a="1"/>
  <c r="K304" i="556" s="1"/>
  <c r="M304" i="556" s="1"/>
  <c r="J304" i="556" a="1"/>
  <c r="J304" i="556" s="1"/>
  <c r="H304" i="556"/>
  <c r="V303" i="556"/>
  <c r="W303" i="556" s="1"/>
  <c r="N303" i="556"/>
  <c r="K303" i="556"/>
  <c r="M303" i="556" s="1"/>
  <c r="K303" i="556" a="1"/>
  <c r="J303" i="556"/>
  <c r="J303" i="556" a="1"/>
  <c r="H303" i="556"/>
  <c r="V302" i="556"/>
  <c r="W302" i="556" s="1"/>
  <c r="N302" i="556"/>
  <c r="K302" i="556" a="1"/>
  <c r="K302" i="556" s="1"/>
  <c r="M302" i="556" s="1"/>
  <c r="J302" i="556" a="1"/>
  <c r="J302" i="556" s="1"/>
  <c r="H302" i="556"/>
  <c r="W301" i="556"/>
  <c r="V301" i="556"/>
  <c r="N301" i="556"/>
  <c r="K301" i="556" a="1"/>
  <c r="K301" i="556" s="1"/>
  <c r="M301" i="556" s="1"/>
  <c r="J301" i="556" a="1"/>
  <c r="J301" i="556" s="1"/>
  <c r="H301" i="556"/>
  <c r="V300" i="556"/>
  <c r="W300" i="556" s="1"/>
  <c r="N300" i="556"/>
  <c r="K300" i="556" a="1"/>
  <c r="K300" i="556" s="1"/>
  <c r="M300" i="556" s="1"/>
  <c r="J300" i="556" a="1"/>
  <c r="J300" i="556" s="1"/>
  <c r="H300" i="556"/>
  <c r="V299" i="556"/>
  <c r="W299" i="556" s="1"/>
  <c r="N299" i="556"/>
  <c r="K299" i="556"/>
  <c r="M299" i="556" s="1"/>
  <c r="K299" i="556" a="1"/>
  <c r="J299" i="556"/>
  <c r="J299" i="556" a="1"/>
  <c r="H299" i="556"/>
  <c r="V298" i="556"/>
  <c r="W298" i="556" s="1"/>
  <c r="N298" i="556"/>
  <c r="K298" i="556" a="1"/>
  <c r="K298" i="556" s="1"/>
  <c r="M298" i="556" s="1"/>
  <c r="J298" i="556" a="1"/>
  <c r="J298" i="556" s="1"/>
  <c r="H298" i="556"/>
  <c r="W297" i="556"/>
  <c r="V297" i="556"/>
  <c r="N297" i="556"/>
  <c r="K297" i="556" a="1"/>
  <c r="K297" i="556" s="1"/>
  <c r="M297" i="556" s="1"/>
  <c r="J297" i="556" a="1"/>
  <c r="J297" i="556" s="1"/>
  <c r="H297" i="556"/>
  <c r="V296" i="556"/>
  <c r="W296" i="556" s="1"/>
  <c r="N296" i="556"/>
  <c r="K296" i="556" a="1"/>
  <c r="K296" i="556" s="1"/>
  <c r="M296" i="556" s="1"/>
  <c r="J296" i="556" a="1"/>
  <c r="J296" i="556" s="1"/>
  <c r="H296" i="556"/>
  <c r="V295" i="556"/>
  <c r="W295" i="556" s="1"/>
  <c r="N295" i="556"/>
  <c r="K295" i="556"/>
  <c r="M295" i="556" s="1"/>
  <c r="K295" i="556" a="1"/>
  <c r="J295" i="556"/>
  <c r="J295" i="556" a="1"/>
  <c r="H295" i="556"/>
  <c r="V294" i="556"/>
  <c r="W294" i="556" s="1"/>
  <c r="N294" i="556"/>
  <c r="K294" i="556" a="1"/>
  <c r="K294" i="556" s="1"/>
  <c r="M294" i="556" s="1"/>
  <c r="J294" i="556" a="1"/>
  <c r="J294" i="556" s="1"/>
  <c r="H294" i="556"/>
  <c r="W293" i="556"/>
  <c r="V293" i="556"/>
  <c r="N293" i="556"/>
  <c r="N308" i="556" s="1"/>
  <c r="K293" i="556" a="1"/>
  <c r="K293" i="556" s="1"/>
  <c r="M293" i="556" s="1"/>
  <c r="J293" i="556" a="1"/>
  <c r="J293" i="556" s="1"/>
  <c r="H293" i="556"/>
  <c r="AA292" i="556"/>
  <c r="Z292" i="556"/>
  <c r="Y292" i="556"/>
  <c r="X292" i="556"/>
  <c r="U292" i="556"/>
  <c r="T292" i="556"/>
  <c r="S292" i="556"/>
  <c r="R292" i="556"/>
  <c r="Q292" i="556"/>
  <c r="P292" i="556"/>
  <c r="O292" i="556"/>
  <c r="R339" i="556" s="1"/>
  <c r="I292" i="556"/>
  <c r="G292" i="556"/>
  <c r="J292" i="556" s="1" a="1"/>
  <c r="J292" i="556" s="1"/>
  <c r="W291" i="556"/>
  <c r="V291" i="556"/>
  <c r="N291" i="556"/>
  <c r="K291" i="556" a="1"/>
  <c r="K291" i="556" s="1"/>
  <c r="M291" i="556" s="1"/>
  <c r="J291" i="556" a="1"/>
  <c r="J291" i="556" s="1"/>
  <c r="H291" i="556"/>
  <c r="V290" i="556"/>
  <c r="W290" i="556" s="1"/>
  <c r="N290" i="556"/>
  <c r="K290" i="556" a="1"/>
  <c r="K290" i="556" s="1"/>
  <c r="M290" i="556" s="1"/>
  <c r="J290" i="556" a="1"/>
  <c r="J290" i="556" s="1"/>
  <c r="H290" i="556"/>
  <c r="V289" i="556"/>
  <c r="W289" i="556" s="1"/>
  <c r="N289" i="556"/>
  <c r="K289" i="556"/>
  <c r="M289" i="556" s="1"/>
  <c r="K289" i="556" a="1"/>
  <c r="J289" i="556"/>
  <c r="J289" i="556" a="1"/>
  <c r="H289" i="556"/>
  <c r="H288" i="556"/>
  <c r="H287" i="556"/>
  <c r="H286" i="556"/>
  <c r="W285" i="556"/>
  <c r="V285" i="556"/>
  <c r="N285" i="556"/>
  <c r="K285" i="556" a="1"/>
  <c r="K285" i="556" s="1"/>
  <c r="M285" i="556" s="1"/>
  <c r="J285" i="556" a="1"/>
  <c r="J285" i="556" s="1"/>
  <c r="H285" i="556"/>
  <c r="V284" i="556"/>
  <c r="W284" i="556" s="1"/>
  <c r="N284" i="556"/>
  <c r="K284" i="556" a="1"/>
  <c r="K284" i="556" s="1"/>
  <c r="M284" i="556" s="1"/>
  <c r="J284" i="556" a="1"/>
  <c r="J284" i="556" s="1"/>
  <c r="H284" i="556"/>
  <c r="N283" i="556"/>
  <c r="K283" i="556"/>
  <c r="M283" i="556" s="1"/>
  <c r="K283" i="556" a="1"/>
  <c r="H283" i="556"/>
  <c r="N282" i="556"/>
  <c r="K282" i="556" a="1"/>
  <c r="K282" i="556" s="1"/>
  <c r="M282" i="556" s="1"/>
  <c r="H282" i="556"/>
  <c r="N281" i="556"/>
  <c r="K281" i="556" a="1"/>
  <c r="K281" i="556" s="1"/>
  <c r="M281" i="556" s="1"/>
  <c r="H281" i="556"/>
  <c r="N280" i="556"/>
  <c r="K280" i="556" a="1"/>
  <c r="K280" i="556" s="1"/>
  <c r="M280" i="556" s="1"/>
  <c r="H280" i="556"/>
  <c r="N279" i="556"/>
  <c r="K279" i="556"/>
  <c r="M279" i="556" s="1"/>
  <c r="K279" i="556" a="1"/>
  <c r="H279" i="556"/>
  <c r="N278" i="556"/>
  <c r="K278" i="556" a="1"/>
  <c r="K278" i="556" s="1"/>
  <c r="M278" i="556" s="1"/>
  <c r="H278" i="556"/>
  <c r="W277" i="556"/>
  <c r="V277" i="556"/>
  <c r="N277" i="556"/>
  <c r="K277" i="556" a="1"/>
  <c r="K277" i="556" s="1"/>
  <c r="M277" i="556" s="1"/>
  <c r="J277" i="556" a="1"/>
  <c r="J277" i="556" s="1"/>
  <c r="H277" i="556"/>
  <c r="V276" i="556"/>
  <c r="W276" i="556" s="1"/>
  <c r="N276" i="556"/>
  <c r="K276" i="556" a="1"/>
  <c r="K276" i="556" s="1"/>
  <c r="M276" i="556" s="1"/>
  <c r="J276" i="556" a="1"/>
  <c r="J276" i="556" s="1"/>
  <c r="H276" i="556"/>
  <c r="V275" i="556"/>
  <c r="W275" i="556" s="1"/>
  <c r="N275" i="556"/>
  <c r="K275" i="556"/>
  <c r="M275" i="556" s="1"/>
  <c r="K275" i="556" a="1"/>
  <c r="J275" i="556"/>
  <c r="J275" i="556" a="1"/>
  <c r="H275" i="556"/>
  <c r="V274" i="556"/>
  <c r="W274" i="556" s="1"/>
  <c r="N274" i="556"/>
  <c r="K274" i="556" a="1"/>
  <c r="K274" i="556" s="1"/>
  <c r="M274" i="556" s="1"/>
  <c r="J274" i="556" a="1"/>
  <c r="J274" i="556" s="1"/>
  <c r="H274" i="556"/>
  <c r="W273" i="556"/>
  <c r="V273" i="556"/>
  <c r="N273" i="556"/>
  <c r="K273" i="556" a="1"/>
  <c r="K273" i="556" s="1"/>
  <c r="M273" i="556" s="1"/>
  <c r="J273" i="556" a="1"/>
  <c r="J273" i="556" s="1"/>
  <c r="H273" i="556"/>
  <c r="V272" i="556"/>
  <c r="W272" i="556" s="1"/>
  <c r="N272" i="556"/>
  <c r="K272" i="556" a="1"/>
  <c r="K272" i="556" s="1"/>
  <c r="M272" i="556" s="1"/>
  <c r="J272" i="556" a="1"/>
  <c r="J272" i="556" s="1"/>
  <c r="H272" i="556"/>
  <c r="V271" i="556"/>
  <c r="W271" i="556" s="1"/>
  <c r="N271" i="556"/>
  <c r="K271" i="556"/>
  <c r="M271" i="556" s="1"/>
  <c r="K271" i="556" a="1"/>
  <c r="J271" i="556"/>
  <c r="J271" i="556" a="1"/>
  <c r="H271" i="556"/>
  <c r="V270" i="556"/>
  <c r="W270" i="556" s="1"/>
  <c r="N270" i="556"/>
  <c r="K270" i="556" a="1"/>
  <c r="K270" i="556" s="1"/>
  <c r="M270" i="556" s="1"/>
  <c r="J270" i="556" a="1"/>
  <c r="J270" i="556" s="1"/>
  <c r="H270" i="556"/>
  <c r="W269" i="556"/>
  <c r="V269" i="556"/>
  <c r="N269" i="556"/>
  <c r="K269" i="556" a="1"/>
  <c r="K269" i="556" s="1"/>
  <c r="M269" i="556" s="1"/>
  <c r="J269" i="556" a="1"/>
  <c r="J269" i="556" s="1"/>
  <c r="H269" i="556"/>
  <c r="V268" i="556"/>
  <c r="W268" i="556" s="1"/>
  <c r="N268" i="556"/>
  <c r="K268" i="556" a="1"/>
  <c r="K268" i="556" s="1"/>
  <c r="M268" i="556" s="1"/>
  <c r="J268" i="556" a="1"/>
  <c r="J268" i="556" s="1"/>
  <c r="H268" i="556"/>
  <c r="V267" i="556"/>
  <c r="W267" i="556" s="1"/>
  <c r="N267" i="556"/>
  <c r="K267" i="556"/>
  <c r="M267" i="556" s="1"/>
  <c r="K267" i="556" a="1"/>
  <c r="J267" i="556"/>
  <c r="J267" i="556" a="1"/>
  <c r="H267" i="556"/>
  <c r="V266" i="556"/>
  <c r="W266" i="556" s="1"/>
  <c r="N266" i="556"/>
  <c r="K266" i="556" a="1"/>
  <c r="K266" i="556" s="1"/>
  <c r="M266" i="556" s="1"/>
  <c r="J266" i="556" a="1"/>
  <c r="J266" i="556" s="1"/>
  <c r="H266" i="556"/>
  <c r="N265" i="556"/>
  <c r="K265" i="556" a="1"/>
  <c r="K265" i="556" s="1"/>
  <c r="M265" i="556" s="1"/>
  <c r="H265" i="556"/>
  <c r="V264" i="556"/>
  <c r="W264" i="556" s="1"/>
  <c r="N264" i="556"/>
  <c r="K264" i="556" a="1"/>
  <c r="K264" i="556" s="1"/>
  <c r="M264" i="556" s="1"/>
  <c r="J264" i="556" a="1"/>
  <c r="J264" i="556" s="1"/>
  <c r="H264" i="556"/>
  <c r="V263" i="556"/>
  <c r="W263" i="556" s="1"/>
  <c r="N263" i="556"/>
  <c r="K263" i="556"/>
  <c r="M263" i="556" s="1"/>
  <c r="K263" i="556" a="1"/>
  <c r="J263" i="556"/>
  <c r="J263" i="556" a="1"/>
  <c r="H263" i="556"/>
  <c r="V262" i="556"/>
  <c r="W262" i="556" s="1"/>
  <c r="N262" i="556"/>
  <c r="K262" i="556" a="1"/>
  <c r="K262" i="556" s="1"/>
  <c r="M262" i="556" s="1"/>
  <c r="J262" i="556" a="1"/>
  <c r="J262" i="556" s="1"/>
  <c r="H262" i="556"/>
  <c r="W261" i="556"/>
  <c r="V261" i="556"/>
  <c r="N261" i="556"/>
  <c r="K261" i="556" a="1"/>
  <c r="K261" i="556" s="1"/>
  <c r="M261" i="556" s="1"/>
  <c r="J261" i="556" a="1"/>
  <c r="J261" i="556" s="1"/>
  <c r="H261" i="556"/>
  <c r="V260" i="556"/>
  <c r="W260" i="556" s="1"/>
  <c r="N260" i="556"/>
  <c r="K260" i="556" a="1"/>
  <c r="K260" i="556" s="1"/>
  <c r="M260" i="556" s="1"/>
  <c r="J260" i="556" a="1"/>
  <c r="J260" i="556" s="1"/>
  <c r="H260" i="556"/>
  <c r="V259" i="556"/>
  <c r="W259" i="556" s="1"/>
  <c r="N259" i="556"/>
  <c r="K259" i="556"/>
  <c r="M259" i="556" s="1"/>
  <c r="K259" i="556" a="1"/>
  <c r="J259" i="556"/>
  <c r="J259" i="556" a="1"/>
  <c r="H259" i="556"/>
  <c r="V258" i="556"/>
  <c r="W258" i="556" s="1"/>
  <c r="N258" i="556"/>
  <c r="N292" i="556" s="1"/>
  <c r="K258" i="556" a="1"/>
  <c r="K258" i="556" s="1"/>
  <c r="J258" i="556" a="1"/>
  <c r="J258" i="556" s="1"/>
  <c r="H258" i="556"/>
  <c r="AA257" i="556"/>
  <c r="Z257" i="556"/>
  <c r="Y257" i="556"/>
  <c r="X257" i="556"/>
  <c r="U257" i="556"/>
  <c r="T257" i="556"/>
  <c r="S257" i="556"/>
  <c r="R257" i="556"/>
  <c r="Q257" i="556"/>
  <c r="P257" i="556"/>
  <c r="O257" i="556"/>
  <c r="I257" i="556"/>
  <c r="G257" i="556"/>
  <c r="H256" i="556"/>
  <c r="H255" i="556"/>
  <c r="H254" i="556"/>
  <c r="H253" i="556"/>
  <c r="H252" i="556"/>
  <c r="H251" i="556"/>
  <c r="K250" i="556" a="1"/>
  <c r="K250" i="556" s="1"/>
  <c r="M250" i="556" s="1"/>
  <c r="H250" i="556"/>
  <c r="K249" i="556" a="1"/>
  <c r="K249" i="556" s="1"/>
  <c r="M249" i="556" s="1"/>
  <c r="H249" i="556"/>
  <c r="K248" i="556" a="1"/>
  <c r="K248" i="556" s="1"/>
  <c r="M248" i="556" s="1"/>
  <c r="H248" i="556"/>
  <c r="K247" i="556" a="1"/>
  <c r="K247" i="556" s="1"/>
  <c r="M247" i="556" s="1"/>
  <c r="H247" i="556"/>
  <c r="V246" i="556"/>
  <c r="W246" i="556" s="1"/>
  <c r="N246" i="556"/>
  <c r="K246" i="556" a="1"/>
  <c r="K246" i="556" s="1"/>
  <c r="M246" i="556" s="1"/>
  <c r="J246" i="556" a="1"/>
  <c r="J246" i="556" s="1"/>
  <c r="H246" i="556"/>
  <c r="V245" i="556"/>
  <c r="W245" i="556" s="1"/>
  <c r="N245" i="556"/>
  <c r="K245" i="556" a="1"/>
  <c r="K245" i="556" s="1"/>
  <c r="M245" i="556" s="1"/>
  <c r="J245" i="556" a="1"/>
  <c r="J245" i="556" s="1"/>
  <c r="H245" i="556"/>
  <c r="V244" i="556"/>
  <c r="W244" i="556" s="1"/>
  <c r="N244" i="556"/>
  <c r="K244" i="556"/>
  <c r="M244" i="556" s="1"/>
  <c r="K244" i="556" a="1"/>
  <c r="J244" i="556"/>
  <c r="J244" i="556" a="1"/>
  <c r="H244" i="556"/>
  <c r="V243" i="556"/>
  <c r="W243" i="556" s="1"/>
  <c r="N243" i="556"/>
  <c r="K243" i="556" a="1"/>
  <c r="K243" i="556" s="1"/>
  <c r="M243" i="556" s="1"/>
  <c r="J243" i="556" a="1"/>
  <c r="J243" i="556" s="1"/>
  <c r="H243" i="556"/>
  <c r="M242" i="556"/>
  <c r="H242" i="556"/>
  <c r="W241" i="556"/>
  <c r="V241" i="556"/>
  <c r="N241" i="556"/>
  <c r="K241" i="556" a="1"/>
  <c r="K241" i="556" s="1"/>
  <c r="M241" i="556" s="1"/>
  <c r="J241" i="556" a="1"/>
  <c r="J241" i="556" s="1"/>
  <c r="H241" i="556"/>
  <c r="V240" i="556"/>
  <c r="W240" i="556" s="1"/>
  <c r="N240" i="556"/>
  <c r="K240" i="556" a="1"/>
  <c r="K240" i="556" s="1"/>
  <c r="M240" i="556" s="1"/>
  <c r="J240" i="556" a="1"/>
  <c r="J240" i="556" s="1"/>
  <c r="H240" i="556"/>
  <c r="K239" i="556" a="1"/>
  <c r="K239" i="556" s="1"/>
  <c r="M239" i="556" s="1"/>
  <c r="H239" i="556"/>
  <c r="H238" i="556"/>
  <c r="V237" i="556"/>
  <c r="W237" i="556" s="1"/>
  <c r="N237" i="556"/>
  <c r="K237" i="556" a="1"/>
  <c r="K237" i="556" s="1"/>
  <c r="M237" i="556" s="1"/>
  <c r="J237" i="556" a="1"/>
  <c r="J237" i="556" s="1"/>
  <c r="H237" i="556"/>
  <c r="V236" i="556"/>
  <c r="W236" i="556" s="1"/>
  <c r="N236" i="556"/>
  <c r="K236" i="556"/>
  <c r="M236" i="556" s="1"/>
  <c r="K236" i="556" a="1"/>
  <c r="J236" i="556"/>
  <c r="J236" i="556" a="1"/>
  <c r="H236" i="556"/>
  <c r="V235" i="556"/>
  <c r="W235" i="556" s="1"/>
  <c r="N235" i="556"/>
  <c r="K235" i="556" a="1"/>
  <c r="K235" i="556" s="1"/>
  <c r="M235" i="556" s="1"/>
  <c r="J235" i="556" a="1"/>
  <c r="J235" i="556" s="1"/>
  <c r="H235" i="556"/>
  <c r="V234" i="556"/>
  <c r="W234" i="556" s="1"/>
  <c r="N234" i="556"/>
  <c r="K234" i="556" a="1"/>
  <c r="K234" i="556" s="1"/>
  <c r="M234" i="556" s="1"/>
  <c r="J234" i="556" a="1"/>
  <c r="J234" i="556" s="1"/>
  <c r="H234" i="556"/>
  <c r="V233" i="556"/>
  <c r="W233" i="556" s="1"/>
  <c r="N233" i="556"/>
  <c r="K233" i="556" a="1"/>
  <c r="K233" i="556" s="1"/>
  <c r="M233" i="556" s="1"/>
  <c r="J233" i="556" a="1"/>
  <c r="J233" i="556" s="1"/>
  <c r="H233" i="556"/>
  <c r="V232" i="556"/>
  <c r="W232" i="556" s="1"/>
  <c r="N232" i="556"/>
  <c r="K232" i="556"/>
  <c r="M232" i="556" s="1"/>
  <c r="K232" i="556" a="1"/>
  <c r="J232" i="556"/>
  <c r="J232" i="556" a="1"/>
  <c r="H232" i="556"/>
  <c r="V231" i="556"/>
  <c r="W231" i="556" s="1"/>
  <c r="N231" i="556"/>
  <c r="K231" i="556" a="1"/>
  <c r="K231" i="556" s="1"/>
  <c r="M231" i="556" s="1"/>
  <c r="J231" i="556" a="1"/>
  <c r="J231" i="556" s="1"/>
  <c r="H231" i="556"/>
  <c r="W230" i="556"/>
  <c r="V230" i="556"/>
  <c r="N230" i="556"/>
  <c r="K230" i="556" a="1"/>
  <c r="K230" i="556" s="1"/>
  <c r="M230" i="556" s="1"/>
  <c r="J230" i="556" a="1"/>
  <c r="J230" i="556" s="1"/>
  <c r="H230" i="556"/>
  <c r="V229" i="556"/>
  <c r="W229" i="556" s="1"/>
  <c r="N229" i="556"/>
  <c r="K229" i="556" a="1"/>
  <c r="K229" i="556" s="1"/>
  <c r="M229" i="556" s="1"/>
  <c r="J229" i="556" a="1"/>
  <c r="J229" i="556" s="1"/>
  <c r="H229" i="556"/>
  <c r="V228" i="556"/>
  <c r="W228" i="556" s="1"/>
  <c r="N228" i="556"/>
  <c r="K228" i="556"/>
  <c r="M228" i="556" s="1"/>
  <c r="K228" i="556" a="1"/>
  <c r="J228" i="556"/>
  <c r="J228" i="556" a="1"/>
  <c r="H228" i="556"/>
  <c r="N227" i="556"/>
  <c r="K227" i="556" a="1"/>
  <c r="K227" i="556" s="1"/>
  <c r="M227" i="556" s="1"/>
  <c r="H227" i="556"/>
  <c r="N226" i="556"/>
  <c r="K226" i="556" a="1"/>
  <c r="K226" i="556" s="1"/>
  <c r="M226" i="556" s="1"/>
  <c r="H226" i="556"/>
  <c r="N225" i="556"/>
  <c r="K225" i="556" a="1"/>
  <c r="K225" i="556" s="1"/>
  <c r="M225" i="556" s="1"/>
  <c r="H225" i="556"/>
  <c r="N224" i="556"/>
  <c r="K224" i="556"/>
  <c r="M224" i="556" s="1"/>
  <c r="K224" i="556" a="1"/>
  <c r="H224" i="556"/>
  <c r="N223" i="556"/>
  <c r="K223" i="556" a="1"/>
  <c r="K223" i="556" s="1"/>
  <c r="M223" i="556" s="1"/>
  <c r="H223" i="556"/>
  <c r="N222" i="556"/>
  <c r="K222" i="556" a="1"/>
  <c r="K222" i="556" s="1"/>
  <c r="M222" i="556" s="1"/>
  <c r="H222" i="556"/>
  <c r="N221" i="556"/>
  <c r="K221" i="556" a="1"/>
  <c r="K221" i="556" s="1"/>
  <c r="M221" i="556" s="1"/>
  <c r="H221" i="556"/>
  <c r="N220" i="556"/>
  <c r="K220" i="556"/>
  <c r="M220" i="556" s="1"/>
  <c r="K220" i="556" a="1"/>
  <c r="H220" i="556"/>
  <c r="V219" i="556"/>
  <c r="W219" i="556" s="1"/>
  <c r="N219" i="556"/>
  <c r="K219" i="556" a="1"/>
  <c r="K219" i="556" s="1"/>
  <c r="M219" i="556" s="1"/>
  <c r="J219" i="556" a="1"/>
  <c r="J219" i="556" s="1"/>
  <c r="H219" i="556"/>
  <c r="W218" i="556"/>
  <c r="V218" i="556"/>
  <c r="N218" i="556"/>
  <c r="K218" i="556" a="1"/>
  <c r="K218" i="556" s="1"/>
  <c r="M218" i="556" s="1"/>
  <c r="J218" i="556" a="1"/>
  <c r="J218" i="556" s="1"/>
  <c r="H218" i="556"/>
  <c r="V217" i="556"/>
  <c r="W217" i="556" s="1"/>
  <c r="N217" i="556"/>
  <c r="K217" i="556" a="1"/>
  <c r="K217" i="556" s="1"/>
  <c r="M217" i="556" s="1"/>
  <c r="J217" i="556" a="1"/>
  <c r="J217" i="556" s="1"/>
  <c r="H217" i="556"/>
  <c r="V216" i="556"/>
  <c r="W216" i="556" s="1"/>
  <c r="N216" i="556"/>
  <c r="K216" i="556"/>
  <c r="M216" i="556" s="1"/>
  <c r="K216" i="556" a="1"/>
  <c r="J216" i="556"/>
  <c r="J216" i="556" a="1"/>
  <c r="H216" i="556"/>
  <c r="V215" i="556"/>
  <c r="W215" i="556" s="1"/>
  <c r="N215" i="556"/>
  <c r="K215" i="556" a="1"/>
  <c r="K215" i="556" s="1"/>
  <c r="M215" i="556" s="1"/>
  <c r="J215" i="556" a="1"/>
  <c r="J215" i="556" s="1"/>
  <c r="H215" i="556"/>
  <c r="V214" i="556"/>
  <c r="W214" i="556" s="1"/>
  <c r="N214" i="556"/>
  <c r="K214" i="556"/>
  <c r="M214" i="556" s="1"/>
  <c r="K214" i="556" a="1"/>
  <c r="J214" i="556"/>
  <c r="J214" i="556" a="1"/>
  <c r="H214" i="556"/>
  <c r="V213" i="556"/>
  <c r="W213" i="556" s="1"/>
  <c r="N213" i="556"/>
  <c r="K213" i="556" a="1"/>
  <c r="K213" i="556" s="1"/>
  <c r="M213" i="556" s="1"/>
  <c r="J213" i="556" a="1"/>
  <c r="J213" i="556" s="1"/>
  <c r="H213" i="556"/>
  <c r="W212" i="556"/>
  <c r="V212" i="556"/>
  <c r="N212" i="556"/>
  <c r="K212" i="556" a="1"/>
  <c r="K212" i="556" s="1"/>
  <c r="M212" i="556" s="1"/>
  <c r="J212" i="556" a="1"/>
  <c r="J212" i="556" s="1"/>
  <c r="H212" i="556"/>
  <c r="V211" i="556"/>
  <c r="W211" i="556" s="1"/>
  <c r="N211" i="556"/>
  <c r="K211" i="556" a="1"/>
  <c r="K211" i="556" s="1"/>
  <c r="M211" i="556" s="1"/>
  <c r="J211" i="556" a="1"/>
  <c r="J211" i="556" s="1"/>
  <c r="H211" i="556"/>
  <c r="V210" i="556"/>
  <c r="W210" i="556" s="1"/>
  <c r="N210" i="556"/>
  <c r="K210" i="556"/>
  <c r="M210" i="556" s="1"/>
  <c r="K210" i="556" a="1"/>
  <c r="J210" i="556"/>
  <c r="J210" i="556" a="1"/>
  <c r="H210" i="556"/>
  <c r="V209" i="556"/>
  <c r="W209" i="556" s="1"/>
  <c r="N209" i="556"/>
  <c r="K209" i="556" a="1"/>
  <c r="K209" i="556" s="1"/>
  <c r="M209" i="556" s="1"/>
  <c r="J209" i="556" a="1"/>
  <c r="J209" i="556" s="1"/>
  <c r="H209" i="556"/>
  <c r="W208" i="556"/>
  <c r="V208" i="556"/>
  <c r="N208" i="556"/>
  <c r="K208" i="556" a="1"/>
  <c r="K208" i="556" s="1"/>
  <c r="M208" i="556" s="1"/>
  <c r="J208" i="556" a="1"/>
  <c r="J208" i="556" s="1"/>
  <c r="H208" i="556"/>
  <c r="H207" i="556"/>
  <c r="H206" i="556"/>
  <c r="H205" i="556"/>
  <c r="V204" i="556"/>
  <c r="W204" i="556" s="1"/>
  <c r="N204" i="556"/>
  <c r="K204" i="556"/>
  <c r="M204" i="556" s="1"/>
  <c r="K204" i="556" a="1"/>
  <c r="J204" i="556"/>
  <c r="J204" i="556" a="1"/>
  <c r="H204" i="556"/>
  <c r="V203" i="556"/>
  <c r="W203" i="556" s="1"/>
  <c r="N203" i="556"/>
  <c r="K203" i="556" a="1"/>
  <c r="K203" i="556" s="1"/>
  <c r="M203" i="556" s="1"/>
  <c r="J203" i="556" a="1"/>
  <c r="J203" i="556" s="1"/>
  <c r="H203" i="556"/>
  <c r="W202" i="556"/>
  <c r="V202" i="556"/>
  <c r="N202" i="556"/>
  <c r="K202" i="556" a="1"/>
  <c r="K202" i="556" s="1"/>
  <c r="M202" i="556" s="1"/>
  <c r="J202" i="556" a="1"/>
  <c r="J202" i="556" s="1"/>
  <c r="H202" i="556"/>
  <c r="H201" i="556"/>
  <c r="W200" i="556"/>
  <c r="V200" i="556"/>
  <c r="V257" i="556" s="1"/>
  <c r="W257" i="556" s="1"/>
  <c r="N200" i="556"/>
  <c r="K200" i="556" a="1"/>
  <c r="K200" i="556" s="1"/>
  <c r="J200" i="556" a="1"/>
  <c r="J200" i="556" s="1"/>
  <c r="H200" i="556"/>
  <c r="H257" i="556" s="1"/>
  <c r="AA199" i="556"/>
  <c r="AA335" i="556" s="1"/>
  <c r="Z199" i="556"/>
  <c r="Z335" i="556" s="1"/>
  <c r="Y199" i="556"/>
  <c r="Y335" i="556" s="1"/>
  <c r="X199" i="556"/>
  <c r="X335" i="556" s="1"/>
  <c r="U199" i="556"/>
  <c r="U335" i="556" s="1"/>
  <c r="T199" i="556"/>
  <c r="T335" i="556" s="1"/>
  <c r="S199" i="556"/>
  <c r="S335" i="556" s="1"/>
  <c r="R199" i="556"/>
  <c r="R335" i="556" s="1"/>
  <c r="Q199" i="556"/>
  <c r="Q335" i="556" s="1"/>
  <c r="P199" i="556"/>
  <c r="O199" i="556"/>
  <c r="I199" i="556"/>
  <c r="I335" i="556" s="1"/>
  <c r="B343" i="556" s="1"/>
  <c r="G199" i="556"/>
  <c r="G335" i="556" s="1"/>
  <c r="V198" i="556"/>
  <c r="W198" i="556" s="1"/>
  <c r="N198" i="556"/>
  <c r="K198" i="556" a="1"/>
  <c r="K198" i="556" s="1"/>
  <c r="M198" i="556" s="1"/>
  <c r="J198" i="556" a="1"/>
  <c r="J198" i="556" s="1"/>
  <c r="H198" i="556"/>
  <c r="V197" i="556"/>
  <c r="W197" i="556" s="1"/>
  <c r="N197" i="556"/>
  <c r="K197" i="556"/>
  <c r="M197" i="556" s="1"/>
  <c r="K197" i="556" a="1"/>
  <c r="J197" i="556"/>
  <c r="J197" i="556" a="1"/>
  <c r="H197" i="556"/>
  <c r="K196" i="556" a="1"/>
  <c r="K196" i="556" s="1"/>
  <c r="M196" i="556" s="1"/>
  <c r="H196" i="556"/>
  <c r="K195" i="556"/>
  <c r="M195" i="556" s="1"/>
  <c r="K195" i="556" a="1"/>
  <c r="H195" i="556"/>
  <c r="K194" i="556" a="1"/>
  <c r="K194" i="556" s="1"/>
  <c r="M194" i="556" s="1"/>
  <c r="H194" i="556"/>
  <c r="K193" i="556"/>
  <c r="M193" i="556" s="1"/>
  <c r="K193" i="556" a="1"/>
  <c r="H193" i="556"/>
  <c r="V192" i="556"/>
  <c r="W192" i="556" s="1"/>
  <c r="N192" i="556"/>
  <c r="K192" i="556" a="1"/>
  <c r="K192" i="556" s="1"/>
  <c r="M192" i="556" s="1"/>
  <c r="J192" i="556" a="1"/>
  <c r="J192" i="556" s="1"/>
  <c r="H192" i="556"/>
  <c r="W191" i="556"/>
  <c r="V191" i="556"/>
  <c r="N191" i="556"/>
  <c r="K191" i="556" a="1"/>
  <c r="K191" i="556" s="1"/>
  <c r="M191" i="556" s="1"/>
  <c r="J191" i="556" a="1"/>
  <c r="J191" i="556" s="1"/>
  <c r="H191" i="556"/>
  <c r="V190" i="556"/>
  <c r="W190" i="556" s="1"/>
  <c r="N190" i="556"/>
  <c r="K190" i="556" a="1"/>
  <c r="K190" i="556" s="1"/>
  <c r="M190" i="556" s="1"/>
  <c r="J190" i="556" a="1"/>
  <c r="J190" i="556" s="1"/>
  <c r="H190" i="556"/>
  <c r="N189" i="556"/>
  <c r="K189" i="556" a="1"/>
  <c r="K189" i="556" s="1"/>
  <c r="M189" i="556" s="1"/>
  <c r="J189" i="556" a="1"/>
  <c r="J189" i="556" s="1"/>
  <c r="H189" i="556"/>
  <c r="N188" i="556"/>
  <c r="K188" i="556" a="1"/>
  <c r="K188" i="556" s="1"/>
  <c r="M188" i="556" s="1"/>
  <c r="J188" i="556" a="1"/>
  <c r="J188" i="556" s="1"/>
  <c r="H188" i="556"/>
  <c r="W187" i="556"/>
  <c r="V187" i="556"/>
  <c r="N187" i="556"/>
  <c r="K187" i="556" a="1"/>
  <c r="K187" i="556" s="1"/>
  <c r="M187" i="556" s="1"/>
  <c r="J187" i="556" a="1"/>
  <c r="J187" i="556" s="1"/>
  <c r="H187" i="556"/>
  <c r="V186" i="556"/>
  <c r="W186" i="556" s="1"/>
  <c r="N186" i="556"/>
  <c r="K186" i="556" a="1"/>
  <c r="K186" i="556" s="1"/>
  <c r="M186" i="556" s="1"/>
  <c r="J186" i="556" a="1"/>
  <c r="J186" i="556" s="1"/>
  <c r="H186" i="556"/>
  <c r="N185" i="556"/>
  <c r="K185" i="556"/>
  <c r="M185" i="556" s="1"/>
  <c r="K185" i="556" a="1"/>
  <c r="H185" i="556"/>
  <c r="N184" i="556"/>
  <c r="K184" i="556" a="1"/>
  <c r="K184" i="556" s="1"/>
  <c r="M184" i="556" s="1"/>
  <c r="H184" i="556"/>
  <c r="W183" i="556"/>
  <c r="V183" i="556"/>
  <c r="N183" i="556"/>
  <c r="K183" i="556" a="1"/>
  <c r="K183" i="556" s="1"/>
  <c r="M183" i="556" s="1"/>
  <c r="J183" i="556" a="1"/>
  <c r="J183" i="556" s="1"/>
  <c r="H183" i="556"/>
  <c r="V182" i="556"/>
  <c r="W182" i="556" s="1"/>
  <c r="N182" i="556"/>
  <c r="K182" i="556" a="1"/>
  <c r="K182" i="556" s="1"/>
  <c r="M182" i="556" s="1"/>
  <c r="J182" i="556" a="1"/>
  <c r="J182" i="556" s="1"/>
  <c r="H182" i="556"/>
  <c r="V181" i="556"/>
  <c r="W181" i="556" s="1"/>
  <c r="N181" i="556"/>
  <c r="K181" i="556"/>
  <c r="M181" i="556" s="1"/>
  <c r="K181" i="556" a="1"/>
  <c r="J181" i="556"/>
  <c r="J181" i="556" a="1"/>
  <c r="H181" i="556"/>
  <c r="V180" i="556"/>
  <c r="W180" i="556" s="1"/>
  <c r="N180" i="556"/>
  <c r="K180" i="556" a="1"/>
  <c r="K180" i="556" s="1"/>
  <c r="M180" i="556" s="1"/>
  <c r="J180" i="556" a="1"/>
  <c r="J180" i="556" s="1"/>
  <c r="H180" i="556"/>
  <c r="W179" i="556"/>
  <c r="V179" i="556"/>
  <c r="N179" i="556"/>
  <c r="K179" i="556" a="1"/>
  <c r="K179" i="556" s="1"/>
  <c r="M179" i="556" s="1"/>
  <c r="J179" i="556" a="1"/>
  <c r="J179" i="556" s="1"/>
  <c r="H179" i="556"/>
  <c r="V178" i="556"/>
  <c r="V199" i="556" s="1"/>
  <c r="N178" i="556"/>
  <c r="K178" i="556" a="1"/>
  <c r="K178" i="556" s="1"/>
  <c r="J178" i="556" a="1"/>
  <c r="J178" i="556" s="1"/>
  <c r="H178" i="556"/>
  <c r="H199" i="556" s="1"/>
  <c r="X171" i="556"/>
  <c r="Q529" i="556" s="1"/>
  <c r="X170" i="556"/>
  <c r="Q528" i="556" s="1"/>
  <c r="G170" i="556"/>
  <c r="C170" i="556"/>
  <c r="X169" i="556"/>
  <c r="Q527" i="556" s="1"/>
  <c r="I169" i="556"/>
  <c r="E169" i="556"/>
  <c r="K169" i="556" s="1"/>
  <c r="M169" i="556" s="1"/>
  <c r="I168" i="556"/>
  <c r="E168" i="556"/>
  <c r="K168" i="556" s="1"/>
  <c r="M168" i="556" s="1"/>
  <c r="I167" i="556"/>
  <c r="E167" i="556"/>
  <c r="K167" i="556" s="1"/>
  <c r="M167" i="556" s="1"/>
  <c r="X166" i="556"/>
  <c r="Q524" i="556" s="1"/>
  <c r="I166" i="556"/>
  <c r="I170" i="556" s="1"/>
  <c r="E166" i="556"/>
  <c r="E170" i="556" s="1"/>
  <c r="AA163" i="556"/>
  <c r="Z163" i="556"/>
  <c r="Y163" i="556"/>
  <c r="X163" i="556"/>
  <c r="U163" i="556"/>
  <c r="T163" i="556"/>
  <c r="S163" i="556"/>
  <c r="R163" i="556"/>
  <c r="Q163" i="556"/>
  <c r="P163" i="556"/>
  <c r="O163" i="556"/>
  <c r="I163" i="556"/>
  <c r="G163" i="556"/>
  <c r="C529" i="556" s="1"/>
  <c r="H162" i="556"/>
  <c r="H161" i="556"/>
  <c r="H160" i="556"/>
  <c r="V159" i="556"/>
  <c r="W159" i="556" s="1"/>
  <c r="N159" i="556"/>
  <c r="K159" i="556"/>
  <c r="K159" i="556" a="1"/>
  <c r="J159" i="556" a="1"/>
  <c r="J159" i="556" s="1"/>
  <c r="H159" i="556"/>
  <c r="D159" i="556"/>
  <c r="V158" i="556"/>
  <c r="W158" i="556" s="1"/>
  <c r="N158" i="556"/>
  <c r="K158" i="556" a="1"/>
  <c r="K158" i="556" s="1"/>
  <c r="M158" i="556" s="1"/>
  <c r="J158" i="556" a="1"/>
  <c r="J158" i="556" s="1"/>
  <c r="H158" i="556"/>
  <c r="H157" i="556"/>
  <c r="H156" i="556"/>
  <c r="V155" i="556"/>
  <c r="W155" i="556" s="1"/>
  <c r="N155" i="556"/>
  <c r="K155" i="556" a="1"/>
  <c r="K155" i="556" s="1"/>
  <c r="M155" i="556" s="1"/>
  <c r="J155" i="556" a="1"/>
  <c r="J155" i="556" s="1"/>
  <c r="H155" i="556"/>
  <c r="V154" i="556"/>
  <c r="W154" i="556" s="1"/>
  <c r="N154" i="556"/>
  <c r="K154" i="556"/>
  <c r="M154" i="556" s="1"/>
  <c r="K154" i="556" a="1"/>
  <c r="J154" i="556"/>
  <c r="J154" i="556" a="1"/>
  <c r="H154" i="556"/>
  <c r="H153" i="556"/>
  <c r="W152" i="556"/>
  <c r="V152" i="556"/>
  <c r="N152" i="556"/>
  <c r="K152" i="556" a="1"/>
  <c r="K152" i="556" s="1"/>
  <c r="M152" i="556" s="1"/>
  <c r="J152" i="556" a="1"/>
  <c r="J152" i="556" s="1"/>
  <c r="H152" i="556"/>
  <c r="V151" i="556"/>
  <c r="W151" i="556" s="1"/>
  <c r="N151" i="556"/>
  <c r="K151" i="556" a="1"/>
  <c r="K151" i="556" s="1"/>
  <c r="M151" i="556" s="1"/>
  <c r="J151" i="556" a="1"/>
  <c r="J151" i="556" s="1"/>
  <c r="H151" i="556"/>
  <c r="V150" i="556"/>
  <c r="W150" i="556" s="1"/>
  <c r="N150" i="556"/>
  <c r="K150" i="556"/>
  <c r="M150" i="556" s="1"/>
  <c r="K150" i="556" a="1"/>
  <c r="J150" i="556"/>
  <c r="J150" i="556" a="1"/>
  <c r="H150" i="556"/>
  <c r="V149" i="556"/>
  <c r="W149" i="556" s="1"/>
  <c r="N149" i="556"/>
  <c r="N163" i="556" s="1"/>
  <c r="K149" i="556" a="1"/>
  <c r="K149" i="556" s="1"/>
  <c r="J149" i="556" a="1"/>
  <c r="J149" i="556" s="1"/>
  <c r="H149" i="556"/>
  <c r="AA148" i="556"/>
  <c r="Z148" i="556"/>
  <c r="Y148" i="556"/>
  <c r="X148" i="556"/>
  <c r="U148" i="556"/>
  <c r="T148" i="556"/>
  <c r="S148" i="556"/>
  <c r="Q148" i="556"/>
  <c r="P148" i="556"/>
  <c r="O148" i="556"/>
  <c r="I148" i="556"/>
  <c r="G148" i="556"/>
  <c r="C528" i="556" s="1"/>
  <c r="V147" i="556"/>
  <c r="W147" i="556" s="1"/>
  <c r="N147" i="556"/>
  <c r="K147" i="556"/>
  <c r="M147" i="556" s="1"/>
  <c r="K147" i="556" a="1"/>
  <c r="J147" i="556" a="1"/>
  <c r="J147" i="556" s="1"/>
  <c r="H147" i="556"/>
  <c r="K146" i="556" a="1"/>
  <c r="K146" i="556" s="1"/>
  <c r="H146" i="556"/>
  <c r="K145" i="556" a="1"/>
  <c r="K145" i="556" s="1"/>
  <c r="H145" i="556"/>
  <c r="K144" i="556" a="1"/>
  <c r="K144" i="556" s="1"/>
  <c r="H144" i="556"/>
  <c r="K143" i="556" a="1"/>
  <c r="K143" i="556" s="1"/>
  <c r="H143" i="556"/>
  <c r="W142" i="556"/>
  <c r="V142" i="556"/>
  <c r="N142" i="556"/>
  <c r="K142" i="556" a="1"/>
  <c r="K142" i="556" s="1"/>
  <c r="M142" i="556" s="1"/>
  <c r="J142" i="556" a="1"/>
  <c r="J142" i="556" s="1"/>
  <c r="H142" i="556"/>
  <c r="V141" i="556"/>
  <c r="W141" i="556" s="1"/>
  <c r="N141" i="556"/>
  <c r="K141" i="556"/>
  <c r="M141" i="556" s="1"/>
  <c r="K141" i="556" a="1"/>
  <c r="J141" i="556" a="1"/>
  <c r="J141" i="556" s="1"/>
  <c r="H141" i="556"/>
  <c r="W140" i="556"/>
  <c r="V140" i="556"/>
  <c r="N140" i="556"/>
  <c r="K140" i="556" a="1"/>
  <c r="K140" i="556" s="1"/>
  <c r="M140" i="556" s="1"/>
  <c r="J140" i="556" a="1"/>
  <c r="J140" i="556" s="1"/>
  <c r="H140" i="556"/>
  <c r="V139" i="556"/>
  <c r="W139" i="556" s="1"/>
  <c r="N139" i="556"/>
  <c r="K139" i="556"/>
  <c r="M139" i="556" s="1"/>
  <c r="K139" i="556" a="1"/>
  <c r="J139" i="556" a="1"/>
  <c r="J139" i="556" s="1"/>
  <c r="H139" i="556"/>
  <c r="W138" i="556"/>
  <c r="V138" i="556"/>
  <c r="N138" i="556"/>
  <c r="N148" i="556" s="1"/>
  <c r="K138" i="556" a="1"/>
  <c r="K138" i="556" s="1"/>
  <c r="K148" i="556" s="1"/>
  <c r="J138" i="556" a="1"/>
  <c r="J138" i="556" s="1"/>
  <c r="H138" i="556"/>
  <c r="H148" i="556" s="1"/>
  <c r="AA137" i="556"/>
  <c r="Z137" i="556"/>
  <c r="Y137" i="556"/>
  <c r="X137" i="556"/>
  <c r="U137" i="556"/>
  <c r="T137" i="556"/>
  <c r="S137" i="556"/>
  <c r="Q137" i="556"/>
  <c r="P137" i="556"/>
  <c r="O137" i="556"/>
  <c r="R169" i="556" s="1"/>
  <c r="I137" i="556"/>
  <c r="G137" i="556"/>
  <c r="C527" i="556" s="1"/>
  <c r="V136" i="556"/>
  <c r="W136" i="556" s="1"/>
  <c r="N136" i="556"/>
  <c r="K136" i="556" a="1"/>
  <c r="K136" i="556" s="1"/>
  <c r="M136" i="556" s="1"/>
  <c r="J136" i="556" a="1"/>
  <c r="J136" i="556" s="1"/>
  <c r="H136" i="556"/>
  <c r="W135" i="556"/>
  <c r="V135" i="556"/>
  <c r="N135" i="556"/>
  <c r="K135" i="556" a="1"/>
  <c r="K135" i="556" s="1"/>
  <c r="M135" i="556" s="1"/>
  <c r="J135" i="556" a="1"/>
  <c r="J135" i="556" s="1"/>
  <c r="H135" i="556"/>
  <c r="V134" i="556"/>
  <c r="W134" i="556" s="1"/>
  <c r="N134" i="556"/>
  <c r="K134" i="556" a="1"/>
  <c r="K134" i="556" s="1"/>
  <c r="M134" i="556" s="1"/>
  <c r="J134" i="556" a="1"/>
  <c r="J134" i="556" s="1"/>
  <c r="H134" i="556"/>
  <c r="V133" i="556"/>
  <c r="W133" i="556" s="1"/>
  <c r="N133" i="556"/>
  <c r="K133" i="556"/>
  <c r="M133" i="556" s="1"/>
  <c r="K133" i="556" a="1"/>
  <c r="J133" i="556"/>
  <c r="J133" i="556" a="1"/>
  <c r="H133" i="556"/>
  <c r="V132" i="556"/>
  <c r="W132" i="556" s="1"/>
  <c r="N132" i="556"/>
  <c r="K132" i="556" a="1"/>
  <c r="K132" i="556" s="1"/>
  <c r="M132" i="556" s="1"/>
  <c r="J132" i="556" a="1"/>
  <c r="J132" i="556" s="1"/>
  <c r="H132" i="556"/>
  <c r="W131" i="556"/>
  <c r="V131" i="556"/>
  <c r="N131" i="556"/>
  <c r="K131" i="556" a="1"/>
  <c r="K131" i="556" s="1"/>
  <c r="M131" i="556" s="1"/>
  <c r="J131" i="556" a="1"/>
  <c r="J131" i="556" s="1"/>
  <c r="H131" i="556"/>
  <c r="V130" i="556"/>
  <c r="W130" i="556" s="1"/>
  <c r="N130" i="556"/>
  <c r="K130" i="556" a="1"/>
  <c r="K130" i="556" s="1"/>
  <c r="M130" i="556" s="1"/>
  <c r="J130" i="556" a="1"/>
  <c r="J130" i="556" s="1"/>
  <c r="H130" i="556"/>
  <c r="V129" i="556"/>
  <c r="W129" i="556" s="1"/>
  <c r="N129" i="556"/>
  <c r="K129" i="556"/>
  <c r="M129" i="556" s="1"/>
  <c r="K129" i="556" a="1"/>
  <c r="J129" i="556"/>
  <c r="J129" i="556" a="1"/>
  <c r="H129" i="556"/>
  <c r="V128" i="556"/>
  <c r="W128" i="556" s="1"/>
  <c r="N128" i="556"/>
  <c r="K128" i="556" a="1"/>
  <c r="K128" i="556" s="1"/>
  <c r="M128" i="556" s="1"/>
  <c r="J128" i="556" a="1"/>
  <c r="J128" i="556" s="1"/>
  <c r="H128" i="556"/>
  <c r="W127" i="556"/>
  <c r="V127" i="556"/>
  <c r="N127" i="556"/>
  <c r="K127" i="556" a="1"/>
  <c r="K127" i="556" s="1"/>
  <c r="M127" i="556" s="1"/>
  <c r="J127" i="556" a="1"/>
  <c r="J127" i="556" s="1"/>
  <c r="H127" i="556"/>
  <c r="V126" i="556"/>
  <c r="W126" i="556" s="1"/>
  <c r="N126" i="556"/>
  <c r="K126" i="556" a="1"/>
  <c r="K126" i="556" s="1"/>
  <c r="M126" i="556" s="1"/>
  <c r="J126" i="556" a="1"/>
  <c r="J126" i="556" s="1"/>
  <c r="H126" i="556"/>
  <c r="V125" i="556"/>
  <c r="W125" i="556" s="1"/>
  <c r="N125" i="556"/>
  <c r="K125" i="556"/>
  <c r="M125" i="556" s="1"/>
  <c r="K125" i="556" a="1"/>
  <c r="J125" i="556"/>
  <c r="J125" i="556" a="1"/>
  <c r="H125" i="556"/>
  <c r="V124" i="556"/>
  <c r="W124" i="556" s="1"/>
  <c r="N124" i="556"/>
  <c r="K124" i="556" a="1"/>
  <c r="K124" i="556" s="1"/>
  <c r="M124" i="556" s="1"/>
  <c r="J124" i="556" a="1"/>
  <c r="J124" i="556" s="1"/>
  <c r="H124" i="556"/>
  <c r="W123" i="556"/>
  <c r="V123" i="556"/>
  <c r="N123" i="556"/>
  <c r="K123" i="556" a="1"/>
  <c r="K123" i="556" s="1"/>
  <c r="M123" i="556" s="1"/>
  <c r="J123" i="556" a="1"/>
  <c r="J123" i="556" s="1"/>
  <c r="H123" i="556"/>
  <c r="V122" i="556"/>
  <c r="V137" i="556" s="1"/>
  <c r="W137" i="556" s="1"/>
  <c r="N122" i="556"/>
  <c r="K122" i="556" a="1"/>
  <c r="K122" i="556" s="1"/>
  <c r="J122" i="556" a="1"/>
  <c r="J122" i="556" s="1"/>
  <c r="H122" i="556"/>
  <c r="H137" i="556" s="1"/>
  <c r="AA121" i="556"/>
  <c r="Z121" i="556"/>
  <c r="Y121" i="556"/>
  <c r="X121" i="556"/>
  <c r="U121" i="556"/>
  <c r="T121" i="556"/>
  <c r="S121" i="556"/>
  <c r="R121" i="556"/>
  <c r="Q121" i="556"/>
  <c r="P121" i="556"/>
  <c r="O121" i="556"/>
  <c r="R168" i="556" s="1"/>
  <c r="I121" i="556"/>
  <c r="G121" i="556"/>
  <c r="C526" i="556" s="1"/>
  <c r="V120" i="556"/>
  <c r="W120" i="556" s="1"/>
  <c r="N120" i="556"/>
  <c r="K120" i="556" a="1"/>
  <c r="K120" i="556" s="1"/>
  <c r="M120" i="556" s="1"/>
  <c r="J120" i="556" a="1"/>
  <c r="J120" i="556" s="1"/>
  <c r="H120" i="556"/>
  <c r="W119" i="556"/>
  <c r="V119" i="556"/>
  <c r="N119" i="556"/>
  <c r="K119" i="556" a="1"/>
  <c r="K119" i="556" s="1"/>
  <c r="M119" i="556" s="1"/>
  <c r="J119" i="556" a="1"/>
  <c r="J119" i="556" s="1"/>
  <c r="H119" i="556"/>
  <c r="V118" i="556"/>
  <c r="W118" i="556" s="1"/>
  <c r="N118" i="556"/>
  <c r="K118" i="556" a="1"/>
  <c r="K118" i="556" s="1"/>
  <c r="M118" i="556" s="1"/>
  <c r="J118" i="556" a="1"/>
  <c r="J118" i="556" s="1"/>
  <c r="H118" i="556"/>
  <c r="K117" i="556" a="1"/>
  <c r="K117" i="556" s="1"/>
  <c r="H117" i="556"/>
  <c r="K116" i="556" a="1"/>
  <c r="K116" i="556" s="1"/>
  <c r="H116" i="556"/>
  <c r="K115" i="556"/>
  <c r="K115" i="556" a="1"/>
  <c r="H115" i="556"/>
  <c r="V114" i="556"/>
  <c r="W114" i="556" s="1"/>
  <c r="N114" i="556"/>
  <c r="K114" i="556" a="1"/>
  <c r="K114" i="556" s="1"/>
  <c r="M114" i="556" s="1"/>
  <c r="J114" i="556" a="1"/>
  <c r="J114" i="556" s="1"/>
  <c r="H114" i="556"/>
  <c r="V113" i="556"/>
  <c r="W113" i="556" s="1"/>
  <c r="N113" i="556"/>
  <c r="K113" i="556"/>
  <c r="M113" i="556" s="1"/>
  <c r="K113" i="556" a="1"/>
  <c r="J113" i="556"/>
  <c r="J113" i="556" a="1"/>
  <c r="H113" i="556"/>
  <c r="N112" i="556"/>
  <c r="K112" i="556" a="1"/>
  <c r="K112" i="556" s="1"/>
  <c r="M112" i="556" s="1"/>
  <c r="H112" i="556"/>
  <c r="N111" i="556"/>
  <c r="K111" i="556" a="1"/>
  <c r="K111" i="556" s="1"/>
  <c r="M111" i="556" s="1"/>
  <c r="H111" i="556"/>
  <c r="N110" i="556"/>
  <c r="K110" i="556" a="1"/>
  <c r="K110" i="556" s="1"/>
  <c r="M110" i="556" s="1"/>
  <c r="H110" i="556"/>
  <c r="N109" i="556"/>
  <c r="K109" i="556"/>
  <c r="M109" i="556" s="1"/>
  <c r="K109" i="556" a="1"/>
  <c r="H109" i="556"/>
  <c r="N108" i="556"/>
  <c r="K108" i="556" a="1"/>
  <c r="K108" i="556" s="1"/>
  <c r="M108" i="556" s="1"/>
  <c r="H108" i="556"/>
  <c r="N107" i="556"/>
  <c r="K107" i="556"/>
  <c r="M107" i="556" s="1"/>
  <c r="K107" i="556" a="1"/>
  <c r="H107" i="556"/>
  <c r="V106" i="556"/>
  <c r="W106" i="556" s="1"/>
  <c r="N106" i="556"/>
  <c r="K106" i="556" a="1"/>
  <c r="K106" i="556" s="1"/>
  <c r="M106" i="556" s="1"/>
  <c r="J106" i="556" a="1"/>
  <c r="J106" i="556" s="1"/>
  <c r="H106" i="556"/>
  <c r="V105" i="556"/>
  <c r="W105" i="556" s="1"/>
  <c r="N105" i="556"/>
  <c r="K105" i="556"/>
  <c r="M105" i="556" s="1"/>
  <c r="K105" i="556" a="1"/>
  <c r="J105" i="556" a="1"/>
  <c r="J105" i="556" s="1"/>
  <c r="H105" i="556"/>
  <c r="V104" i="556"/>
  <c r="W104" i="556" s="1"/>
  <c r="N104" i="556"/>
  <c r="K104" i="556" a="1"/>
  <c r="K104" i="556" s="1"/>
  <c r="M104" i="556" s="1"/>
  <c r="J104" i="556" a="1"/>
  <c r="J104" i="556" s="1"/>
  <c r="H104" i="556"/>
  <c r="V103" i="556"/>
  <c r="W103" i="556" s="1"/>
  <c r="N103" i="556"/>
  <c r="K103" i="556" a="1"/>
  <c r="K103" i="556" s="1"/>
  <c r="M103" i="556" s="1"/>
  <c r="J103" i="556" a="1"/>
  <c r="J103" i="556" s="1"/>
  <c r="H103" i="556"/>
  <c r="V102" i="556"/>
  <c r="W102" i="556" s="1"/>
  <c r="N102" i="556"/>
  <c r="K102" i="556" a="1"/>
  <c r="K102" i="556" s="1"/>
  <c r="M102" i="556" s="1"/>
  <c r="J102" i="556" a="1"/>
  <c r="J102" i="556" s="1"/>
  <c r="H102" i="556"/>
  <c r="V101" i="556"/>
  <c r="W101" i="556" s="1"/>
  <c r="N101" i="556"/>
  <c r="K101" i="556"/>
  <c r="M101" i="556" s="1"/>
  <c r="K101" i="556" a="1"/>
  <c r="J101" i="556"/>
  <c r="J101" i="556" a="1"/>
  <c r="H101" i="556"/>
  <c r="V100" i="556"/>
  <c r="W100" i="556" s="1"/>
  <c r="N100" i="556"/>
  <c r="K100" i="556" a="1"/>
  <c r="K100" i="556" s="1"/>
  <c r="M100" i="556" s="1"/>
  <c r="J100" i="556" a="1"/>
  <c r="J100" i="556" s="1"/>
  <c r="H100" i="556"/>
  <c r="W99" i="556"/>
  <c r="V99" i="556"/>
  <c r="N99" i="556"/>
  <c r="K99" i="556" a="1"/>
  <c r="K99" i="556" s="1"/>
  <c r="M99" i="556" s="1"/>
  <c r="J99" i="556" a="1"/>
  <c r="J99" i="556" s="1"/>
  <c r="H99" i="556"/>
  <c r="V98" i="556"/>
  <c r="W98" i="556" s="1"/>
  <c r="N98" i="556"/>
  <c r="K98" i="556" a="1"/>
  <c r="K98" i="556" s="1"/>
  <c r="M98" i="556" s="1"/>
  <c r="J98" i="556" a="1"/>
  <c r="J98" i="556" s="1"/>
  <c r="H98" i="556"/>
  <c r="V97" i="556"/>
  <c r="W97" i="556" s="1"/>
  <c r="N97" i="556"/>
  <c r="K97" i="556"/>
  <c r="M97" i="556" s="1"/>
  <c r="K97" i="556" a="1"/>
  <c r="J97" i="556"/>
  <c r="J97" i="556" a="1"/>
  <c r="H97" i="556"/>
  <c r="V96" i="556"/>
  <c r="W96" i="556" s="1"/>
  <c r="N96" i="556"/>
  <c r="K96" i="556" a="1"/>
  <c r="K96" i="556" s="1"/>
  <c r="M96" i="556" s="1"/>
  <c r="J96" i="556" a="1"/>
  <c r="J96" i="556" s="1"/>
  <c r="H96" i="556"/>
  <c r="W95" i="556"/>
  <c r="V95" i="556"/>
  <c r="N95" i="556"/>
  <c r="K95" i="556" a="1"/>
  <c r="K95" i="556" s="1"/>
  <c r="M95" i="556" s="1"/>
  <c r="J95" i="556" a="1"/>
  <c r="J95" i="556" s="1"/>
  <c r="H95" i="556"/>
  <c r="K94" i="556"/>
  <c r="M94" i="556" s="1"/>
  <c r="K94" i="556" a="1"/>
  <c r="H94" i="556"/>
  <c r="V93" i="556"/>
  <c r="W93" i="556" s="1"/>
  <c r="N93" i="556"/>
  <c r="K93" i="556" a="1"/>
  <c r="K93" i="556" s="1"/>
  <c r="M93" i="556" s="1"/>
  <c r="J93" i="556" a="1"/>
  <c r="J93" i="556" s="1"/>
  <c r="H93" i="556"/>
  <c r="W92" i="556"/>
  <c r="V92" i="556"/>
  <c r="N92" i="556"/>
  <c r="K92" i="556" a="1"/>
  <c r="K92" i="556" s="1"/>
  <c r="M92" i="556" s="1"/>
  <c r="J92" i="556" a="1"/>
  <c r="J92" i="556" s="1"/>
  <c r="H92" i="556"/>
  <c r="V91" i="556"/>
  <c r="W91" i="556" s="1"/>
  <c r="N91" i="556"/>
  <c r="K91" i="556" a="1"/>
  <c r="K91" i="556" s="1"/>
  <c r="M91" i="556" s="1"/>
  <c r="J91" i="556" a="1"/>
  <c r="J91" i="556" s="1"/>
  <c r="H91" i="556"/>
  <c r="V90" i="556"/>
  <c r="W90" i="556" s="1"/>
  <c r="N90" i="556"/>
  <c r="K90" i="556"/>
  <c r="M90" i="556" s="1"/>
  <c r="K90" i="556" a="1"/>
  <c r="J90" i="556"/>
  <c r="J90" i="556" a="1"/>
  <c r="H90" i="556"/>
  <c r="V89" i="556"/>
  <c r="W89" i="556" s="1"/>
  <c r="N89" i="556"/>
  <c r="K89" i="556" a="1"/>
  <c r="K89" i="556" s="1"/>
  <c r="M89" i="556" s="1"/>
  <c r="J89" i="556" a="1"/>
  <c r="J89" i="556" s="1"/>
  <c r="H89" i="556"/>
  <c r="W88" i="556"/>
  <c r="V88" i="556"/>
  <c r="N88" i="556"/>
  <c r="K88" i="556" a="1"/>
  <c r="K88" i="556" s="1"/>
  <c r="M88" i="556" s="1"/>
  <c r="J88" i="556" a="1"/>
  <c r="J88" i="556" s="1"/>
  <c r="H88" i="556"/>
  <c r="V87" i="556"/>
  <c r="V121" i="556" s="1"/>
  <c r="W121" i="556" s="1"/>
  <c r="N87" i="556"/>
  <c r="K87" i="556" a="1"/>
  <c r="K87" i="556" s="1"/>
  <c r="J87" i="556" a="1"/>
  <c r="J87" i="556" s="1"/>
  <c r="H87" i="556"/>
  <c r="H121" i="556" s="1"/>
  <c r="AA86" i="556"/>
  <c r="Z86" i="556"/>
  <c r="Y86" i="556"/>
  <c r="X86" i="556"/>
  <c r="U86" i="556"/>
  <c r="T86" i="556"/>
  <c r="S86" i="556"/>
  <c r="R86" i="556"/>
  <c r="Q86" i="556"/>
  <c r="P86" i="556"/>
  <c r="O86" i="556"/>
  <c r="R167" i="556" s="1"/>
  <c r="I86" i="556"/>
  <c r="G86" i="556"/>
  <c r="C525" i="556" s="1"/>
  <c r="K85" i="556" a="1"/>
  <c r="K85" i="556" s="1"/>
  <c r="H85" i="556"/>
  <c r="K84" i="556"/>
  <c r="K84" i="556" a="1"/>
  <c r="H84" i="556"/>
  <c r="K83" i="556" a="1"/>
  <c r="K83" i="556" s="1"/>
  <c r="H83" i="556"/>
  <c r="K82" i="556" a="1"/>
  <c r="K82" i="556" s="1"/>
  <c r="H82" i="556"/>
  <c r="K81" i="556" a="1"/>
  <c r="K81" i="556" s="1"/>
  <c r="H81" i="556"/>
  <c r="K80" i="556" a="1"/>
  <c r="K80" i="556" s="1"/>
  <c r="H80" i="556"/>
  <c r="K79" i="556" a="1"/>
  <c r="K79" i="556" s="1"/>
  <c r="M79" i="556" s="1"/>
  <c r="H79" i="556"/>
  <c r="K78" i="556" a="1"/>
  <c r="K78" i="556" s="1"/>
  <c r="M78" i="556" s="1"/>
  <c r="H78" i="556"/>
  <c r="K77" i="556" a="1"/>
  <c r="K77" i="556" s="1"/>
  <c r="M77" i="556" s="1"/>
  <c r="H77" i="556"/>
  <c r="K76" i="556" a="1"/>
  <c r="K76" i="556" s="1"/>
  <c r="M76" i="556" s="1"/>
  <c r="H76" i="556"/>
  <c r="W75" i="556"/>
  <c r="V75" i="556"/>
  <c r="N75" i="556"/>
  <c r="K75" i="556" a="1"/>
  <c r="K75" i="556" s="1"/>
  <c r="M75" i="556" s="1"/>
  <c r="J75" i="556" a="1"/>
  <c r="J75" i="556" s="1"/>
  <c r="H75" i="556"/>
  <c r="W74" i="556"/>
  <c r="V74" i="556"/>
  <c r="N74" i="556"/>
  <c r="K74" i="556" a="1"/>
  <c r="K74" i="556" s="1"/>
  <c r="M74" i="556" s="1"/>
  <c r="J74" i="556" a="1"/>
  <c r="J74" i="556" s="1"/>
  <c r="H74" i="556"/>
  <c r="V73" i="556"/>
  <c r="W73" i="556" s="1"/>
  <c r="N73" i="556"/>
  <c r="K73" i="556"/>
  <c r="M73" i="556" s="1"/>
  <c r="K73" i="556" a="1"/>
  <c r="J73" i="556"/>
  <c r="J73" i="556" a="1"/>
  <c r="H73" i="556"/>
  <c r="V72" i="556"/>
  <c r="W72" i="556" s="1"/>
  <c r="N72" i="556"/>
  <c r="K72" i="556" a="1"/>
  <c r="K72" i="556" s="1"/>
  <c r="M72" i="556" s="1"/>
  <c r="J72" i="556" a="1"/>
  <c r="J72" i="556" s="1"/>
  <c r="H72" i="556"/>
  <c r="H71" i="556"/>
  <c r="V70" i="556"/>
  <c r="W70" i="556" s="1"/>
  <c r="N70" i="556"/>
  <c r="K70" i="556" a="1"/>
  <c r="K70" i="556" s="1"/>
  <c r="M70" i="556" s="1"/>
  <c r="J70" i="556" a="1"/>
  <c r="J70" i="556" s="1"/>
  <c r="H70" i="556"/>
  <c r="W69" i="556"/>
  <c r="V69" i="556"/>
  <c r="N69" i="556"/>
  <c r="K69" i="556" a="1"/>
  <c r="K69" i="556" s="1"/>
  <c r="M69" i="556" s="1"/>
  <c r="J69" i="556" a="1"/>
  <c r="J69" i="556" s="1"/>
  <c r="H69" i="556"/>
  <c r="K68" i="556" a="1"/>
  <c r="K68" i="556" s="1"/>
  <c r="H68" i="556"/>
  <c r="K67" i="556"/>
  <c r="K67" i="556" a="1"/>
  <c r="H67" i="556"/>
  <c r="V66" i="556"/>
  <c r="W66" i="556" s="1"/>
  <c r="N66" i="556"/>
  <c r="K66" i="556" a="1"/>
  <c r="K66" i="556" s="1"/>
  <c r="M66" i="556" s="1"/>
  <c r="J66" i="556" a="1"/>
  <c r="J66" i="556" s="1"/>
  <c r="H66" i="556"/>
  <c r="W65" i="556"/>
  <c r="V65" i="556"/>
  <c r="N65" i="556"/>
  <c r="K65" i="556" a="1"/>
  <c r="K65" i="556" s="1"/>
  <c r="M65" i="556" s="1"/>
  <c r="J65" i="556" a="1"/>
  <c r="J65" i="556" s="1"/>
  <c r="H65" i="556"/>
  <c r="V64" i="556"/>
  <c r="W64" i="556" s="1"/>
  <c r="N64" i="556"/>
  <c r="K64" i="556" a="1"/>
  <c r="K64" i="556" s="1"/>
  <c r="M64" i="556" s="1"/>
  <c r="J64" i="556" a="1"/>
  <c r="J64" i="556" s="1"/>
  <c r="H64" i="556"/>
  <c r="W63" i="556"/>
  <c r="V63" i="556"/>
  <c r="N63" i="556"/>
  <c r="K63" i="556" a="1"/>
  <c r="K63" i="556" s="1"/>
  <c r="M63" i="556" s="1"/>
  <c r="J63" i="556" a="1"/>
  <c r="J63" i="556" s="1"/>
  <c r="H63" i="556"/>
  <c r="V62" i="556"/>
  <c r="W62" i="556" s="1"/>
  <c r="N62" i="556"/>
  <c r="K62" i="556" a="1"/>
  <c r="K62" i="556" s="1"/>
  <c r="M62" i="556" s="1"/>
  <c r="J62" i="556" a="1"/>
  <c r="J62" i="556" s="1"/>
  <c r="H62" i="556"/>
  <c r="V61" i="556"/>
  <c r="W61" i="556" s="1"/>
  <c r="N61" i="556"/>
  <c r="K61" i="556"/>
  <c r="M61" i="556" s="1"/>
  <c r="K61" i="556" a="1"/>
  <c r="J61" i="556"/>
  <c r="J61" i="556" a="1"/>
  <c r="H61" i="556"/>
  <c r="V60" i="556"/>
  <c r="W60" i="556" s="1"/>
  <c r="N60" i="556"/>
  <c r="K60" i="556" a="1"/>
  <c r="K60" i="556" s="1"/>
  <c r="M60" i="556" s="1"/>
  <c r="J60" i="556" a="1"/>
  <c r="J60" i="556" s="1"/>
  <c r="H60" i="556"/>
  <c r="W59" i="556"/>
  <c r="V59" i="556"/>
  <c r="N59" i="556"/>
  <c r="K59" i="556" a="1"/>
  <c r="K59" i="556" s="1"/>
  <c r="M59" i="556" s="1"/>
  <c r="J59" i="556" a="1"/>
  <c r="J59" i="556" s="1"/>
  <c r="H59" i="556"/>
  <c r="V58" i="556"/>
  <c r="W58" i="556" s="1"/>
  <c r="N58" i="556"/>
  <c r="K58" i="556" a="1"/>
  <c r="K58" i="556" s="1"/>
  <c r="M58" i="556" s="1"/>
  <c r="J58" i="556" a="1"/>
  <c r="J58" i="556" s="1"/>
  <c r="H58" i="556"/>
  <c r="V57" i="556"/>
  <c r="W57" i="556" s="1"/>
  <c r="N57" i="556"/>
  <c r="K57" i="556"/>
  <c r="M57" i="556" s="1"/>
  <c r="K57" i="556" a="1"/>
  <c r="J57" i="556"/>
  <c r="J57" i="556" a="1"/>
  <c r="H57" i="556"/>
  <c r="K56" i="556" a="1"/>
  <c r="K56" i="556" s="1"/>
  <c r="M56" i="556" s="1"/>
  <c r="H56" i="556"/>
  <c r="K55" i="556"/>
  <c r="M55" i="556" s="1"/>
  <c r="K55" i="556" a="1"/>
  <c r="H55" i="556"/>
  <c r="K54" i="556" a="1"/>
  <c r="K54" i="556" s="1"/>
  <c r="M54" i="556" s="1"/>
  <c r="H54" i="556"/>
  <c r="K53" i="556" a="1"/>
  <c r="K53" i="556" s="1"/>
  <c r="M53" i="556" s="1"/>
  <c r="H53" i="556"/>
  <c r="N52" i="556"/>
  <c r="K52" i="556" a="1"/>
  <c r="K52" i="556" s="1"/>
  <c r="M52" i="556" s="1"/>
  <c r="H52" i="556"/>
  <c r="N51" i="556"/>
  <c r="K51" i="556" a="1"/>
  <c r="K51" i="556" s="1"/>
  <c r="M51" i="556" s="1"/>
  <c r="H51" i="556"/>
  <c r="N50" i="556"/>
  <c r="K50" i="556" a="1"/>
  <c r="K50" i="556" s="1"/>
  <c r="M50" i="556" s="1"/>
  <c r="H50" i="556"/>
  <c r="N49" i="556"/>
  <c r="K49" i="556" a="1"/>
  <c r="K49" i="556" s="1"/>
  <c r="M49" i="556" s="1"/>
  <c r="H49" i="556"/>
  <c r="V48" i="556"/>
  <c r="W48" i="556" s="1"/>
  <c r="N48" i="556"/>
  <c r="K48" i="556" a="1"/>
  <c r="K48" i="556" s="1"/>
  <c r="M48" i="556" s="1"/>
  <c r="J48" i="556" a="1"/>
  <c r="J48" i="556" s="1"/>
  <c r="H48" i="556"/>
  <c r="V47" i="556"/>
  <c r="W47" i="556" s="1"/>
  <c r="N47" i="556"/>
  <c r="K47" i="556"/>
  <c r="M47" i="556" s="1"/>
  <c r="K47" i="556" a="1"/>
  <c r="J47" i="556"/>
  <c r="J47" i="556" a="1"/>
  <c r="H47" i="556"/>
  <c r="V46" i="556"/>
  <c r="W46" i="556" s="1"/>
  <c r="N46" i="556"/>
  <c r="K46" i="556" a="1"/>
  <c r="K46" i="556" s="1"/>
  <c r="M46" i="556" s="1"/>
  <c r="J46" i="556" a="1"/>
  <c r="J46" i="556" s="1"/>
  <c r="H46" i="556"/>
  <c r="W45" i="556"/>
  <c r="V45" i="556"/>
  <c r="N45" i="556"/>
  <c r="K45" i="556" a="1"/>
  <c r="K45" i="556" s="1"/>
  <c r="M45" i="556" s="1"/>
  <c r="J45" i="556" a="1"/>
  <c r="J45" i="556" s="1"/>
  <c r="H45" i="556"/>
  <c r="V44" i="556"/>
  <c r="W44" i="556" s="1"/>
  <c r="N44" i="556"/>
  <c r="K44" i="556" a="1"/>
  <c r="K44" i="556" s="1"/>
  <c r="M44" i="556" s="1"/>
  <c r="J44" i="556" a="1"/>
  <c r="J44" i="556" s="1"/>
  <c r="H44" i="556"/>
  <c r="V43" i="556"/>
  <c r="W43" i="556" s="1"/>
  <c r="N43" i="556"/>
  <c r="K43" i="556" a="1"/>
  <c r="K43" i="556" s="1"/>
  <c r="M43" i="556" s="1"/>
  <c r="J43" i="556" a="1"/>
  <c r="J43" i="556" s="1"/>
  <c r="H43" i="556"/>
  <c r="V42" i="556"/>
  <c r="W42" i="556" s="1"/>
  <c r="N42" i="556"/>
  <c r="K42" i="556" a="1"/>
  <c r="K42" i="556" s="1"/>
  <c r="M42" i="556" s="1"/>
  <c r="J42" i="556" a="1"/>
  <c r="J42" i="556" s="1"/>
  <c r="H42" i="556"/>
  <c r="V41" i="556"/>
  <c r="W41" i="556" s="1"/>
  <c r="N41" i="556"/>
  <c r="K41" i="556"/>
  <c r="M41" i="556" s="1"/>
  <c r="K41" i="556" a="1"/>
  <c r="J41" i="556"/>
  <c r="J41" i="556" a="1"/>
  <c r="H41" i="556"/>
  <c r="V40" i="556"/>
  <c r="W40" i="556" s="1"/>
  <c r="N40" i="556"/>
  <c r="K40" i="556" a="1"/>
  <c r="K40" i="556" s="1"/>
  <c r="M40" i="556" s="1"/>
  <c r="J40" i="556" a="1"/>
  <c r="J40" i="556" s="1"/>
  <c r="H40" i="556"/>
  <c r="W39" i="556"/>
  <c r="V39" i="556"/>
  <c r="N39" i="556"/>
  <c r="K39" i="556" a="1"/>
  <c r="K39" i="556" s="1"/>
  <c r="M39" i="556" s="1"/>
  <c r="J39" i="556" a="1"/>
  <c r="J39" i="556" s="1"/>
  <c r="H39" i="556"/>
  <c r="V38" i="556"/>
  <c r="W38" i="556" s="1"/>
  <c r="N38" i="556"/>
  <c r="K38" i="556" a="1"/>
  <c r="K38" i="556" s="1"/>
  <c r="M38" i="556" s="1"/>
  <c r="J38" i="556" a="1"/>
  <c r="J38" i="556" s="1"/>
  <c r="H38" i="556"/>
  <c r="W37" i="556"/>
  <c r="V37" i="556"/>
  <c r="N37" i="556"/>
  <c r="K37" i="556" a="1"/>
  <c r="K37" i="556" s="1"/>
  <c r="M37" i="556" s="1"/>
  <c r="J37" i="556" a="1"/>
  <c r="J37" i="556" s="1"/>
  <c r="H37" i="556"/>
  <c r="H36" i="556"/>
  <c r="H35" i="556"/>
  <c r="H34" i="556"/>
  <c r="V33" i="556"/>
  <c r="W33" i="556" s="1"/>
  <c r="N33" i="556"/>
  <c r="K33" i="556" a="1"/>
  <c r="K33" i="556" s="1"/>
  <c r="M33" i="556" s="1"/>
  <c r="J33" i="556" a="1"/>
  <c r="J33" i="556" s="1"/>
  <c r="H33" i="556"/>
  <c r="V32" i="556"/>
  <c r="W32" i="556" s="1"/>
  <c r="N32" i="556"/>
  <c r="K32" i="556" a="1"/>
  <c r="K32" i="556" s="1"/>
  <c r="M32" i="556" s="1"/>
  <c r="J32" i="556" a="1"/>
  <c r="J32" i="556" s="1"/>
  <c r="H32" i="556"/>
  <c r="V31" i="556"/>
  <c r="W31" i="556" s="1"/>
  <c r="N31" i="556"/>
  <c r="K31" i="556"/>
  <c r="M31" i="556" s="1"/>
  <c r="K31" i="556" a="1"/>
  <c r="J31" i="556"/>
  <c r="J31" i="556" a="1"/>
  <c r="H31" i="556"/>
  <c r="K30" i="556" a="1"/>
  <c r="K30" i="556" s="1"/>
  <c r="H30" i="556"/>
  <c r="V29" i="556"/>
  <c r="V86" i="556" s="1"/>
  <c r="W86" i="556" s="1"/>
  <c r="N29" i="556"/>
  <c r="N86" i="556" s="1"/>
  <c r="K29" i="556" a="1"/>
  <c r="K29" i="556" s="1"/>
  <c r="M29" i="556" s="1"/>
  <c r="J29" i="556" a="1"/>
  <c r="J29" i="556" s="1"/>
  <c r="H29" i="556"/>
  <c r="H86" i="556" s="1"/>
  <c r="AA28" i="556"/>
  <c r="AA164" i="556" s="1"/>
  <c r="Z28" i="556"/>
  <c r="Z164" i="556" s="1"/>
  <c r="Y28" i="556"/>
  <c r="Y164" i="556" s="1"/>
  <c r="X28" i="556"/>
  <c r="X164" i="556" s="1"/>
  <c r="U28" i="556"/>
  <c r="U164" i="556" s="1"/>
  <c r="T28" i="556"/>
  <c r="T164" i="556" s="1"/>
  <c r="S28" i="556"/>
  <c r="S164" i="556" s="1"/>
  <c r="R28" i="556"/>
  <c r="R164" i="556" s="1"/>
  <c r="Q28" i="556"/>
  <c r="Q164" i="556" s="1"/>
  <c r="P28" i="556"/>
  <c r="X167" i="556" s="1"/>
  <c r="O28" i="556"/>
  <c r="O164" i="556" s="1"/>
  <c r="I28" i="556"/>
  <c r="I164" i="556" s="1"/>
  <c r="B172" i="556" s="1"/>
  <c r="G28" i="556"/>
  <c r="C524" i="556" s="1"/>
  <c r="V27" i="556"/>
  <c r="W27" i="556" s="1"/>
  <c r="N27" i="556"/>
  <c r="K27" i="556" a="1"/>
  <c r="K27" i="556" s="1"/>
  <c r="M27" i="556" s="1"/>
  <c r="J27" i="556" a="1"/>
  <c r="J27" i="556" s="1"/>
  <c r="H27" i="556"/>
  <c r="V26" i="556"/>
  <c r="W26" i="556" s="1"/>
  <c r="N26" i="556"/>
  <c r="K26" i="556" a="1"/>
  <c r="K26" i="556" s="1"/>
  <c r="M26" i="556" s="1"/>
  <c r="J26" i="556" a="1"/>
  <c r="J26" i="556" s="1"/>
  <c r="H26" i="556"/>
  <c r="K25" i="556"/>
  <c r="M25" i="556" s="1"/>
  <c r="K25" i="556" a="1"/>
  <c r="J25" i="556" a="1"/>
  <c r="J25" i="556" s="1"/>
  <c r="H25" i="556"/>
  <c r="K24" i="556" a="1"/>
  <c r="K24" i="556" s="1"/>
  <c r="M24" i="556" s="1"/>
  <c r="J24" i="556" a="1"/>
  <c r="J24" i="556" s="1"/>
  <c r="H24" i="556"/>
  <c r="K23" i="556" a="1"/>
  <c r="K23" i="556" s="1"/>
  <c r="M23" i="556" s="1"/>
  <c r="J23" i="556" a="1"/>
  <c r="J23" i="556" s="1"/>
  <c r="H23" i="556"/>
  <c r="K22" i="556" a="1"/>
  <c r="K22" i="556" s="1"/>
  <c r="M22" i="556" s="1"/>
  <c r="J22" i="556" a="1"/>
  <c r="J22" i="556" s="1"/>
  <c r="H22" i="556"/>
  <c r="W21" i="556"/>
  <c r="V21" i="556"/>
  <c r="N21" i="556"/>
  <c r="K21" i="556" a="1"/>
  <c r="K21" i="556" s="1"/>
  <c r="M21" i="556" s="1"/>
  <c r="J21" i="556" a="1"/>
  <c r="J21" i="556" s="1"/>
  <c r="H21" i="556"/>
  <c r="V20" i="556"/>
  <c r="W20" i="556" s="1"/>
  <c r="N20" i="556"/>
  <c r="K20" i="556" a="1"/>
  <c r="K20" i="556" s="1"/>
  <c r="M20" i="556" s="1"/>
  <c r="J20" i="556" a="1"/>
  <c r="J20" i="556" s="1"/>
  <c r="H20" i="556"/>
  <c r="W19" i="556"/>
  <c r="V19" i="556"/>
  <c r="N19" i="556"/>
  <c r="K19" i="556" a="1"/>
  <c r="K19" i="556" s="1"/>
  <c r="M19" i="556" s="1"/>
  <c r="J19" i="556" a="1"/>
  <c r="J19" i="556" s="1"/>
  <c r="H19" i="556"/>
  <c r="N18" i="556"/>
  <c r="K18" i="556" a="1"/>
  <c r="K18" i="556" s="1"/>
  <c r="M18" i="556" s="1"/>
  <c r="J18" i="556" a="1"/>
  <c r="J18" i="556" s="1"/>
  <c r="H18" i="556"/>
  <c r="N17" i="556"/>
  <c r="K17" i="556" a="1"/>
  <c r="K17" i="556" s="1"/>
  <c r="M17" i="556" s="1"/>
  <c r="J17" i="556" a="1"/>
  <c r="J17" i="556" s="1"/>
  <c r="H17" i="556"/>
  <c r="V16" i="556"/>
  <c r="W16" i="556" s="1"/>
  <c r="N16" i="556"/>
  <c r="K16" i="556" a="1"/>
  <c r="K16" i="556" s="1"/>
  <c r="M16" i="556" s="1"/>
  <c r="J16" i="556" a="1"/>
  <c r="J16" i="556" s="1"/>
  <c r="H16" i="556"/>
  <c r="V15" i="556"/>
  <c r="W15" i="556" s="1"/>
  <c r="N15" i="556"/>
  <c r="K15" i="556"/>
  <c r="M15" i="556" s="1"/>
  <c r="K15" i="556" a="1"/>
  <c r="J15" i="556"/>
  <c r="J15" i="556" a="1"/>
  <c r="H15" i="556"/>
  <c r="N14" i="556"/>
  <c r="K14" i="556" a="1"/>
  <c r="K14" i="556" s="1"/>
  <c r="M14" i="556" s="1"/>
  <c r="H14" i="556"/>
  <c r="N13" i="556"/>
  <c r="K13" i="556" a="1"/>
  <c r="K13" i="556" s="1"/>
  <c r="M13" i="556" s="1"/>
  <c r="H13" i="556"/>
  <c r="V12" i="556"/>
  <c r="W12" i="556" s="1"/>
  <c r="N12" i="556"/>
  <c r="K12" i="556" a="1"/>
  <c r="K12" i="556" s="1"/>
  <c r="M12" i="556" s="1"/>
  <c r="J12" i="556" a="1"/>
  <c r="J12" i="556" s="1"/>
  <c r="H12" i="556"/>
  <c r="V11" i="556"/>
  <c r="W11" i="556" s="1"/>
  <c r="N11" i="556"/>
  <c r="K11" i="556"/>
  <c r="M11" i="556" s="1"/>
  <c r="K11" i="556" a="1"/>
  <c r="J11" i="556"/>
  <c r="J11" i="556" a="1"/>
  <c r="H11" i="556"/>
  <c r="V10" i="556"/>
  <c r="W10" i="556" s="1"/>
  <c r="N10" i="556"/>
  <c r="K10" i="556" a="1"/>
  <c r="K10" i="556" s="1"/>
  <c r="M10" i="556" s="1"/>
  <c r="J10" i="556" a="1"/>
  <c r="J10" i="556" s="1"/>
  <c r="H10" i="556"/>
  <c r="V9" i="556"/>
  <c r="W9" i="556" s="1"/>
  <c r="N9" i="556"/>
  <c r="K9" i="556"/>
  <c r="M9" i="556" s="1"/>
  <c r="K9" i="556" a="1"/>
  <c r="J9" i="556"/>
  <c r="J9" i="556" a="1"/>
  <c r="H9" i="556"/>
  <c r="V8" i="556"/>
  <c r="W8" i="556" s="1"/>
  <c r="N8" i="556"/>
  <c r="K8" i="556" a="1"/>
  <c r="K8" i="556" s="1"/>
  <c r="M8" i="556" s="1"/>
  <c r="J8" i="556" a="1"/>
  <c r="J8" i="556" s="1"/>
  <c r="H8" i="556"/>
  <c r="W7" i="556"/>
  <c r="V7" i="556"/>
  <c r="V28" i="556" s="1"/>
  <c r="N7" i="556"/>
  <c r="N28" i="556" s="1"/>
  <c r="K7" i="556" a="1"/>
  <c r="K7" i="556" s="1"/>
  <c r="M7" i="556" s="1"/>
  <c r="J7" i="556" a="1"/>
  <c r="J7" i="556" s="1"/>
  <c r="H7" i="556"/>
  <c r="H28" i="556" s="1"/>
  <c r="E530" i="557" l="1"/>
  <c r="M529" i="557"/>
  <c r="M526" i="557"/>
  <c r="M525" i="557"/>
  <c r="M528" i="557"/>
  <c r="M527" i="557"/>
  <c r="M524" i="557" a="1"/>
  <c r="M524" i="557" s="1"/>
  <c r="S527" i="557"/>
  <c r="S529" i="557"/>
  <c r="S528" i="557"/>
  <c r="S524" i="557" a="1"/>
  <c r="S524" i="557" s="1"/>
  <c r="G520" i="557"/>
  <c r="S525" i="557"/>
  <c r="J257" i="556" a="1"/>
  <c r="J257" i="556" s="1"/>
  <c r="J308" i="556" a="1"/>
  <c r="J308" i="556" s="1"/>
  <c r="J463" i="556" a="1"/>
  <c r="J463" i="556" s="1"/>
  <c r="R342" i="556"/>
  <c r="R341" i="556"/>
  <c r="H334" i="556"/>
  <c r="H292" i="556"/>
  <c r="H308" i="556"/>
  <c r="V308" i="556"/>
  <c r="W308" i="556" s="1"/>
  <c r="N257" i="556"/>
  <c r="N199" i="556"/>
  <c r="M308" i="556"/>
  <c r="H490" i="556"/>
  <c r="H507" i="556" s="1"/>
  <c r="E514" i="556" s="1"/>
  <c r="N490" i="556"/>
  <c r="H506" i="556"/>
  <c r="V506" i="556"/>
  <c r="N370" i="556"/>
  <c r="N428" i="556"/>
  <c r="W371" i="556"/>
  <c r="N463" i="556"/>
  <c r="K428" i="556"/>
  <c r="R171" i="556"/>
  <c r="V148" i="556"/>
  <c r="W148" i="556" s="1"/>
  <c r="R170" i="556"/>
  <c r="J148" i="556" a="1"/>
  <c r="J148" i="556" s="1"/>
  <c r="N137" i="556"/>
  <c r="N121" i="556"/>
  <c r="N164" i="556" s="1"/>
  <c r="B173" i="556" s="1"/>
  <c r="W29" i="556"/>
  <c r="M28" i="556"/>
  <c r="J163" i="556" a="1"/>
  <c r="J163" i="556" s="1"/>
  <c r="H163" i="556"/>
  <c r="H164" i="556" s="1"/>
  <c r="E171" i="556" s="1"/>
  <c r="C520" i="556"/>
  <c r="Q525" i="556"/>
  <c r="M86" i="556"/>
  <c r="K525" i="556"/>
  <c r="K526" i="556"/>
  <c r="K528" i="556"/>
  <c r="K163" i="556"/>
  <c r="M149" i="556"/>
  <c r="M163" i="556" s="1"/>
  <c r="K529" i="556"/>
  <c r="K257" i="556"/>
  <c r="M200" i="556"/>
  <c r="M257" i="556" s="1"/>
  <c r="W28" i="556"/>
  <c r="M87" i="556"/>
  <c r="M121" i="556" s="1"/>
  <c r="K121" i="556"/>
  <c r="M122" i="556"/>
  <c r="M137" i="556" s="1"/>
  <c r="K137" i="556"/>
  <c r="K527" i="556"/>
  <c r="K199" i="556"/>
  <c r="M178" i="556"/>
  <c r="M199" i="556" s="1"/>
  <c r="J28" i="556" a="1"/>
  <c r="J28" i="556" s="1"/>
  <c r="K28" i="556"/>
  <c r="J86" i="556" a="1"/>
  <c r="J86" i="556" s="1"/>
  <c r="K86" i="556"/>
  <c r="W87" i="556"/>
  <c r="J121" i="556" a="1"/>
  <c r="J121" i="556" s="1"/>
  <c r="W122" i="556"/>
  <c r="J137" i="556" a="1"/>
  <c r="J137" i="556" s="1"/>
  <c r="M138" i="556"/>
  <c r="M148" i="556" s="1"/>
  <c r="V163" i="556"/>
  <c r="W163" i="556" s="1"/>
  <c r="G164" i="556"/>
  <c r="P164" i="556"/>
  <c r="X168" i="556" s="1"/>
  <c r="X173" i="556" s="1"/>
  <c r="K166" i="556"/>
  <c r="R166" i="556"/>
  <c r="J335" i="556" a="1"/>
  <c r="J335" i="556" s="1"/>
  <c r="M342" i="556" s="1"/>
  <c r="B342" i="556"/>
  <c r="O335" i="556"/>
  <c r="R337" i="556"/>
  <c r="R338" i="556"/>
  <c r="K292" i="556"/>
  <c r="M258" i="556"/>
  <c r="M292" i="556" s="1"/>
  <c r="K319" i="556"/>
  <c r="M309" i="556"/>
  <c r="M319" i="556" s="1"/>
  <c r="K334" i="556"/>
  <c r="M320" i="556"/>
  <c r="M334" i="556" s="1"/>
  <c r="W334" i="556"/>
  <c r="C530" i="556"/>
  <c r="E524" i="556" s="1"/>
  <c r="W178" i="556"/>
  <c r="W199" i="556" s="1"/>
  <c r="J199" i="556" a="1"/>
  <c r="J199" i="556" s="1"/>
  <c r="X338" i="556"/>
  <c r="P335" i="556"/>
  <c r="X339" i="556" s="1"/>
  <c r="V292" i="556"/>
  <c r="W292" i="556" s="1"/>
  <c r="K308" i="556"/>
  <c r="V334" i="556"/>
  <c r="K337" i="556"/>
  <c r="K370" i="556"/>
  <c r="W370" i="556"/>
  <c r="M429" i="556"/>
  <c r="M463" i="556" s="1"/>
  <c r="K463" i="556"/>
  <c r="W309" i="556"/>
  <c r="M349" i="556"/>
  <c r="M370" i="556" s="1"/>
  <c r="V370" i="556"/>
  <c r="B514" i="556"/>
  <c r="J507" i="556" a="1"/>
  <c r="J507" i="556" s="1"/>
  <c r="M514" i="556" s="1"/>
  <c r="X509" i="556"/>
  <c r="O507" i="556"/>
  <c r="X510" i="556" s="1"/>
  <c r="R509" i="556"/>
  <c r="M371" i="556"/>
  <c r="M428" i="556" s="1"/>
  <c r="W429" i="556"/>
  <c r="M464" i="556"/>
  <c r="M479" i="556" s="1"/>
  <c r="K479" i="556"/>
  <c r="V479" i="556"/>
  <c r="W479" i="556" s="1"/>
  <c r="J370" i="556" a="1"/>
  <c r="J370" i="556" s="1"/>
  <c r="K490" i="556"/>
  <c r="M480" i="556"/>
  <c r="M490" i="556" s="1"/>
  <c r="K506" i="556"/>
  <c r="M491" i="556"/>
  <c r="M506" i="556" s="1"/>
  <c r="R534" i="556"/>
  <c r="S534" i="556" a="1"/>
  <c r="S534" i="556" s="1"/>
  <c r="R511" i="556"/>
  <c r="R512" i="556"/>
  <c r="W480" i="556"/>
  <c r="R513" i="556"/>
  <c r="W491" i="556"/>
  <c r="W506" i="556" s="1"/>
  <c r="K509" i="556"/>
  <c r="J536" i="556"/>
  <c r="Q533" i="556"/>
  <c r="R535" i="556"/>
  <c r="S535" i="556" a="1"/>
  <c r="S535" i="556" s="1"/>
  <c r="T533" i="556" a="1"/>
  <c r="T533" i="556" s="1"/>
  <c r="T534" i="556" a="1"/>
  <c r="T534" i="556" s="1"/>
  <c r="T535" i="556" a="1"/>
  <c r="T535" i="556" s="1"/>
  <c r="C536" i="556"/>
  <c r="T536" i="556" s="1" a="1"/>
  <c r="T536" i="556" s="1"/>
  <c r="S530" i="557" l="1"/>
  <c r="K520" i="557"/>
  <c r="O520" i="557" s="1"/>
  <c r="K519" i="557"/>
  <c r="H335" i="556"/>
  <c r="E342" i="556" s="1"/>
  <c r="W335" i="556"/>
  <c r="N335" i="556"/>
  <c r="B344" i="556" s="1"/>
  <c r="E344" i="556" s="1"/>
  <c r="X344" i="556"/>
  <c r="G519" i="556"/>
  <c r="N507" i="556"/>
  <c r="B516" i="556" s="1"/>
  <c r="E516" i="556" s="1"/>
  <c r="E173" i="556"/>
  <c r="Z167" i="556"/>
  <c r="Z169" i="556"/>
  <c r="Z171" i="556"/>
  <c r="Z170" i="556"/>
  <c r="M164" i="556"/>
  <c r="E527" i="556"/>
  <c r="E529" i="556"/>
  <c r="E525" i="556"/>
  <c r="Z343" i="556"/>
  <c r="Z337" i="556" a="1"/>
  <c r="Z337" i="556" s="1"/>
  <c r="Z340" i="556"/>
  <c r="Z341" i="556"/>
  <c r="Z342" i="556"/>
  <c r="R533" i="556"/>
  <c r="R536" i="556" s="1"/>
  <c r="Q536" i="556"/>
  <c r="S536" i="556" s="1" a="1"/>
  <c r="S536" i="556" s="1"/>
  <c r="S533" i="556" a="1"/>
  <c r="S533" i="556" s="1"/>
  <c r="K513" i="556"/>
  <c r="M513" i="556" s="1"/>
  <c r="M509" i="556"/>
  <c r="V507" i="556"/>
  <c r="K507" i="556"/>
  <c r="Z339" i="556"/>
  <c r="E528" i="556"/>
  <c r="E526" i="556"/>
  <c r="M166" i="556"/>
  <c r="K170" i="556"/>
  <c r="M170" i="556" s="1"/>
  <c r="J164" i="556" a="1"/>
  <c r="J164" i="556" s="1"/>
  <c r="M171" i="556" s="1"/>
  <c r="B171" i="556"/>
  <c r="C519" i="556" s="1"/>
  <c r="M335" i="556"/>
  <c r="V164" i="556"/>
  <c r="I173" i="556" s="1"/>
  <c r="R516" i="556"/>
  <c r="T513" i="556" s="1"/>
  <c r="X516" i="556"/>
  <c r="Z510" i="556" s="1"/>
  <c r="M507" i="556"/>
  <c r="M337" i="556"/>
  <c r="K341" i="556"/>
  <c r="M341" i="556" s="1"/>
  <c r="Z338" i="556"/>
  <c r="R344" i="556"/>
  <c r="T337" i="556" s="1" a="1"/>
  <c r="T337" i="556" s="1"/>
  <c r="Z172" i="556"/>
  <c r="Z166" i="556" a="1"/>
  <c r="Z166" i="556" s="1"/>
  <c r="K524" i="556"/>
  <c r="R173" i="556"/>
  <c r="T166" i="556" s="1" a="1"/>
  <c r="T166" i="556" s="1"/>
  <c r="Q526" i="556"/>
  <c r="Z168" i="556"/>
  <c r="K164" i="556"/>
  <c r="E172" i="556" s="1"/>
  <c r="V335" i="556"/>
  <c r="I344" i="556" s="1"/>
  <c r="M344" i="556" s="1" a="1"/>
  <c r="M344" i="556" s="1"/>
  <c r="K335" i="556"/>
  <c r="W164" i="556"/>
  <c r="D534" i="555"/>
  <c r="D535" i="555"/>
  <c r="D533" i="555"/>
  <c r="J328" i="555" a="1"/>
  <c r="J328" i="555" s="1"/>
  <c r="J327" i="555" a="1"/>
  <c r="J327" i="555" s="1"/>
  <c r="J280" i="555" a="1"/>
  <c r="J280" i="555" s="1"/>
  <c r="J220" i="555" a="1"/>
  <c r="J220" i="555" s="1"/>
  <c r="I291" i="555"/>
  <c r="I280" i="555"/>
  <c r="I327" i="555"/>
  <c r="I328" i="555"/>
  <c r="M328" i="555" s="1"/>
  <c r="M327" i="555"/>
  <c r="K327" i="555"/>
  <c r="I307" i="555"/>
  <c r="I293" i="555"/>
  <c r="I190" i="555"/>
  <c r="I186" i="555"/>
  <c r="I208" i="555"/>
  <c r="I192" i="555"/>
  <c r="C521" i="556" l="1"/>
  <c r="G521" i="556" s="1"/>
  <c r="E530" i="556"/>
  <c r="E343" i="556"/>
  <c r="I343" i="556" s="1"/>
  <c r="M343" i="556" s="1"/>
  <c r="L335" i="556"/>
  <c r="I342" i="556" s="1"/>
  <c r="I172" i="556"/>
  <c r="M172" i="556" s="1"/>
  <c r="Q530" i="556"/>
  <c r="K530" i="556"/>
  <c r="M524" i="556" s="1" a="1"/>
  <c r="M524" i="556" s="1"/>
  <c r="T172" i="556"/>
  <c r="T167" i="556"/>
  <c r="T168" i="556"/>
  <c r="T170" i="556"/>
  <c r="T171" i="556"/>
  <c r="T169" i="556"/>
  <c r="T343" i="556"/>
  <c r="T340" i="556"/>
  <c r="T339" i="556"/>
  <c r="T341" i="556"/>
  <c r="T342" i="556"/>
  <c r="Z509" i="556" a="1"/>
  <c r="Z509" i="556" s="1"/>
  <c r="T509" i="556" a="1"/>
  <c r="T509" i="556" s="1"/>
  <c r="T511" i="556"/>
  <c r="O519" i="556" a="1"/>
  <c r="O519" i="556" s="1"/>
  <c r="T338" i="556"/>
  <c r="E515" i="556"/>
  <c r="I515" i="556" s="1"/>
  <c r="M515" i="556" s="1"/>
  <c r="L507" i="556"/>
  <c r="I514" i="556" s="1"/>
  <c r="Z515" i="556"/>
  <c r="Z514" i="556"/>
  <c r="Z511" i="556"/>
  <c r="Z512" i="556"/>
  <c r="Z513" i="556"/>
  <c r="T515" i="556"/>
  <c r="T514" i="556"/>
  <c r="T510" i="556"/>
  <c r="M173" i="556" a="1"/>
  <c r="M173" i="556" s="1"/>
  <c r="L164" i="556"/>
  <c r="I171" i="556" s="1"/>
  <c r="I516" i="556"/>
  <c r="M516" i="556" s="1" a="1"/>
  <c r="M516" i="556" s="1"/>
  <c r="W507" i="556"/>
  <c r="T512" i="556"/>
  <c r="G109" i="555"/>
  <c r="J109" i="555" s="1" a="1"/>
  <c r="J109" i="555" s="1"/>
  <c r="G208" i="555"/>
  <c r="G37" i="555"/>
  <c r="G190" i="555"/>
  <c r="G307" i="555"/>
  <c r="K156" i="555" a="1"/>
  <c r="K156" i="555" s="1"/>
  <c r="M156" i="555" s="1"/>
  <c r="J156" i="555" a="1"/>
  <c r="J156" i="555" s="1"/>
  <c r="J107" i="555" a="1"/>
  <c r="J107" i="555" s="1"/>
  <c r="J14" i="555" a="1"/>
  <c r="J14" i="555" s="1"/>
  <c r="J49" i="555" a="1"/>
  <c r="J49" i="555" s="1"/>
  <c r="I156" i="555"/>
  <c r="I37" i="555"/>
  <c r="I14" i="555"/>
  <c r="I38" i="555"/>
  <c r="I15" i="555"/>
  <c r="I109" i="555"/>
  <c r="I107" i="555"/>
  <c r="I98" i="555"/>
  <c r="I95" i="555"/>
  <c r="I122" i="555"/>
  <c r="I123" i="555"/>
  <c r="I20" i="555"/>
  <c r="G293" i="555"/>
  <c r="G186" i="555"/>
  <c r="G322" i="555"/>
  <c r="G280" i="555"/>
  <c r="G218" i="555"/>
  <c r="G216" i="555"/>
  <c r="G192" i="555"/>
  <c r="G236" i="555"/>
  <c r="G291" i="555"/>
  <c r="G328" i="555"/>
  <c r="G327" i="555"/>
  <c r="K521" i="556" l="1"/>
  <c r="O521" i="556" s="1" a="1"/>
  <c r="O521" i="556" s="1"/>
  <c r="S528" i="556"/>
  <c r="S527" i="556"/>
  <c r="S529" i="556"/>
  <c r="S524" i="556" a="1"/>
  <c r="S524" i="556" s="1"/>
  <c r="S525" i="556"/>
  <c r="M528" i="556"/>
  <c r="M525" i="556"/>
  <c r="M529" i="556"/>
  <c r="M526" i="556"/>
  <c r="M527" i="556"/>
  <c r="S526" i="556"/>
  <c r="G520" i="556"/>
  <c r="G429" i="555"/>
  <c r="G98" i="555"/>
  <c r="G15" i="555"/>
  <c r="G123" i="555"/>
  <c r="G156" i="555"/>
  <c r="G20" i="555"/>
  <c r="G38" i="555"/>
  <c r="G49" i="555"/>
  <c r="G65" i="555"/>
  <c r="G122" i="555"/>
  <c r="G47" i="555"/>
  <c r="K520" i="556" l="1"/>
  <c r="O520" i="556" s="1"/>
  <c r="K519" i="556"/>
  <c r="S530" i="556"/>
  <c r="J451" i="555" a="1"/>
  <c r="J451" i="555" s="1"/>
  <c r="I451" i="555"/>
  <c r="I429" i="555"/>
  <c r="I434" i="555"/>
  <c r="G434" i="555"/>
  <c r="K156" i="554" l="1" a="1"/>
  <c r="K156" i="554" s="1"/>
  <c r="J156" i="554" a="1"/>
  <c r="J156" i="554" s="1"/>
  <c r="J120" i="554" a="1"/>
  <c r="J120" i="554" s="1"/>
  <c r="J119" i="554" a="1"/>
  <c r="J119" i="554" s="1"/>
  <c r="J118" i="554" a="1"/>
  <c r="J118" i="554" s="1"/>
  <c r="J117" i="554" a="1"/>
  <c r="J117" i="554" s="1"/>
  <c r="J116" i="554" a="1"/>
  <c r="J116" i="554" s="1"/>
  <c r="J115" i="554" a="1"/>
  <c r="J115" i="554" s="1"/>
  <c r="J114" i="554" a="1"/>
  <c r="J114" i="554" s="1"/>
  <c r="J113" i="554" a="1"/>
  <c r="J113" i="554" s="1"/>
  <c r="J112" i="554" a="1"/>
  <c r="J112" i="554" s="1"/>
  <c r="J111" i="554" a="1"/>
  <c r="J111" i="554" s="1"/>
  <c r="J110" i="554" a="1"/>
  <c r="J110" i="554" s="1"/>
  <c r="J109" i="554" a="1"/>
  <c r="J109" i="554" s="1"/>
  <c r="J108" i="554" a="1"/>
  <c r="J108" i="554" s="1"/>
  <c r="J49" i="554" a="1"/>
  <c r="J49" i="554" s="1"/>
  <c r="P536" i="555" l="1"/>
  <c r="O536" i="555"/>
  <c r="N536" i="555"/>
  <c r="M536" i="555"/>
  <c r="L536" i="555"/>
  <c r="K536" i="555"/>
  <c r="I536" i="555"/>
  <c r="H536" i="555"/>
  <c r="G536" i="555"/>
  <c r="F536" i="555"/>
  <c r="E536" i="555"/>
  <c r="D536" i="555"/>
  <c r="C535" i="555"/>
  <c r="J535" i="555" s="1"/>
  <c r="Q535" i="555" s="1"/>
  <c r="C534" i="555"/>
  <c r="J534" i="555" s="1"/>
  <c r="Q534" i="555" s="1"/>
  <c r="C533" i="555"/>
  <c r="J533" i="555" s="1"/>
  <c r="G517" i="555"/>
  <c r="N517" i="555" s="1"/>
  <c r="X515" i="555"/>
  <c r="X514" i="555"/>
  <c r="X513" i="555"/>
  <c r="G513" i="555"/>
  <c r="C513" i="555"/>
  <c r="X512" i="555"/>
  <c r="I512" i="555"/>
  <c r="E512" i="555"/>
  <c r="K512" i="555" s="1"/>
  <c r="M512" i="555" s="1"/>
  <c r="X511" i="555"/>
  <c r="I511" i="555"/>
  <c r="E511" i="555"/>
  <c r="K511" i="555" s="1"/>
  <c r="M511" i="555" s="1"/>
  <c r="I510" i="555"/>
  <c r="E510" i="555"/>
  <c r="K510" i="555" s="1"/>
  <c r="M510" i="555" s="1"/>
  <c r="I509" i="555"/>
  <c r="I513" i="555" s="1"/>
  <c r="E509" i="555"/>
  <c r="E513" i="555" s="1"/>
  <c r="AA506" i="555"/>
  <c r="Z506" i="555"/>
  <c r="Y506" i="555"/>
  <c r="X506" i="555"/>
  <c r="U506" i="555"/>
  <c r="T506" i="555"/>
  <c r="S506" i="555"/>
  <c r="R506" i="555"/>
  <c r="Q506" i="555"/>
  <c r="P506" i="555"/>
  <c r="O506" i="555"/>
  <c r="I506" i="555"/>
  <c r="G506" i="555"/>
  <c r="J506" i="555" s="1" a="1"/>
  <c r="J506" i="555" s="1"/>
  <c r="H505" i="555"/>
  <c r="H504" i="555"/>
  <c r="H503" i="555"/>
  <c r="D502" i="555"/>
  <c r="H502" i="555" s="1"/>
  <c r="V501" i="555"/>
  <c r="W501" i="555" s="1"/>
  <c r="N501" i="555"/>
  <c r="K501" i="555" a="1"/>
  <c r="K501" i="555" s="1"/>
  <c r="M501" i="555" s="1"/>
  <c r="J501" i="555" a="1"/>
  <c r="J501" i="555" s="1"/>
  <c r="H501" i="555"/>
  <c r="H500" i="555"/>
  <c r="H499" i="555"/>
  <c r="V498" i="555"/>
  <c r="W498" i="555" s="1"/>
  <c r="N498" i="555"/>
  <c r="K498" i="555" a="1"/>
  <c r="K498" i="555" s="1"/>
  <c r="M498" i="555" s="1"/>
  <c r="J498" i="555" a="1"/>
  <c r="J498" i="555" s="1"/>
  <c r="H498" i="555"/>
  <c r="V497" i="555"/>
  <c r="W497" i="555" s="1"/>
  <c r="N497" i="555"/>
  <c r="K497" i="555"/>
  <c r="M497" i="555" s="1"/>
  <c r="K497" i="555" a="1"/>
  <c r="J497" i="555"/>
  <c r="J497" i="555" a="1"/>
  <c r="H497" i="555"/>
  <c r="H496" i="555"/>
  <c r="H495" i="555"/>
  <c r="V494" i="555"/>
  <c r="W494" i="555" s="1"/>
  <c r="N494" i="555"/>
  <c r="K494" i="555" a="1"/>
  <c r="K494" i="555" s="1"/>
  <c r="M494" i="555" s="1"/>
  <c r="J494" i="555" a="1"/>
  <c r="J494" i="555" s="1"/>
  <c r="H494" i="555"/>
  <c r="V493" i="555"/>
  <c r="W493" i="555" s="1"/>
  <c r="N493" i="555"/>
  <c r="K493" i="555" a="1"/>
  <c r="K493" i="555" s="1"/>
  <c r="M493" i="555" s="1"/>
  <c r="J493" i="555" a="1"/>
  <c r="J493" i="555" s="1"/>
  <c r="H493" i="555"/>
  <c r="V492" i="555"/>
  <c r="W492" i="555" s="1"/>
  <c r="N492" i="555"/>
  <c r="K492" i="555" a="1"/>
  <c r="K492" i="555" s="1"/>
  <c r="M492" i="555" s="1"/>
  <c r="J492" i="555" a="1"/>
  <c r="J492" i="555" s="1"/>
  <c r="H492" i="555"/>
  <c r="V491" i="555"/>
  <c r="V506" i="555" s="1"/>
  <c r="N491" i="555"/>
  <c r="N506" i="555" s="1"/>
  <c r="K491" i="555"/>
  <c r="K491" i="555" a="1"/>
  <c r="J491" i="555"/>
  <c r="J491" i="555" a="1"/>
  <c r="H491" i="555"/>
  <c r="H506" i="555" s="1"/>
  <c r="AA490" i="555"/>
  <c r="Z490" i="555"/>
  <c r="Y490" i="555"/>
  <c r="X490" i="555"/>
  <c r="U490" i="555"/>
  <c r="T490" i="555"/>
  <c r="S490" i="555"/>
  <c r="Q490" i="555"/>
  <c r="P490" i="555"/>
  <c r="O490" i="555"/>
  <c r="R513" i="555" s="1"/>
  <c r="I490" i="555"/>
  <c r="G490" i="555"/>
  <c r="J490" i="555" s="1" a="1"/>
  <c r="J490" i="555" s="1"/>
  <c r="V489" i="555"/>
  <c r="W489" i="555" s="1"/>
  <c r="N489" i="555"/>
  <c r="K489" i="555" a="1"/>
  <c r="K489" i="555" s="1"/>
  <c r="M489" i="555" s="1"/>
  <c r="J489" i="555" a="1"/>
  <c r="J489" i="555" s="1"/>
  <c r="H489" i="555"/>
  <c r="H488" i="555"/>
  <c r="H487" i="555"/>
  <c r="H486" i="555"/>
  <c r="H485" i="555"/>
  <c r="W484" i="555"/>
  <c r="V484" i="555"/>
  <c r="N484" i="555"/>
  <c r="K484" i="555" a="1"/>
  <c r="K484" i="555" s="1"/>
  <c r="M484" i="555" s="1"/>
  <c r="J484" i="555" a="1"/>
  <c r="J484" i="555" s="1"/>
  <c r="H484" i="555"/>
  <c r="V483" i="555"/>
  <c r="W483" i="555" s="1"/>
  <c r="N483" i="555"/>
  <c r="K483" i="555" a="1"/>
  <c r="K483" i="555" s="1"/>
  <c r="M483" i="555" s="1"/>
  <c r="J483" i="555" a="1"/>
  <c r="J483" i="555" s="1"/>
  <c r="H483" i="555"/>
  <c r="V482" i="555"/>
  <c r="W482" i="555" s="1"/>
  <c r="N482" i="555"/>
  <c r="K482" i="555"/>
  <c r="M482" i="555" s="1"/>
  <c r="K482" i="555" a="1"/>
  <c r="J482" i="555"/>
  <c r="J482" i="555" a="1"/>
  <c r="H482" i="555"/>
  <c r="V481" i="555"/>
  <c r="W481" i="555" s="1"/>
  <c r="N481" i="555"/>
  <c r="K481" i="555" a="1"/>
  <c r="K481" i="555" s="1"/>
  <c r="M481" i="555" s="1"/>
  <c r="J481" i="555" a="1"/>
  <c r="J481" i="555" s="1"/>
  <c r="H481" i="555"/>
  <c r="W480" i="555"/>
  <c r="V480" i="555"/>
  <c r="N480" i="555"/>
  <c r="N490" i="555" s="1"/>
  <c r="K480" i="555" a="1"/>
  <c r="K480" i="555" s="1"/>
  <c r="K490" i="555" s="1"/>
  <c r="J480" i="555" a="1"/>
  <c r="J480" i="555" s="1"/>
  <c r="H480" i="555"/>
  <c r="H490" i="555" s="1"/>
  <c r="AA479" i="555"/>
  <c r="Z479" i="555"/>
  <c r="Y479" i="555"/>
  <c r="X479" i="555"/>
  <c r="U479" i="555"/>
  <c r="T479" i="555"/>
  <c r="S479" i="555"/>
  <c r="Q479" i="555"/>
  <c r="P479" i="555"/>
  <c r="O479" i="555"/>
  <c r="I479" i="555"/>
  <c r="G479" i="555"/>
  <c r="V478" i="555"/>
  <c r="W478" i="555" s="1"/>
  <c r="N478" i="555"/>
  <c r="K478" i="555" a="1"/>
  <c r="K478" i="555" s="1"/>
  <c r="M478" i="555" s="1"/>
  <c r="J478" i="555" a="1"/>
  <c r="J478" i="555" s="1"/>
  <c r="H478" i="555"/>
  <c r="V477" i="555"/>
  <c r="W477" i="555" s="1"/>
  <c r="N477" i="555"/>
  <c r="K477" i="555"/>
  <c r="M477" i="555" s="1"/>
  <c r="K477" i="555" a="1"/>
  <c r="J477" i="555"/>
  <c r="J477" i="555" a="1"/>
  <c r="H477" i="555"/>
  <c r="V476" i="555"/>
  <c r="W476" i="555" s="1"/>
  <c r="N476" i="555"/>
  <c r="K476" i="555" a="1"/>
  <c r="K476" i="555" s="1"/>
  <c r="M476" i="555" s="1"/>
  <c r="J476" i="555" a="1"/>
  <c r="J476" i="555" s="1"/>
  <c r="H476" i="555"/>
  <c r="V475" i="555"/>
  <c r="W475" i="555" s="1"/>
  <c r="N475" i="555"/>
  <c r="K475" i="555"/>
  <c r="M475" i="555" s="1"/>
  <c r="K475" i="555" a="1"/>
  <c r="J475" i="555"/>
  <c r="J475" i="555" a="1"/>
  <c r="H475" i="555"/>
  <c r="V474" i="555"/>
  <c r="W474" i="555" s="1"/>
  <c r="N474" i="555"/>
  <c r="K474" i="555" a="1"/>
  <c r="K474" i="555" s="1"/>
  <c r="M474" i="555" s="1"/>
  <c r="J474" i="555" a="1"/>
  <c r="J474" i="555" s="1"/>
  <c r="H474" i="555"/>
  <c r="W473" i="555"/>
  <c r="V473" i="555"/>
  <c r="N473" i="555"/>
  <c r="K473" i="555" a="1"/>
  <c r="K473" i="555" s="1"/>
  <c r="M473" i="555" s="1"/>
  <c r="J473" i="555" a="1"/>
  <c r="J473" i="555" s="1"/>
  <c r="H473" i="555"/>
  <c r="V472" i="555"/>
  <c r="W472" i="555" s="1"/>
  <c r="N472" i="555"/>
  <c r="K472" i="555" a="1"/>
  <c r="K472" i="555" s="1"/>
  <c r="M472" i="555" s="1"/>
  <c r="J472" i="555" a="1"/>
  <c r="J472" i="555" s="1"/>
  <c r="H472" i="555"/>
  <c r="V471" i="555"/>
  <c r="W471" i="555" s="1"/>
  <c r="N471" i="555"/>
  <c r="K471" i="555"/>
  <c r="M471" i="555" s="1"/>
  <c r="K471" i="555" a="1"/>
  <c r="J471" i="555"/>
  <c r="J471" i="555" a="1"/>
  <c r="H471" i="555"/>
  <c r="V470" i="555"/>
  <c r="W470" i="555" s="1"/>
  <c r="N470" i="555"/>
  <c r="K470" i="555" a="1"/>
  <c r="K470" i="555" s="1"/>
  <c r="M470" i="555" s="1"/>
  <c r="J470" i="555" a="1"/>
  <c r="J470" i="555" s="1"/>
  <c r="H470" i="555"/>
  <c r="W469" i="555"/>
  <c r="V469" i="555"/>
  <c r="N469" i="555"/>
  <c r="K469" i="555" a="1"/>
  <c r="K469" i="555" s="1"/>
  <c r="M469" i="555" s="1"/>
  <c r="J469" i="555" a="1"/>
  <c r="J469" i="555" s="1"/>
  <c r="H469" i="555"/>
  <c r="V468" i="555"/>
  <c r="W468" i="555" s="1"/>
  <c r="N468" i="555"/>
  <c r="K468" i="555" a="1"/>
  <c r="K468" i="555" s="1"/>
  <c r="M468" i="555" s="1"/>
  <c r="J468" i="555" a="1"/>
  <c r="J468" i="555" s="1"/>
  <c r="H468" i="555"/>
  <c r="V467" i="555"/>
  <c r="W467" i="555" s="1"/>
  <c r="N467" i="555"/>
  <c r="K467" i="555"/>
  <c r="M467" i="555" s="1"/>
  <c r="K467" i="555" a="1"/>
  <c r="J467" i="555"/>
  <c r="J467" i="555" a="1"/>
  <c r="H467" i="555"/>
  <c r="V466" i="555"/>
  <c r="W466" i="555" s="1"/>
  <c r="N466" i="555"/>
  <c r="K466" i="555" a="1"/>
  <c r="K466" i="555" s="1"/>
  <c r="M466" i="555" s="1"/>
  <c r="J466" i="555" a="1"/>
  <c r="J466" i="555" s="1"/>
  <c r="H466" i="555"/>
  <c r="W465" i="555"/>
  <c r="V465" i="555"/>
  <c r="N465" i="555"/>
  <c r="K465" i="555" a="1"/>
  <c r="K465" i="555" s="1"/>
  <c r="M465" i="555" s="1"/>
  <c r="J465" i="555" a="1"/>
  <c r="J465" i="555" s="1"/>
  <c r="H465" i="555"/>
  <c r="V464" i="555"/>
  <c r="N464" i="555"/>
  <c r="K464" i="555" a="1"/>
  <c r="K464" i="555" s="1"/>
  <c r="J464" i="555" a="1"/>
  <c r="J464" i="555" s="1"/>
  <c r="H464" i="555"/>
  <c r="H479" i="555" s="1"/>
  <c r="AA463" i="555"/>
  <c r="Z463" i="555"/>
  <c r="Y463" i="555"/>
  <c r="X463" i="555"/>
  <c r="U463" i="555"/>
  <c r="T463" i="555"/>
  <c r="S463" i="555"/>
  <c r="R463" i="555"/>
  <c r="Q463" i="555"/>
  <c r="P463" i="555"/>
  <c r="O463" i="555"/>
  <c r="R511" i="555" s="1"/>
  <c r="I463" i="555"/>
  <c r="G463" i="555"/>
  <c r="V462" i="555"/>
  <c r="W462" i="555" s="1"/>
  <c r="N462" i="555"/>
  <c r="K462" i="555" a="1"/>
  <c r="K462" i="555" s="1"/>
  <c r="M462" i="555" s="1"/>
  <c r="J462" i="555" a="1"/>
  <c r="J462" i="555" s="1"/>
  <c r="H462" i="555"/>
  <c r="V461" i="555"/>
  <c r="W461" i="555" s="1"/>
  <c r="N461" i="555"/>
  <c r="K461" i="555" a="1"/>
  <c r="K461" i="555" s="1"/>
  <c r="M461" i="555" s="1"/>
  <c r="J461" i="555" a="1"/>
  <c r="J461" i="555" s="1"/>
  <c r="H461" i="555"/>
  <c r="W460" i="555"/>
  <c r="V460" i="555"/>
  <c r="N460" i="555"/>
  <c r="K460" i="555" a="1"/>
  <c r="K460" i="555" s="1"/>
  <c r="M460" i="555" s="1"/>
  <c r="J460" i="555" a="1"/>
  <c r="J460" i="555" s="1"/>
  <c r="H460" i="555"/>
  <c r="K459" i="555"/>
  <c r="M459" i="555" s="1"/>
  <c r="K459" i="555" a="1"/>
  <c r="H459" i="555"/>
  <c r="K458" i="555" a="1"/>
  <c r="K458" i="555" s="1"/>
  <c r="M458" i="555" s="1"/>
  <c r="H458" i="555"/>
  <c r="K457" i="555" a="1"/>
  <c r="K457" i="555" s="1"/>
  <c r="M457" i="555" s="1"/>
  <c r="H457" i="555"/>
  <c r="V456" i="555"/>
  <c r="W456" i="555" s="1"/>
  <c r="N456" i="555"/>
  <c r="K456" i="555" a="1"/>
  <c r="K456" i="555" s="1"/>
  <c r="M456" i="555" s="1"/>
  <c r="J456" i="555" a="1"/>
  <c r="J456" i="555" s="1"/>
  <c r="H456" i="555"/>
  <c r="V455" i="555"/>
  <c r="W455" i="555" s="1"/>
  <c r="N455" i="555"/>
  <c r="K455" i="555" a="1"/>
  <c r="K455" i="555" s="1"/>
  <c r="M455" i="555" s="1"/>
  <c r="J455" i="555" a="1"/>
  <c r="J455" i="555" s="1"/>
  <c r="H455" i="555"/>
  <c r="N454" i="555"/>
  <c r="K454" i="555" a="1"/>
  <c r="K454" i="555" s="1"/>
  <c r="M454" i="555" s="1"/>
  <c r="H454" i="555"/>
  <c r="N453" i="555"/>
  <c r="K453" i="555" a="1"/>
  <c r="K453" i="555" s="1"/>
  <c r="M453" i="555" s="1"/>
  <c r="H453" i="555"/>
  <c r="N452" i="555"/>
  <c r="K452" i="555" a="1"/>
  <c r="K452" i="555" s="1"/>
  <c r="M452" i="555" s="1"/>
  <c r="H452" i="555"/>
  <c r="N451" i="555"/>
  <c r="K451" i="555" a="1"/>
  <c r="K451" i="555" s="1"/>
  <c r="M451" i="555" s="1"/>
  <c r="H451" i="555"/>
  <c r="N450" i="555"/>
  <c r="K450" i="555" a="1"/>
  <c r="K450" i="555" s="1"/>
  <c r="M450" i="555" s="1"/>
  <c r="H450" i="555"/>
  <c r="N449" i="555"/>
  <c r="K449" i="555" a="1"/>
  <c r="K449" i="555" s="1"/>
  <c r="M449" i="555" s="1"/>
  <c r="H449" i="555"/>
  <c r="V448" i="555"/>
  <c r="W448" i="555" s="1"/>
  <c r="N448" i="555"/>
  <c r="K448" i="555" a="1"/>
  <c r="K448" i="555" s="1"/>
  <c r="M448" i="555" s="1"/>
  <c r="J448" i="555" a="1"/>
  <c r="J448" i="555" s="1"/>
  <c r="H448" i="555"/>
  <c r="V447" i="555"/>
  <c r="W447" i="555" s="1"/>
  <c r="N447" i="555"/>
  <c r="K447" i="555" a="1"/>
  <c r="K447" i="555" s="1"/>
  <c r="M447" i="555" s="1"/>
  <c r="J447" i="555" a="1"/>
  <c r="J447" i="555" s="1"/>
  <c r="H447" i="555"/>
  <c r="V446" i="555"/>
  <c r="W446" i="555" s="1"/>
  <c r="N446" i="555"/>
  <c r="K446" i="555" a="1"/>
  <c r="K446" i="555" s="1"/>
  <c r="M446" i="555" s="1"/>
  <c r="J446" i="555" a="1"/>
  <c r="J446" i="555" s="1"/>
  <c r="H446" i="555"/>
  <c r="V445" i="555"/>
  <c r="W445" i="555" s="1"/>
  <c r="N445" i="555"/>
  <c r="K445" i="555" a="1"/>
  <c r="K445" i="555" s="1"/>
  <c r="M445" i="555" s="1"/>
  <c r="J445" i="555" a="1"/>
  <c r="J445" i="555" s="1"/>
  <c r="H445" i="555"/>
  <c r="V444" i="555"/>
  <c r="W444" i="555" s="1"/>
  <c r="N444" i="555"/>
  <c r="K444" i="555" a="1"/>
  <c r="K444" i="555" s="1"/>
  <c r="M444" i="555" s="1"/>
  <c r="J444" i="555" a="1"/>
  <c r="J444" i="555" s="1"/>
  <c r="H444" i="555"/>
  <c r="V443" i="555"/>
  <c r="W443" i="555" s="1"/>
  <c r="N443" i="555"/>
  <c r="K443" i="555" a="1"/>
  <c r="K443" i="555" s="1"/>
  <c r="M443" i="555" s="1"/>
  <c r="J443" i="555" a="1"/>
  <c r="J443" i="555" s="1"/>
  <c r="H443" i="555"/>
  <c r="V442" i="555"/>
  <c r="W442" i="555" s="1"/>
  <c r="N442" i="555"/>
  <c r="K442" i="555" a="1"/>
  <c r="K442" i="555" s="1"/>
  <c r="M442" i="555" s="1"/>
  <c r="J442" i="555" a="1"/>
  <c r="J442" i="555" s="1"/>
  <c r="H442" i="555"/>
  <c r="V441" i="555"/>
  <c r="W441" i="555" s="1"/>
  <c r="N441" i="555"/>
  <c r="K441" i="555" a="1"/>
  <c r="K441" i="555" s="1"/>
  <c r="M441" i="555" s="1"/>
  <c r="J441" i="555" a="1"/>
  <c r="J441" i="555" s="1"/>
  <c r="H441" i="555"/>
  <c r="V440" i="555"/>
  <c r="W440" i="555" s="1"/>
  <c r="N440" i="555"/>
  <c r="K440" i="555" a="1"/>
  <c r="K440" i="555" s="1"/>
  <c r="M440" i="555" s="1"/>
  <c r="J440" i="555" a="1"/>
  <c r="J440" i="555" s="1"/>
  <c r="H440" i="555"/>
  <c r="V439" i="555"/>
  <c r="W439" i="555" s="1"/>
  <c r="N439" i="555"/>
  <c r="K439" i="555" a="1"/>
  <c r="K439" i="555" s="1"/>
  <c r="M439" i="555" s="1"/>
  <c r="J439" i="555" a="1"/>
  <c r="J439" i="555" s="1"/>
  <c r="H439" i="555"/>
  <c r="V438" i="555"/>
  <c r="W438" i="555" s="1"/>
  <c r="N438" i="555"/>
  <c r="K438" i="555" a="1"/>
  <c r="K438" i="555" s="1"/>
  <c r="M438" i="555" s="1"/>
  <c r="J438" i="555" a="1"/>
  <c r="J438" i="555" s="1"/>
  <c r="H438" i="555"/>
  <c r="V437" i="555"/>
  <c r="W437" i="555" s="1"/>
  <c r="N437" i="555"/>
  <c r="K437" i="555" a="1"/>
  <c r="K437" i="555" s="1"/>
  <c r="M437" i="555" s="1"/>
  <c r="J437" i="555" a="1"/>
  <c r="J437" i="555" s="1"/>
  <c r="H437" i="555"/>
  <c r="N436" i="555"/>
  <c r="K436" i="555" a="1"/>
  <c r="K436" i="555" s="1"/>
  <c r="M436" i="555" s="1"/>
  <c r="H436" i="555"/>
  <c r="V435" i="555"/>
  <c r="W435" i="555" s="1"/>
  <c r="N435" i="555"/>
  <c r="K435" i="555" a="1"/>
  <c r="K435" i="555" s="1"/>
  <c r="M435" i="555" s="1"/>
  <c r="J435" i="555" a="1"/>
  <c r="J435" i="555" s="1"/>
  <c r="H435" i="555"/>
  <c r="V434" i="555"/>
  <c r="W434" i="555" s="1"/>
  <c r="N434" i="555"/>
  <c r="K434" i="555" a="1"/>
  <c r="K434" i="555" s="1"/>
  <c r="M434" i="555" s="1"/>
  <c r="J434" i="555" a="1"/>
  <c r="J434" i="555" s="1"/>
  <c r="H434" i="555"/>
  <c r="V433" i="555"/>
  <c r="W433" i="555" s="1"/>
  <c r="N433" i="555"/>
  <c r="K433" i="555"/>
  <c r="M433" i="555" s="1"/>
  <c r="K433" i="555" a="1"/>
  <c r="J433" i="555"/>
  <c r="J433" i="555" a="1"/>
  <c r="H433" i="555"/>
  <c r="V432" i="555"/>
  <c r="W432" i="555" s="1"/>
  <c r="N432" i="555"/>
  <c r="K432" i="555" a="1"/>
  <c r="K432" i="555" s="1"/>
  <c r="M432" i="555" s="1"/>
  <c r="J432" i="555" a="1"/>
  <c r="J432" i="555" s="1"/>
  <c r="H432" i="555"/>
  <c r="W431" i="555"/>
  <c r="V431" i="555"/>
  <c r="N431" i="555"/>
  <c r="K431" i="555" a="1"/>
  <c r="K431" i="555" s="1"/>
  <c r="M431" i="555" s="1"/>
  <c r="J431" i="555" a="1"/>
  <c r="J431" i="555" s="1"/>
  <c r="H431" i="555"/>
  <c r="V430" i="555"/>
  <c r="W430" i="555" s="1"/>
  <c r="N430" i="555"/>
  <c r="K430" i="555" a="1"/>
  <c r="K430" i="555" s="1"/>
  <c r="M430" i="555" s="1"/>
  <c r="J430" i="555" a="1"/>
  <c r="J430" i="555" s="1"/>
  <c r="H430" i="555"/>
  <c r="W429" i="555"/>
  <c r="V429" i="555"/>
  <c r="N429" i="555"/>
  <c r="K429" i="555" a="1"/>
  <c r="K429" i="555" s="1"/>
  <c r="M429" i="555" s="1"/>
  <c r="J429" i="555" a="1"/>
  <c r="J429" i="555" s="1"/>
  <c r="H429" i="555"/>
  <c r="AA428" i="555"/>
  <c r="Z428" i="555"/>
  <c r="Y428" i="555"/>
  <c r="X428" i="555"/>
  <c r="U428" i="555"/>
  <c r="T428" i="555"/>
  <c r="S428" i="555"/>
  <c r="R428" i="555"/>
  <c r="Q428" i="555"/>
  <c r="P428" i="555"/>
  <c r="O428" i="555"/>
  <c r="R510" i="555" s="1"/>
  <c r="I428" i="555"/>
  <c r="G428" i="555"/>
  <c r="J428" i="555" s="1" a="1"/>
  <c r="J428" i="555" s="1"/>
  <c r="K427" i="555" a="1"/>
  <c r="K427" i="555" s="1"/>
  <c r="M427" i="555" s="1"/>
  <c r="H427" i="555"/>
  <c r="K426" i="555"/>
  <c r="M426" i="555" s="1"/>
  <c r="K426" i="555" a="1"/>
  <c r="H426" i="555"/>
  <c r="K425" i="555" a="1"/>
  <c r="K425" i="555" s="1"/>
  <c r="M425" i="555" s="1"/>
  <c r="H425" i="555"/>
  <c r="K424" i="555" a="1"/>
  <c r="K424" i="555" s="1"/>
  <c r="M424" i="555" s="1"/>
  <c r="H424" i="555"/>
  <c r="K423" i="555" a="1"/>
  <c r="K423" i="555" s="1"/>
  <c r="M423" i="555" s="1"/>
  <c r="H423" i="555"/>
  <c r="K422" i="555" a="1"/>
  <c r="K422" i="555" s="1"/>
  <c r="M422" i="555" s="1"/>
  <c r="H422" i="555"/>
  <c r="K421" i="555" a="1"/>
  <c r="K421" i="555" s="1"/>
  <c r="M421" i="555" s="1"/>
  <c r="H421" i="555"/>
  <c r="K420" i="555" a="1"/>
  <c r="K420" i="555" s="1"/>
  <c r="M420" i="555" s="1"/>
  <c r="H420" i="555"/>
  <c r="K419" i="555" a="1"/>
  <c r="K419" i="555" s="1"/>
  <c r="M419" i="555" s="1"/>
  <c r="H419" i="555"/>
  <c r="K418" i="555" a="1"/>
  <c r="K418" i="555" s="1"/>
  <c r="M418" i="555" s="1"/>
  <c r="H418" i="555"/>
  <c r="W417" i="555"/>
  <c r="V417" i="555"/>
  <c r="N417" i="555"/>
  <c r="K417" i="555" a="1"/>
  <c r="K417" i="555" s="1"/>
  <c r="M417" i="555" s="1"/>
  <c r="J417" i="555" a="1"/>
  <c r="J417" i="555" s="1"/>
  <c r="H417" i="555"/>
  <c r="V416" i="555"/>
  <c r="W416" i="555" s="1"/>
  <c r="N416" i="555"/>
  <c r="K416" i="555" a="1"/>
  <c r="K416" i="555" s="1"/>
  <c r="M416" i="555" s="1"/>
  <c r="J416" i="555" a="1"/>
  <c r="J416" i="555" s="1"/>
  <c r="H416" i="555"/>
  <c r="V415" i="555"/>
  <c r="W415" i="555" s="1"/>
  <c r="N415" i="555"/>
  <c r="K415" i="555"/>
  <c r="M415" i="555" s="1"/>
  <c r="K415" i="555" a="1"/>
  <c r="J415" i="555"/>
  <c r="J415" i="555" a="1"/>
  <c r="H415" i="555"/>
  <c r="V414" i="555"/>
  <c r="W414" i="555" s="1"/>
  <c r="N414" i="555"/>
  <c r="K414" i="555" a="1"/>
  <c r="K414" i="555" s="1"/>
  <c r="M414" i="555" s="1"/>
  <c r="J414" i="555" a="1"/>
  <c r="J414" i="555" s="1"/>
  <c r="H414" i="555"/>
  <c r="H413" i="555"/>
  <c r="V412" i="555"/>
  <c r="W412" i="555" s="1"/>
  <c r="N412" i="555"/>
  <c r="K412" i="555" a="1"/>
  <c r="K412" i="555" s="1"/>
  <c r="M412" i="555" s="1"/>
  <c r="J412" i="555" a="1"/>
  <c r="J412" i="555" s="1"/>
  <c r="H412" i="555"/>
  <c r="W411" i="555"/>
  <c r="V411" i="555"/>
  <c r="N411" i="555"/>
  <c r="K411" i="555" a="1"/>
  <c r="K411" i="555" s="1"/>
  <c r="M411" i="555" s="1"/>
  <c r="J411" i="555" a="1"/>
  <c r="J411" i="555" s="1"/>
  <c r="H411" i="555"/>
  <c r="H410" i="555"/>
  <c r="K409" i="555" a="1"/>
  <c r="K409" i="555" s="1"/>
  <c r="H409" i="555"/>
  <c r="V408" i="555"/>
  <c r="W408" i="555" s="1"/>
  <c r="N408" i="555"/>
  <c r="K408" i="555" a="1"/>
  <c r="K408" i="555" s="1"/>
  <c r="M408" i="555" s="1"/>
  <c r="J408" i="555" a="1"/>
  <c r="J408" i="555" s="1"/>
  <c r="H408" i="555"/>
  <c r="V407" i="555"/>
  <c r="W407" i="555" s="1"/>
  <c r="N407" i="555"/>
  <c r="K407" i="555"/>
  <c r="M407" i="555" s="1"/>
  <c r="K407" i="555" a="1"/>
  <c r="J407" i="555"/>
  <c r="J407" i="555" a="1"/>
  <c r="H407" i="555"/>
  <c r="V406" i="555"/>
  <c r="W406" i="555" s="1"/>
  <c r="N406" i="555"/>
  <c r="K406" i="555" a="1"/>
  <c r="K406" i="555" s="1"/>
  <c r="M406" i="555" s="1"/>
  <c r="J406" i="555" a="1"/>
  <c r="J406" i="555" s="1"/>
  <c r="H406" i="555"/>
  <c r="W405" i="555"/>
  <c r="V405" i="555"/>
  <c r="N405" i="555"/>
  <c r="K405" i="555" a="1"/>
  <c r="K405" i="555" s="1"/>
  <c r="M405" i="555" s="1"/>
  <c r="J405" i="555" a="1"/>
  <c r="J405" i="555" s="1"/>
  <c r="H405" i="555"/>
  <c r="V404" i="555"/>
  <c r="W404" i="555" s="1"/>
  <c r="N404" i="555"/>
  <c r="K404" i="555" a="1"/>
  <c r="K404" i="555" s="1"/>
  <c r="M404" i="555" s="1"/>
  <c r="J404" i="555" a="1"/>
  <c r="J404" i="555" s="1"/>
  <c r="H404" i="555"/>
  <c r="V403" i="555"/>
  <c r="W403" i="555" s="1"/>
  <c r="N403" i="555"/>
  <c r="K403" i="555"/>
  <c r="M403" i="555" s="1"/>
  <c r="K403" i="555" a="1"/>
  <c r="J403" i="555"/>
  <c r="J403" i="555" a="1"/>
  <c r="H403" i="555"/>
  <c r="V402" i="555"/>
  <c r="W402" i="555" s="1"/>
  <c r="N402" i="555"/>
  <c r="K402" i="555" a="1"/>
  <c r="K402" i="555" s="1"/>
  <c r="M402" i="555" s="1"/>
  <c r="J402" i="555" a="1"/>
  <c r="J402" i="555" s="1"/>
  <c r="H402" i="555"/>
  <c r="W401" i="555"/>
  <c r="V401" i="555"/>
  <c r="N401" i="555"/>
  <c r="K401" i="555" a="1"/>
  <c r="K401" i="555" s="1"/>
  <c r="M401" i="555" s="1"/>
  <c r="J401" i="555" a="1"/>
  <c r="J401" i="555" s="1"/>
  <c r="H401" i="555"/>
  <c r="V400" i="555"/>
  <c r="W400" i="555" s="1"/>
  <c r="N400" i="555"/>
  <c r="K400" i="555" a="1"/>
  <c r="K400" i="555" s="1"/>
  <c r="M400" i="555" s="1"/>
  <c r="J400" i="555" a="1"/>
  <c r="J400" i="555" s="1"/>
  <c r="H400" i="555"/>
  <c r="V399" i="555"/>
  <c r="W399" i="555" s="1"/>
  <c r="N399" i="555"/>
  <c r="K399" i="555"/>
  <c r="M399" i="555" s="1"/>
  <c r="K399" i="555" a="1"/>
  <c r="J399" i="555"/>
  <c r="J399" i="555" a="1"/>
  <c r="H399" i="555"/>
  <c r="K398" i="555" a="1"/>
  <c r="K398" i="555" s="1"/>
  <c r="M398" i="555" s="1"/>
  <c r="H398" i="555"/>
  <c r="K397" i="555" a="1"/>
  <c r="K397" i="555" s="1"/>
  <c r="M397" i="555" s="1"/>
  <c r="H397" i="555"/>
  <c r="K396" i="555" a="1"/>
  <c r="K396" i="555" s="1"/>
  <c r="M396" i="555" s="1"/>
  <c r="H396" i="555"/>
  <c r="K395" i="555" a="1"/>
  <c r="K395" i="555" s="1"/>
  <c r="M395" i="555" s="1"/>
  <c r="H395" i="555"/>
  <c r="N394" i="555"/>
  <c r="K394" i="555" a="1"/>
  <c r="K394" i="555" s="1"/>
  <c r="M394" i="555" s="1"/>
  <c r="H394" i="555"/>
  <c r="N393" i="555"/>
  <c r="K393" i="555" a="1"/>
  <c r="K393" i="555" s="1"/>
  <c r="M393" i="555" s="1"/>
  <c r="H393" i="555"/>
  <c r="N392" i="555"/>
  <c r="K392" i="555"/>
  <c r="M392" i="555" s="1"/>
  <c r="K392" i="555" a="1"/>
  <c r="H392" i="555"/>
  <c r="N391" i="555"/>
  <c r="K391" i="555" a="1"/>
  <c r="K391" i="555" s="1"/>
  <c r="M391" i="555" s="1"/>
  <c r="H391" i="555"/>
  <c r="W390" i="555"/>
  <c r="V390" i="555"/>
  <c r="N390" i="555"/>
  <c r="K390" i="555" a="1"/>
  <c r="K390" i="555" s="1"/>
  <c r="M390" i="555" s="1"/>
  <c r="J390" i="555" a="1"/>
  <c r="J390" i="555" s="1"/>
  <c r="H390" i="555"/>
  <c r="V389" i="555"/>
  <c r="W389" i="555" s="1"/>
  <c r="N389" i="555"/>
  <c r="K389" i="555" a="1"/>
  <c r="K389" i="555" s="1"/>
  <c r="M389" i="555" s="1"/>
  <c r="J389" i="555" a="1"/>
  <c r="J389" i="555" s="1"/>
  <c r="H389" i="555"/>
  <c r="V388" i="555"/>
  <c r="W388" i="555" s="1"/>
  <c r="N388" i="555"/>
  <c r="K388" i="555"/>
  <c r="M388" i="555" s="1"/>
  <c r="K388" i="555" a="1"/>
  <c r="J388" i="555"/>
  <c r="J388" i="555" a="1"/>
  <c r="H388" i="555"/>
  <c r="V387" i="555"/>
  <c r="W387" i="555" s="1"/>
  <c r="N387" i="555"/>
  <c r="K387" i="555" a="1"/>
  <c r="K387" i="555" s="1"/>
  <c r="M387" i="555" s="1"/>
  <c r="J387" i="555" a="1"/>
  <c r="J387" i="555" s="1"/>
  <c r="H387" i="555"/>
  <c r="W386" i="555"/>
  <c r="V386" i="555"/>
  <c r="N386" i="555"/>
  <c r="K386" i="555" a="1"/>
  <c r="K386" i="555" s="1"/>
  <c r="M386" i="555" s="1"/>
  <c r="J386" i="555" a="1"/>
  <c r="J386" i="555" s="1"/>
  <c r="H386" i="555"/>
  <c r="V385" i="555"/>
  <c r="W385" i="555" s="1"/>
  <c r="N385" i="555"/>
  <c r="K385" i="555" a="1"/>
  <c r="K385" i="555" s="1"/>
  <c r="M385" i="555" s="1"/>
  <c r="J385" i="555" a="1"/>
  <c r="J385" i="555" s="1"/>
  <c r="H385" i="555"/>
  <c r="V384" i="555"/>
  <c r="W384" i="555" s="1"/>
  <c r="N384" i="555"/>
  <c r="K384" i="555"/>
  <c r="M384" i="555" s="1"/>
  <c r="K384" i="555" a="1"/>
  <c r="J384" i="555"/>
  <c r="J384" i="555" a="1"/>
  <c r="H384" i="555"/>
  <c r="V383" i="555"/>
  <c r="W383" i="555" s="1"/>
  <c r="N383" i="555"/>
  <c r="K383" i="555" a="1"/>
  <c r="K383" i="555" s="1"/>
  <c r="M383" i="555" s="1"/>
  <c r="J383" i="555" a="1"/>
  <c r="J383" i="555" s="1"/>
  <c r="H383" i="555"/>
  <c r="W382" i="555"/>
  <c r="V382" i="555"/>
  <c r="N382" i="555"/>
  <c r="K382" i="555" a="1"/>
  <c r="K382" i="555" s="1"/>
  <c r="M382" i="555" s="1"/>
  <c r="J382" i="555" a="1"/>
  <c r="J382" i="555" s="1"/>
  <c r="H382" i="555"/>
  <c r="V381" i="555"/>
  <c r="W381" i="555" s="1"/>
  <c r="N381" i="555"/>
  <c r="K381" i="555" a="1"/>
  <c r="K381" i="555" s="1"/>
  <c r="M381" i="555" s="1"/>
  <c r="J381" i="555" a="1"/>
  <c r="J381" i="555" s="1"/>
  <c r="H381" i="555"/>
  <c r="V380" i="555"/>
  <c r="W380" i="555" s="1"/>
  <c r="N380" i="555"/>
  <c r="K380" i="555"/>
  <c r="M380" i="555" s="1"/>
  <c r="K380" i="555" a="1"/>
  <c r="J380" i="555"/>
  <c r="J380" i="555" a="1"/>
  <c r="H380" i="555"/>
  <c r="V379" i="555"/>
  <c r="W379" i="555" s="1"/>
  <c r="N379" i="555"/>
  <c r="K379" i="555" a="1"/>
  <c r="K379" i="555" s="1"/>
  <c r="M379" i="555" s="1"/>
  <c r="J379" i="555" a="1"/>
  <c r="J379" i="555" s="1"/>
  <c r="H379" i="555"/>
  <c r="K378" i="555" a="1"/>
  <c r="K378" i="555" s="1"/>
  <c r="M378" i="555" s="1"/>
  <c r="H378" i="555"/>
  <c r="K377" i="555" a="1"/>
  <c r="K377" i="555" s="1"/>
  <c r="M377" i="555" s="1"/>
  <c r="H377" i="555"/>
  <c r="K376" i="555" a="1"/>
  <c r="K376" i="555" s="1"/>
  <c r="M376" i="555" s="1"/>
  <c r="H376" i="555"/>
  <c r="W375" i="555"/>
  <c r="V375" i="555"/>
  <c r="N375" i="555"/>
  <c r="K375" i="555" a="1"/>
  <c r="K375" i="555" s="1"/>
  <c r="M375" i="555" s="1"/>
  <c r="J375" i="555" a="1"/>
  <c r="J375" i="555" s="1"/>
  <c r="H375" i="555"/>
  <c r="V374" i="555"/>
  <c r="W374" i="555" s="1"/>
  <c r="N374" i="555"/>
  <c r="K374" i="555" a="1"/>
  <c r="K374" i="555" s="1"/>
  <c r="M374" i="555" s="1"/>
  <c r="J374" i="555" a="1"/>
  <c r="J374" i="555" s="1"/>
  <c r="H374" i="555"/>
  <c r="V373" i="555"/>
  <c r="W373" i="555" s="1"/>
  <c r="N373" i="555"/>
  <c r="K373" i="555"/>
  <c r="M373" i="555" s="1"/>
  <c r="K373" i="555" a="1"/>
  <c r="J373" i="555"/>
  <c r="J373" i="555" a="1"/>
  <c r="H373" i="555"/>
  <c r="K372" i="555" a="1"/>
  <c r="K372" i="555" s="1"/>
  <c r="H372" i="555"/>
  <c r="V371" i="555"/>
  <c r="V428" i="555" s="1"/>
  <c r="W428" i="555" s="1"/>
  <c r="N371" i="555"/>
  <c r="K371" i="555"/>
  <c r="K371" i="555" a="1"/>
  <c r="J371" i="555"/>
  <c r="J371" i="555" a="1"/>
  <c r="H371" i="555"/>
  <c r="H428" i="555" s="1"/>
  <c r="AA370" i="555"/>
  <c r="AA507" i="555" s="1"/>
  <c r="Z370" i="555"/>
  <c r="Z507" i="555" s="1"/>
  <c r="Y370" i="555"/>
  <c r="Y507" i="555" s="1"/>
  <c r="X370" i="555"/>
  <c r="X507" i="555" s="1"/>
  <c r="U370" i="555"/>
  <c r="U507" i="555" s="1"/>
  <c r="T370" i="555"/>
  <c r="T507" i="555" s="1"/>
  <c r="S370" i="555"/>
  <c r="S507" i="555" s="1"/>
  <c r="R370" i="555"/>
  <c r="R507" i="555" s="1"/>
  <c r="Q370" i="555"/>
  <c r="Q507" i="555" s="1"/>
  <c r="P370" i="555"/>
  <c r="P507" i="555" s="1"/>
  <c r="O370" i="555"/>
  <c r="I370" i="555"/>
  <c r="I507" i="555" s="1"/>
  <c r="B515" i="555" s="1"/>
  <c r="G370" i="555"/>
  <c r="G507" i="555" s="1"/>
  <c r="V369" i="555"/>
  <c r="W369" i="555" s="1"/>
  <c r="N369" i="555"/>
  <c r="K369" i="555" a="1"/>
  <c r="K369" i="555" s="1"/>
  <c r="M369" i="555" s="1"/>
  <c r="J369" i="555" a="1"/>
  <c r="J369" i="555" s="1"/>
  <c r="H369" i="555"/>
  <c r="V368" i="555"/>
  <c r="W368" i="555" s="1"/>
  <c r="N368" i="555"/>
  <c r="K368" i="555"/>
  <c r="M368" i="555" s="1"/>
  <c r="K368" i="555" a="1"/>
  <c r="J368" i="555"/>
  <c r="J368" i="555" a="1"/>
  <c r="H368" i="555"/>
  <c r="K367" i="555" a="1"/>
  <c r="K367" i="555" s="1"/>
  <c r="M367" i="555" s="1"/>
  <c r="H367" i="555"/>
  <c r="K366" i="555"/>
  <c r="M366" i="555" s="1"/>
  <c r="K366" i="555" a="1"/>
  <c r="H366" i="555"/>
  <c r="K365" i="555" a="1"/>
  <c r="K365" i="555" s="1"/>
  <c r="M365" i="555" s="1"/>
  <c r="H365" i="555"/>
  <c r="K364" i="555" a="1"/>
  <c r="K364" i="555" s="1"/>
  <c r="M364" i="555" s="1"/>
  <c r="H364" i="555"/>
  <c r="V363" i="555"/>
  <c r="W363" i="555" s="1"/>
  <c r="N363" i="555"/>
  <c r="K363" i="555"/>
  <c r="M363" i="555" s="1"/>
  <c r="K363" i="555" a="1"/>
  <c r="J363" i="555"/>
  <c r="J363" i="555" a="1"/>
  <c r="H363" i="555"/>
  <c r="V362" i="555"/>
  <c r="W362" i="555" s="1"/>
  <c r="N362" i="555"/>
  <c r="K362" i="555" a="1"/>
  <c r="K362" i="555" s="1"/>
  <c r="M362" i="555" s="1"/>
  <c r="J362" i="555" a="1"/>
  <c r="J362" i="555" s="1"/>
  <c r="H362" i="555"/>
  <c r="W361" i="555"/>
  <c r="V361" i="555"/>
  <c r="N361" i="555"/>
  <c r="K361" i="555" a="1"/>
  <c r="K361" i="555" s="1"/>
  <c r="M361" i="555" s="1"/>
  <c r="J361" i="555" a="1"/>
  <c r="J361" i="555" s="1"/>
  <c r="H361" i="555"/>
  <c r="H360" i="555"/>
  <c r="H359" i="555"/>
  <c r="V358" i="555"/>
  <c r="W358" i="555" s="1"/>
  <c r="N358" i="555"/>
  <c r="K358" i="555" a="1"/>
  <c r="K358" i="555" s="1"/>
  <c r="M358" i="555" s="1"/>
  <c r="J358" i="555" a="1"/>
  <c r="J358" i="555" s="1"/>
  <c r="H358" i="555"/>
  <c r="V357" i="555"/>
  <c r="W357" i="555" s="1"/>
  <c r="N357" i="555"/>
  <c r="K357" i="555"/>
  <c r="M357" i="555" s="1"/>
  <c r="K357" i="555" a="1"/>
  <c r="J357" i="555"/>
  <c r="J357" i="555" a="1"/>
  <c r="H357" i="555"/>
  <c r="K356" i="555" a="1"/>
  <c r="K356" i="555" s="1"/>
  <c r="M356" i="555" s="1"/>
  <c r="H356" i="555"/>
  <c r="K355" i="555" a="1"/>
  <c r="K355" i="555" s="1"/>
  <c r="M355" i="555" s="1"/>
  <c r="H355" i="555"/>
  <c r="V354" i="555"/>
  <c r="W354" i="555" s="1"/>
  <c r="N354" i="555"/>
  <c r="K354" i="555"/>
  <c r="M354" i="555" s="1"/>
  <c r="K354" i="555" a="1"/>
  <c r="J354" i="555"/>
  <c r="J354" i="555" a="1"/>
  <c r="H354" i="555"/>
  <c r="V353" i="555"/>
  <c r="W353" i="555" s="1"/>
  <c r="N353" i="555"/>
  <c r="K353" i="555"/>
  <c r="M353" i="555" s="1"/>
  <c r="K353" i="555" a="1"/>
  <c r="J353" i="555" a="1"/>
  <c r="J353" i="555" s="1"/>
  <c r="H353" i="555"/>
  <c r="W352" i="555"/>
  <c r="V352" i="555"/>
  <c r="N352" i="555"/>
  <c r="K352" i="555" a="1"/>
  <c r="K352" i="555" s="1"/>
  <c r="M352" i="555" s="1"/>
  <c r="J352" i="555" a="1"/>
  <c r="J352" i="555" s="1"/>
  <c r="H352" i="555"/>
  <c r="V351" i="555"/>
  <c r="W351" i="555" s="1"/>
  <c r="N351" i="555"/>
  <c r="K351" i="555"/>
  <c r="M351" i="555" s="1"/>
  <c r="K351" i="555" a="1"/>
  <c r="J351" i="555" a="1"/>
  <c r="J351" i="555" s="1"/>
  <c r="H351" i="555"/>
  <c r="W350" i="555"/>
  <c r="V350" i="555"/>
  <c r="N350" i="555"/>
  <c r="K350" i="555" a="1"/>
  <c r="K350" i="555" s="1"/>
  <c r="M350" i="555" s="1"/>
  <c r="J350" i="555" a="1"/>
  <c r="J350" i="555" s="1"/>
  <c r="H350" i="555"/>
  <c r="V349" i="555"/>
  <c r="V370" i="555" s="1"/>
  <c r="N349" i="555"/>
  <c r="K349" i="555"/>
  <c r="M349" i="555" s="1"/>
  <c r="K349" i="555" a="1"/>
  <c r="J349" i="555" a="1"/>
  <c r="J349" i="555" s="1"/>
  <c r="H349" i="555"/>
  <c r="X343" i="555"/>
  <c r="X342" i="555"/>
  <c r="X341" i="555"/>
  <c r="G341" i="555"/>
  <c r="C341" i="555"/>
  <c r="X340" i="555"/>
  <c r="I340" i="555"/>
  <c r="E340" i="555"/>
  <c r="K340" i="555" s="1"/>
  <c r="M340" i="555" s="1"/>
  <c r="I339" i="555"/>
  <c r="E339" i="555"/>
  <c r="K339" i="555" s="1"/>
  <c r="M339" i="555" s="1"/>
  <c r="I338" i="555"/>
  <c r="E338" i="555"/>
  <c r="K338" i="555" s="1"/>
  <c r="M338" i="555" s="1"/>
  <c r="X337" i="555"/>
  <c r="I337" i="555"/>
  <c r="I341" i="555" s="1"/>
  <c r="E337" i="555"/>
  <c r="E341" i="555" s="1"/>
  <c r="AA334" i="555"/>
  <c r="Z334" i="555"/>
  <c r="Y334" i="555"/>
  <c r="X334" i="555"/>
  <c r="U334" i="555"/>
  <c r="T334" i="555"/>
  <c r="S334" i="555"/>
  <c r="R334" i="555"/>
  <c r="Q334" i="555"/>
  <c r="P334" i="555"/>
  <c r="O334" i="555"/>
  <c r="I334" i="555"/>
  <c r="G334" i="555"/>
  <c r="K333" i="555" a="1"/>
  <c r="K333" i="555" s="1"/>
  <c r="H333" i="555"/>
  <c r="K332" i="555" a="1"/>
  <c r="K332" i="555" s="1"/>
  <c r="H332" i="555"/>
  <c r="K331" i="555"/>
  <c r="K331" i="555" a="1"/>
  <c r="H331" i="555"/>
  <c r="V330" i="555"/>
  <c r="W330" i="555" s="1"/>
  <c r="N330" i="555"/>
  <c r="K330" i="555" a="1"/>
  <c r="K330" i="555" s="1"/>
  <c r="H330" i="555"/>
  <c r="D330" i="555"/>
  <c r="H329" i="555"/>
  <c r="K328" i="555" a="1"/>
  <c r="K328" i="555" s="1"/>
  <c r="H328" i="555"/>
  <c r="H327" i="555"/>
  <c r="V326" i="555"/>
  <c r="W326" i="555" s="1"/>
  <c r="N326" i="555"/>
  <c r="K326" i="555" a="1"/>
  <c r="K326" i="555" s="1"/>
  <c r="M326" i="555" s="1"/>
  <c r="J326" i="555" a="1"/>
  <c r="J326" i="555" s="1"/>
  <c r="H326" i="555"/>
  <c r="V325" i="555"/>
  <c r="W325" i="555" s="1"/>
  <c r="N325" i="555"/>
  <c r="K325" i="555"/>
  <c r="M325" i="555" s="1"/>
  <c r="K325" i="555" a="1"/>
  <c r="J325" i="555"/>
  <c r="J325" i="555" a="1"/>
  <c r="H325" i="555"/>
  <c r="H324" i="555"/>
  <c r="W323" i="555"/>
  <c r="V323" i="555"/>
  <c r="N323" i="555"/>
  <c r="K323" i="555" a="1"/>
  <c r="K323" i="555" s="1"/>
  <c r="M323" i="555" s="1"/>
  <c r="J323" i="555" a="1"/>
  <c r="J323" i="555" s="1"/>
  <c r="H323" i="555"/>
  <c r="V322" i="555"/>
  <c r="W322" i="555" s="1"/>
  <c r="N322" i="555"/>
  <c r="K322" i="555" a="1"/>
  <c r="K322" i="555" s="1"/>
  <c r="M322" i="555" s="1"/>
  <c r="J322" i="555" a="1"/>
  <c r="J322" i="555" s="1"/>
  <c r="H322" i="555"/>
  <c r="V321" i="555"/>
  <c r="W321" i="555" s="1"/>
  <c r="N321" i="555"/>
  <c r="K321" i="555"/>
  <c r="M321" i="555" s="1"/>
  <c r="K321" i="555" a="1"/>
  <c r="J321" i="555"/>
  <c r="J321" i="555" a="1"/>
  <c r="H321" i="555"/>
  <c r="V320" i="555"/>
  <c r="W320" i="555" s="1"/>
  <c r="N320" i="555"/>
  <c r="K320" i="555" a="1"/>
  <c r="K320" i="555" s="1"/>
  <c r="J320" i="555" a="1"/>
  <c r="J320" i="555" s="1"/>
  <c r="H320" i="555"/>
  <c r="AA319" i="555"/>
  <c r="Z319" i="555"/>
  <c r="Y319" i="555"/>
  <c r="X319" i="555"/>
  <c r="U319" i="555"/>
  <c r="T319" i="555"/>
  <c r="S319" i="555"/>
  <c r="Q319" i="555"/>
  <c r="P319" i="555"/>
  <c r="O319" i="555"/>
  <c r="I319" i="555"/>
  <c r="G319" i="555"/>
  <c r="J319" i="555" s="1" a="1"/>
  <c r="J319" i="555" s="1"/>
  <c r="V318" i="555"/>
  <c r="W318" i="555" s="1"/>
  <c r="N318" i="555"/>
  <c r="K318" i="555"/>
  <c r="M318" i="555" s="1"/>
  <c r="K318" i="555" a="1"/>
  <c r="J318" i="555"/>
  <c r="J318" i="555" a="1"/>
  <c r="H318" i="555"/>
  <c r="H317" i="555"/>
  <c r="H316" i="555"/>
  <c r="H315" i="555"/>
  <c r="H314" i="555"/>
  <c r="V313" i="555"/>
  <c r="W313" i="555" s="1"/>
  <c r="N313" i="555"/>
  <c r="K313" i="555" a="1"/>
  <c r="K313" i="555" s="1"/>
  <c r="M313" i="555" s="1"/>
  <c r="J313" i="555" a="1"/>
  <c r="J313" i="555" s="1"/>
  <c r="H313" i="555"/>
  <c r="V312" i="555"/>
  <c r="W312" i="555" s="1"/>
  <c r="N312" i="555"/>
  <c r="K312" i="555"/>
  <c r="M312" i="555" s="1"/>
  <c r="K312" i="555" a="1"/>
  <c r="J312" i="555" a="1"/>
  <c r="J312" i="555" s="1"/>
  <c r="H312" i="555"/>
  <c r="V311" i="555"/>
  <c r="W311" i="555" s="1"/>
  <c r="N311" i="555"/>
  <c r="K311" i="555" a="1"/>
  <c r="K311" i="555" s="1"/>
  <c r="M311" i="555" s="1"/>
  <c r="J311" i="555" a="1"/>
  <c r="J311" i="555" s="1"/>
  <c r="H311" i="555"/>
  <c r="V310" i="555"/>
  <c r="W310" i="555" s="1"/>
  <c r="N310" i="555"/>
  <c r="K310" i="555"/>
  <c r="M310" i="555" s="1"/>
  <c r="K310" i="555" a="1"/>
  <c r="J310" i="555"/>
  <c r="J310" i="555" a="1"/>
  <c r="H310" i="555"/>
  <c r="V309" i="555"/>
  <c r="V319" i="555" s="1"/>
  <c r="W319" i="555" s="1"/>
  <c r="N309" i="555"/>
  <c r="K309" i="555" a="1"/>
  <c r="K309" i="555" s="1"/>
  <c r="J309" i="555" a="1"/>
  <c r="J309" i="555" s="1"/>
  <c r="H309" i="555"/>
  <c r="AA308" i="555"/>
  <c r="Z308" i="555"/>
  <c r="Y308" i="555"/>
  <c r="X308" i="555"/>
  <c r="U308" i="555"/>
  <c r="T308" i="555"/>
  <c r="S308" i="555"/>
  <c r="Q308" i="555"/>
  <c r="P308" i="555"/>
  <c r="O308" i="555"/>
  <c r="I308" i="555"/>
  <c r="G308" i="555"/>
  <c r="W307" i="555"/>
  <c r="V307" i="555"/>
  <c r="N307" i="555"/>
  <c r="K307" i="555"/>
  <c r="M307" i="555" s="1"/>
  <c r="K307" i="555" a="1"/>
  <c r="J307" i="555" a="1"/>
  <c r="J307" i="555" s="1"/>
  <c r="H307" i="555"/>
  <c r="V306" i="555"/>
  <c r="W306" i="555" s="1"/>
  <c r="N306" i="555"/>
  <c r="K306" i="555" a="1"/>
  <c r="K306" i="555" s="1"/>
  <c r="M306" i="555" s="1"/>
  <c r="J306" i="555" a="1"/>
  <c r="J306" i="555" s="1"/>
  <c r="H306" i="555"/>
  <c r="W305" i="555"/>
  <c r="V305" i="555"/>
  <c r="N305" i="555"/>
  <c r="K305" i="555" a="1"/>
  <c r="K305" i="555" s="1"/>
  <c r="M305" i="555" s="1"/>
  <c r="J305" i="555" a="1"/>
  <c r="J305" i="555" s="1"/>
  <c r="H305" i="555"/>
  <c r="V304" i="555"/>
  <c r="W304" i="555" s="1"/>
  <c r="N304" i="555"/>
  <c r="K304" i="555" a="1"/>
  <c r="K304" i="555" s="1"/>
  <c r="M304" i="555" s="1"/>
  <c r="J304" i="555" a="1"/>
  <c r="J304" i="555" s="1"/>
  <c r="H304" i="555"/>
  <c r="V303" i="555"/>
  <c r="W303" i="555" s="1"/>
  <c r="N303" i="555"/>
  <c r="K303" i="555"/>
  <c r="M303" i="555" s="1"/>
  <c r="K303" i="555" a="1"/>
  <c r="J303" i="555"/>
  <c r="J303" i="555" a="1"/>
  <c r="H303" i="555"/>
  <c r="V302" i="555"/>
  <c r="W302" i="555" s="1"/>
  <c r="N302" i="555"/>
  <c r="K302" i="555" a="1"/>
  <c r="K302" i="555" s="1"/>
  <c r="M302" i="555" s="1"/>
  <c r="J302" i="555" a="1"/>
  <c r="J302" i="555" s="1"/>
  <c r="H302" i="555"/>
  <c r="W301" i="555"/>
  <c r="V301" i="555"/>
  <c r="N301" i="555"/>
  <c r="K301" i="555" a="1"/>
  <c r="K301" i="555" s="1"/>
  <c r="M301" i="555" s="1"/>
  <c r="J301" i="555" a="1"/>
  <c r="J301" i="555" s="1"/>
  <c r="H301" i="555"/>
  <c r="V300" i="555"/>
  <c r="W300" i="555" s="1"/>
  <c r="N300" i="555"/>
  <c r="K300" i="555" a="1"/>
  <c r="K300" i="555" s="1"/>
  <c r="M300" i="555" s="1"/>
  <c r="J300" i="555" a="1"/>
  <c r="J300" i="555" s="1"/>
  <c r="H300" i="555"/>
  <c r="V299" i="555"/>
  <c r="W299" i="555" s="1"/>
  <c r="N299" i="555"/>
  <c r="K299" i="555"/>
  <c r="M299" i="555" s="1"/>
  <c r="K299" i="555" a="1"/>
  <c r="J299" i="555"/>
  <c r="J299" i="555" a="1"/>
  <c r="H299" i="555"/>
  <c r="V298" i="555"/>
  <c r="W298" i="555" s="1"/>
  <c r="N298" i="555"/>
  <c r="K298" i="555" a="1"/>
  <c r="K298" i="555" s="1"/>
  <c r="M298" i="555" s="1"/>
  <c r="J298" i="555" a="1"/>
  <c r="J298" i="555" s="1"/>
  <c r="H298" i="555"/>
  <c r="W297" i="555"/>
  <c r="V297" i="555"/>
  <c r="N297" i="555"/>
  <c r="K297" i="555" a="1"/>
  <c r="K297" i="555" s="1"/>
  <c r="M297" i="555" s="1"/>
  <c r="J297" i="555" a="1"/>
  <c r="J297" i="555" s="1"/>
  <c r="H297" i="555"/>
  <c r="V296" i="555"/>
  <c r="W296" i="555" s="1"/>
  <c r="N296" i="555"/>
  <c r="K296" i="555" a="1"/>
  <c r="K296" i="555" s="1"/>
  <c r="M296" i="555" s="1"/>
  <c r="J296" i="555" a="1"/>
  <c r="J296" i="555" s="1"/>
  <c r="H296" i="555"/>
  <c r="V295" i="555"/>
  <c r="W295" i="555" s="1"/>
  <c r="N295" i="555"/>
  <c r="K295" i="555"/>
  <c r="M295" i="555" s="1"/>
  <c r="K295" i="555" a="1"/>
  <c r="J295" i="555"/>
  <c r="J295" i="555" a="1"/>
  <c r="H295" i="555"/>
  <c r="V294" i="555"/>
  <c r="W294" i="555" s="1"/>
  <c r="N294" i="555"/>
  <c r="K294" i="555" a="1"/>
  <c r="K294" i="555" s="1"/>
  <c r="M294" i="555" s="1"/>
  <c r="J294" i="555" a="1"/>
  <c r="J294" i="555" s="1"/>
  <c r="H294" i="555"/>
  <c r="W293" i="555"/>
  <c r="V293" i="555"/>
  <c r="N293" i="555"/>
  <c r="N308" i="555" s="1"/>
  <c r="K293" i="555" a="1"/>
  <c r="K293" i="555" s="1"/>
  <c r="M293" i="555" s="1"/>
  <c r="J293" i="555" a="1"/>
  <c r="J293" i="555" s="1"/>
  <c r="H293" i="555"/>
  <c r="AA292" i="555"/>
  <c r="Z292" i="555"/>
  <c r="Y292" i="555"/>
  <c r="X292" i="555"/>
  <c r="U292" i="555"/>
  <c r="T292" i="555"/>
  <c r="S292" i="555"/>
  <c r="R292" i="555"/>
  <c r="Q292" i="555"/>
  <c r="P292" i="555"/>
  <c r="O292" i="555"/>
  <c r="I292" i="555"/>
  <c r="G292" i="555"/>
  <c r="W291" i="555"/>
  <c r="V291" i="555"/>
  <c r="N291" i="555"/>
  <c r="K291" i="555"/>
  <c r="M291" i="555" s="1"/>
  <c r="K291" i="555" a="1"/>
  <c r="J291" i="555" a="1"/>
  <c r="J291" i="555" s="1"/>
  <c r="H291" i="555"/>
  <c r="V290" i="555"/>
  <c r="W290" i="555" s="1"/>
  <c r="N290" i="555"/>
  <c r="K290" i="555" a="1"/>
  <c r="K290" i="555" s="1"/>
  <c r="M290" i="555" s="1"/>
  <c r="J290" i="555" a="1"/>
  <c r="J290" i="555" s="1"/>
  <c r="H290" i="555"/>
  <c r="V289" i="555"/>
  <c r="W289" i="555" s="1"/>
  <c r="N289" i="555"/>
  <c r="K289" i="555" a="1"/>
  <c r="K289" i="555" s="1"/>
  <c r="M289" i="555" s="1"/>
  <c r="J289" i="555" a="1"/>
  <c r="J289" i="555" s="1"/>
  <c r="H289" i="555"/>
  <c r="H288" i="555"/>
  <c r="H287" i="555"/>
  <c r="H286" i="555"/>
  <c r="V285" i="555"/>
  <c r="W285" i="555" s="1"/>
  <c r="N285" i="555"/>
  <c r="K285" i="555"/>
  <c r="M285" i="555" s="1"/>
  <c r="K285" i="555" a="1"/>
  <c r="J285" i="555"/>
  <c r="J285" i="555" a="1"/>
  <c r="H285" i="555"/>
  <c r="V284" i="555"/>
  <c r="W284" i="555" s="1"/>
  <c r="N284" i="555"/>
  <c r="K284" i="555" a="1"/>
  <c r="K284" i="555" s="1"/>
  <c r="M284" i="555" s="1"/>
  <c r="J284" i="555" a="1"/>
  <c r="J284" i="555" s="1"/>
  <c r="H284" i="555"/>
  <c r="N283" i="555"/>
  <c r="K283" i="555" a="1"/>
  <c r="K283" i="555" s="1"/>
  <c r="M283" i="555" s="1"/>
  <c r="H283" i="555"/>
  <c r="N282" i="555"/>
  <c r="K282" i="555" a="1"/>
  <c r="K282" i="555" s="1"/>
  <c r="M282" i="555" s="1"/>
  <c r="H282" i="555"/>
  <c r="N281" i="555"/>
  <c r="K281" i="555" a="1"/>
  <c r="K281" i="555" s="1"/>
  <c r="M281" i="555" s="1"/>
  <c r="H281" i="555"/>
  <c r="N280" i="555"/>
  <c r="K280" i="555" a="1"/>
  <c r="K280" i="555" s="1"/>
  <c r="M280" i="555" s="1"/>
  <c r="H280" i="555"/>
  <c r="N279" i="555"/>
  <c r="K279" i="555" a="1"/>
  <c r="K279" i="555" s="1"/>
  <c r="M279" i="555" s="1"/>
  <c r="H279" i="555"/>
  <c r="N278" i="555"/>
  <c r="K278" i="555" a="1"/>
  <c r="K278" i="555" s="1"/>
  <c r="M278" i="555" s="1"/>
  <c r="H278" i="555"/>
  <c r="V277" i="555"/>
  <c r="W277" i="555" s="1"/>
  <c r="N277" i="555"/>
  <c r="K277" i="555"/>
  <c r="M277" i="555" s="1"/>
  <c r="K277" i="555" a="1"/>
  <c r="J277" i="555"/>
  <c r="J277" i="555" a="1"/>
  <c r="H277" i="555"/>
  <c r="V276" i="555"/>
  <c r="W276" i="555" s="1"/>
  <c r="N276" i="555"/>
  <c r="K276" i="555" a="1"/>
  <c r="K276" i="555" s="1"/>
  <c r="M276" i="555" s="1"/>
  <c r="J276" i="555" a="1"/>
  <c r="J276" i="555" s="1"/>
  <c r="H276" i="555"/>
  <c r="W275" i="555"/>
  <c r="V275" i="555"/>
  <c r="N275" i="555"/>
  <c r="K275" i="555" a="1"/>
  <c r="K275" i="555" s="1"/>
  <c r="M275" i="555" s="1"/>
  <c r="J275" i="555" a="1"/>
  <c r="J275" i="555" s="1"/>
  <c r="H275" i="555"/>
  <c r="V274" i="555"/>
  <c r="W274" i="555" s="1"/>
  <c r="N274" i="555"/>
  <c r="K274" i="555" a="1"/>
  <c r="K274" i="555" s="1"/>
  <c r="M274" i="555" s="1"/>
  <c r="J274" i="555" a="1"/>
  <c r="J274" i="555" s="1"/>
  <c r="H274" i="555"/>
  <c r="V273" i="555"/>
  <c r="W273" i="555" s="1"/>
  <c r="N273" i="555"/>
  <c r="K273" i="555"/>
  <c r="M273" i="555" s="1"/>
  <c r="K273" i="555" a="1"/>
  <c r="J273" i="555"/>
  <c r="J273" i="555" a="1"/>
  <c r="H273" i="555"/>
  <c r="V272" i="555"/>
  <c r="W272" i="555" s="1"/>
  <c r="N272" i="555"/>
  <c r="K272" i="555" a="1"/>
  <c r="K272" i="555" s="1"/>
  <c r="M272" i="555" s="1"/>
  <c r="J272" i="555" a="1"/>
  <c r="J272" i="555" s="1"/>
  <c r="H272" i="555"/>
  <c r="W271" i="555"/>
  <c r="V271" i="555"/>
  <c r="N271" i="555"/>
  <c r="K271" i="555" a="1"/>
  <c r="K271" i="555" s="1"/>
  <c r="M271" i="555" s="1"/>
  <c r="J271" i="555" a="1"/>
  <c r="J271" i="555" s="1"/>
  <c r="H271" i="555"/>
  <c r="V270" i="555"/>
  <c r="W270" i="555" s="1"/>
  <c r="N270" i="555"/>
  <c r="K270" i="555" a="1"/>
  <c r="K270" i="555" s="1"/>
  <c r="M270" i="555" s="1"/>
  <c r="J270" i="555" a="1"/>
  <c r="J270" i="555" s="1"/>
  <c r="H270" i="555"/>
  <c r="V269" i="555"/>
  <c r="W269" i="555" s="1"/>
  <c r="N269" i="555"/>
  <c r="K269" i="555"/>
  <c r="M269" i="555" s="1"/>
  <c r="K269" i="555" a="1"/>
  <c r="J269" i="555"/>
  <c r="J269" i="555" a="1"/>
  <c r="H269" i="555"/>
  <c r="V268" i="555"/>
  <c r="W268" i="555" s="1"/>
  <c r="N268" i="555"/>
  <c r="K268" i="555" a="1"/>
  <c r="K268" i="555" s="1"/>
  <c r="M268" i="555" s="1"/>
  <c r="J268" i="555" a="1"/>
  <c r="J268" i="555" s="1"/>
  <c r="H268" i="555"/>
  <c r="W267" i="555"/>
  <c r="V267" i="555"/>
  <c r="N267" i="555"/>
  <c r="K267" i="555" a="1"/>
  <c r="K267" i="555" s="1"/>
  <c r="M267" i="555" s="1"/>
  <c r="J267" i="555" a="1"/>
  <c r="J267" i="555" s="1"/>
  <c r="H267" i="555"/>
  <c r="V266" i="555"/>
  <c r="W266" i="555" s="1"/>
  <c r="N266" i="555"/>
  <c r="K266" i="555" a="1"/>
  <c r="K266" i="555" s="1"/>
  <c r="M266" i="555" s="1"/>
  <c r="J266" i="555" a="1"/>
  <c r="J266" i="555" s="1"/>
  <c r="H266" i="555"/>
  <c r="N265" i="555"/>
  <c r="K265" i="555"/>
  <c r="M265" i="555" s="1"/>
  <c r="K265" i="555" a="1"/>
  <c r="H265" i="555"/>
  <c r="V264" i="555"/>
  <c r="W264" i="555" s="1"/>
  <c r="N264" i="555"/>
  <c r="K264" i="555" a="1"/>
  <c r="K264" i="555" s="1"/>
  <c r="M264" i="555" s="1"/>
  <c r="J264" i="555" a="1"/>
  <c r="J264" i="555" s="1"/>
  <c r="H264" i="555"/>
  <c r="W263" i="555"/>
  <c r="V263" i="555"/>
  <c r="N263" i="555"/>
  <c r="K263" i="555" a="1"/>
  <c r="K263" i="555" s="1"/>
  <c r="M263" i="555" s="1"/>
  <c r="J263" i="555" a="1"/>
  <c r="J263" i="555" s="1"/>
  <c r="H263" i="555"/>
  <c r="V262" i="555"/>
  <c r="W262" i="555" s="1"/>
  <c r="N262" i="555"/>
  <c r="K262" i="555" a="1"/>
  <c r="K262" i="555" s="1"/>
  <c r="M262" i="555" s="1"/>
  <c r="J262" i="555" a="1"/>
  <c r="J262" i="555" s="1"/>
  <c r="H262" i="555"/>
  <c r="V261" i="555"/>
  <c r="W261" i="555" s="1"/>
  <c r="N261" i="555"/>
  <c r="K261" i="555"/>
  <c r="M261" i="555" s="1"/>
  <c r="K261" i="555" a="1"/>
  <c r="J261" i="555"/>
  <c r="J261" i="555" a="1"/>
  <c r="H261" i="555"/>
  <c r="V260" i="555"/>
  <c r="W260" i="555" s="1"/>
  <c r="N260" i="555"/>
  <c r="K260" i="555" a="1"/>
  <c r="K260" i="555" s="1"/>
  <c r="M260" i="555" s="1"/>
  <c r="J260" i="555" a="1"/>
  <c r="J260" i="555" s="1"/>
  <c r="H260" i="555"/>
  <c r="W259" i="555"/>
  <c r="V259" i="555"/>
  <c r="N259" i="555"/>
  <c r="K259" i="555" a="1"/>
  <c r="K259" i="555" s="1"/>
  <c r="M259" i="555" s="1"/>
  <c r="J259" i="555" a="1"/>
  <c r="J259" i="555" s="1"/>
  <c r="H259" i="555"/>
  <c r="V258" i="555"/>
  <c r="W258" i="555" s="1"/>
  <c r="N258" i="555"/>
  <c r="K258" i="555" a="1"/>
  <c r="K258" i="555" s="1"/>
  <c r="J258" i="555" a="1"/>
  <c r="J258" i="555" s="1"/>
  <c r="H258" i="555"/>
  <c r="H292" i="555" s="1"/>
  <c r="AA257" i="555"/>
  <c r="Z257" i="555"/>
  <c r="Y257" i="555"/>
  <c r="X257" i="555"/>
  <c r="U257" i="555"/>
  <c r="T257" i="555"/>
  <c r="S257" i="555"/>
  <c r="R257" i="555"/>
  <c r="Q257" i="555"/>
  <c r="P257" i="555"/>
  <c r="O257" i="555"/>
  <c r="R338" i="555" s="1"/>
  <c r="I257" i="555"/>
  <c r="G257" i="555"/>
  <c r="H256" i="555"/>
  <c r="H255" i="555"/>
  <c r="H254" i="555"/>
  <c r="H253" i="555"/>
  <c r="H252" i="555"/>
  <c r="H251" i="555"/>
  <c r="K250" i="555" a="1"/>
  <c r="K250" i="555" s="1"/>
  <c r="M250" i="555" s="1"/>
  <c r="H250" i="555"/>
  <c r="K249" i="555"/>
  <c r="M249" i="555" s="1"/>
  <c r="K249" i="555" a="1"/>
  <c r="H249" i="555"/>
  <c r="K248" i="555" a="1"/>
  <c r="K248" i="555" s="1"/>
  <c r="M248" i="555" s="1"/>
  <c r="H248" i="555"/>
  <c r="K247" i="555"/>
  <c r="M247" i="555" s="1"/>
  <c r="K247" i="555" a="1"/>
  <c r="H247" i="555"/>
  <c r="V246" i="555"/>
  <c r="W246" i="555" s="1"/>
  <c r="N246" i="555"/>
  <c r="K246" i="555" a="1"/>
  <c r="K246" i="555" s="1"/>
  <c r="M246" i="555" s="1"/>
  <c r="J246" i="555" a="1"/>
  <c r="J246" i="555" s="1"/>
  <c r="H246" i="555"/>
  <c r="V245" i="555"/>
  <c r="W245" i="555" s="1"/>
  <c r="N245" i="555"/>
  <c r="K245" i="555"/>
  <c r="M245" i="555" s="1"/>
  <c r="K245" i="555" a="1"/>
  <c r="J245" i="555"/>
  <c r="J245" i="555" a="1"/>
  <c r="H245" i="555"/>
  <c r="V244" i="555"/>
  <c r="W244" i="555" s="1"/>
  <c r="N244" i="555"/>
  <c r="K244" i="555" a="1"/>
  <c r="K244" i="555" s="1"/>
  <c r="M244" i="555" s="1"/>
  <c r="J244" i="555" a="1"/>
  <c r="J244" i="555" s="1"/>
  <c r="H244" i="555"/>
  <c r="W243" i="555"/>
  <c r="V243" i="555"/>
  <c r="N243" i="555"/>
  <c r="K243" i="555" a="1"/>
  <c r="K243" i="555" s="1"/>
  <c r="M243" i="555" s="1"/>
  <c r="J243" i="555" a="1"/>
  <c r="J243" i="555" s="1"/>
  <c r="H243" i="555"/>
  <c r="M242" i="555"/>
  <c r="H242" i="555"/>
  <c r="V241" i="555"/>
  <c r="W241" i="555" s="1"/>
  <c r="N241" i="555"/>
  <c r="K241" i="555" a="1"/>
  <c r="K241" i="555" s="1"/>
  <c r="M241" i="555" s="1"/>
  <c r="J241" i="555" a="1"/>
  <c r="J241" i="555" s="1"/>
  <c r="H241" i="555"/>
  <c r="V240" i="555"/>
  <c r="W240" i="555" s="1"/>
  <c r="N240" i="555"/>
  <c r="K240" i="555"/>
  <c r="M240" i="555" s="1"/>
  <c r="K240" i="555" a="1"/>
  <c r="J240" i="555"/>
  <c r="J240" i="555" a="1"/>
  <c r="H240" i="555"/>
  <c r="K239" i="555" a="1"/>
  <c r="K239" i="555" s="1"/>
  <c r="M239" i="555" s="1"/>
  <c r="H239" i="555"/>
  <c r="H238" i="555"/>
  <c r="V237" i="555"/>
  <c r="W237" i="555" s="1"/>
  <c r="N237" i="555"/>
  <c r="K237" i="555"/>
  <c r="M237" i="555" s="1"/>
  <c r="K237" i="555" a="1"/>
  <c r="J237" i="555"/>
  <c r="J237" i="555" a="1"/>
  <c r="H237" i="555"/>
  <c r="V236" i="555"/>
  <c r="W236" i="555" s="1"/>
  <c r="N236" i="555"/>
  <c r="K236" i="555" a="1"/>
  <c r="K236" i="555" s="1"/>
  <c r="M236" i="555" s="1"/>
  <c r="J236" i="555" a="1"/>
  <c r="J236" i="555" s="1"/>
  <c r="H236" i="555"/>
  <c r="V235" i="555"/>
  <c r="W235" i="555" s="1"/>
  <c r="N235" i="555"/>
  <c r="K235" i="555"/>
  <c r="M235" i="555" s="1"/>
  <c r="K235" i="555" a="1"/>
  <c r="J235" i="555"/>
  <c r="J235" i="555" a="1"/>
  <c r="H235" i="555"/>
  <c r="V234" i="555"/>
  <c r="W234" i="555" s="1"/>
  <c r="N234" i="555"/>
  <c r="K234" i="555" a="1"/>
  <c r="K234" i="555" s="1"/>
  <c r="M234" i="555" s="1"/>
  <c r="J234" i="555" a="1"/>
  <c r="J234" i="555" s="1"/>
  <c r="H234" i="555"/>
  <c r="W233" i="555"/>
  <c r="V233" i="555"/>
  <c r="N233" i="555"/>
  <c r="K233" i="555" a="1"/>
  <c r="K233" i="555" s="1"/>
  <c r="M233" i="555" s="1"/>
  <c r="J233" i="555" a="1"/>
  <c r="J233" i="555" s="1"/>
  <c r="H233" i="555"/>
  <c r="V232" i="555"/>
  <c r="W232" i="555" s="1"/>
  <c r="N232" i="555"/>
  <c r="K232" i="555" a="1"/>
  <c r="K232" i="555" s="1"/>
  <c r="M232" i="555" s="1"/>
  <c r="J232" i="555" a="1"/>
  <c r="J232" i="555" s="1"/>
  <c r="H232" i="555"/>
  <c r="V231" i="555"/>
  <c r="W231" i="555" s="1"/>
  <c r="N231" i="555"/>
  <c r="K231" i="555"/>
  <c r="M231" i="555" s="1"/>
  <c r="K231" i="555" a="1"/>
  <c r="J231" i="555"/>
  <c r="J231" i="555" a="1"/>
  <c r="H231" i="555"/>
  <c r="V230" i="555"/>
  <c r="W230" i="555" s="1"/>
  <c r="N230" i="555"/>
  <c r="K230" i="555" a="1"/>
  <c r="K230" i="555" s="1"/>
  <c r="M230" i="555" s="1"/>
  <c r="J230" i="555" a="1"/>
  <c r="J230" i="555" s="1"/>
  <c r="H230" i="555"/>
  <c r="W229" i="555"/>
  <c r="V229" i="555"/>
  <c r="N229" i="555"/>
  <c r="K229" i="555" a="1"/>
  <c r="K229" i="555" s="1"/>
  <c r="M229" i="555" s="1"/>
  <c r="J229" i="555" a="1"/>
  <c r="J229" i="555" s="1"/>
  <c r="H229" i="555"/>
  <c r="V228" i="555"/>
  <c r="W228" i="555" s="1"/>
  <c r="N228" i="555"/>
  <c r="K228" i="555" a="1"/>
  <c r="K228" i="555" s="1"/>
  <c r="M228" i="555" s="1"/>
  <c r="J228" i="555" a="1"/>
  <c r="J228" i="555" s="1"/>
  <c r="H228" i="555"/>
  <c r="N227" i="555"/>
  <c r="K227" i="555"/>
  <c r="M227" i="555" s="1"/>
  <c r="K227" i="555" a="1"/>
  <c r="H227" i="555"/>
  <c r="N226" i="555"/>
  <c r="K226" i="555" a="1"/>
  <c r="K226" i="555" s="1"/>
  <c r="M226" i="555" s="1"/>
  <c r="H226" i="555"/>
  <c r="N225" i="555"/>
  <c r="K225" i="555" a="1"/>
  <c r="K225" i="555" s="1"/>
  <c r="M225" i="555" s="1"/>
  <c r="H225" i="555"/>
  <c r="N224" i="555"/>
  <c r="K224" i="555" a="1"/>
  <c r="K224" i="555" s="1"/>
  <c r="M224" i="555" s="1"/>
  <c r="H224" i="555"/>
  <c r="N223" i="555"/>
  <c r="K223" i="555"/>
  <c r="M223" i="555" s="1"/>
  <c r="K223" i="555" a="1"/>
  <c r="H223" i="555"/>
  <c r="N222" i="555"/>
  <c r="K222" i="555" a="1"/>
  <c r="K222" i="555" s="1"/>
  <c r="M222" i="555" s="1"/>
  <c r="H222" i="555"/>
  <c r="N221" i="555"/>
  <c r="K221" i="555" a="1"/>
  <c r="K221" i="555" s="1"/>
  <c r="M221" i="555" s="1"/>
  <c r="H221" i="555"/>
  <c r="N220" i="555"/>
  <c r="K220" i="555" a="1"/>
  <c r="K220" i="555" s="1"/>
  <c r="M220" i="555" s="1"/>
  <c r="H220" i="555"/>
  <c r="V219" i="555"/>
  <c r="W219" i="555" s="1"/>
  <c r="N219" i="555"/>
  <c r="K219" i="555"/>
  <c r="M219" i="555" s="1"/>
  <c r="K219" i="555" a="1"/>
  <c r="J219" i="555"/>
  <c r="J219" i="555" a="1"/>
  <c r="H219" i="555"/>
  <c r="V218" i="555"/>
  <c r="W218" i="555" s="1"/>
  <c r="N218" i="555"/>
  <c r="K218" i="555" a="1"/>
  <c r="K218" i="555" s="1"/>
  <c r="M218" i="555" s="1"/>
  <c r="J218" i="555" a="1"/>
  <c r="J218" i="555" s="1"/>
  <c r="H218" i="555"/>
  <c r="V217" i="555"/>
  <c r="W217" i="555" s="1"/>
  <c r="N217" i="555"/>
  <c r="K217" i="555" a="1"/>
  <c r="K217" i="555" s="1"/>
  <c r="M217" i="555" s="1"/>
  <c r="J217" i="555" a="1"/>
  <c r="J217" i="555" s="1"/>
  <c r="H217" i="555"/>
  <c r="V216" i="555"/>
  <c r="W216" i="555" s="1"/>
  <c r="N216" i="555"/>
  <c r="K216" i="555" a="1"/>
  <c r="K216" i="555" s="1"/>
  <c r="M216" i="555" s="1"/>
  <c r="J216" i="555" a="1"/>
  <c r="J216" i="555" s="1"/>
  <c r="H216" i="555"/>
  <c r="V215" i="555"/>
  <c r="W215" i="555" s="1"/>
  <c r="N215" i="555"/>
  <c r="K215" i="555"/>
  <c r="M215" i="555" s="1"/>
  <c r="K215" i="555" a="1"/>
  <c r="J215" i="555"/>
  <c r="J215" i="555" a="1"/>
  <c r="H215" i="555"/>
  <c r="V214" i="555"/>
  <c r="W214" i="555" s="1"/>
  <c r="N214" i="555"/>
  <c r="K214" i="555" a="1"/>
  <c r="K214" i="555" s="1"/>
  <c r="M214" i="555" s="1"/>
  <c r="J214" i="555" a="1"/>
  <c r="J214" i="555" s="1"/>
  <c r="H214" i="555"/>
  <c r="V213" i="555"/>
  <c r="W213" i="555" s="1"/>
  <c r="N213" i="555"/>
  <c r="K213" i="555" a="1"/>
  <c r="K213" i="555" s="1"/>
  <c r="M213" i="555" s="1"/>
  <c r="J213" i="555" a="1"/>
  <c r="J213" i="555" s="1"/>
  <c r="H213" i="555"/>
  <c r="V212" i="555"/>
  <c r="W212" i="555" s="1"/>
  <c r="N212" i="555"/>
  <c r="K212" i="555" a="1"/>
  <c r="K212" i="555" s="1"/>
  <c r="M212" i="555" s="1"/>
  <c r="J212" i="555" a="1"/>
  <c r="J212" i="555" s="1"/>
  <c r="H212" i="555"/>
  <c r="V211" i="555"/>
  <c r="W211" i="555" s="1"/>
  <c r="N211" i="555"/>
  <c r="K211" i="555"/>
  <c r="M211" i="555" s="1"/>
  <c r="K211" i="555" a="1"/>
  <c r="J211" i="555"/>
  <c r="J211" i="555" a="1"/>
  <c r="H211" i="555"/>
  <c r="V210" i="555"/>
  <c r="W210" i="555" s="1"/>
  <c r="N210" i="555"/>
  <c r="K210" i="555" a="1"/>
  <c r="K210" i="555" s="1"/>
  <c r="M210" i="555" s="1"/>
  <c r="J210" i="555" a="1"/>
  <c r="J210" i="555" s="1"/>
  <c r="H210" i="555"/>
  <c r="W209" i="555"/>
  <c r="V209" i="555"/>
  <c r="N209" i="555"/>
  <c r="K209" i="555" a="1"/>
  <c r="K209" i="555" s="1"/>
  <c r="M209" i="555" s="1"/>
  <c r="J209" i="555" a="1"/>
  <c r="J209" i="555" s="1"/>
  <c r="H209" i="555"/>
  <c r="V208" i="555"/>
  <c r="W208" i="555" s="1"/>
  <c r="N208" i="555"/>
  <c r="K208" i="555" a="1"/>
  <c r="K208" i="555" s="1"/>
  <c r="M208" i="555" s="1"/>
  <c r="J208" i="555" a="1"/>
  <c r="J208" i="555" s="1"/>
  <c r="H208" i="555"/>
  <c r="H207" i="555"/>
  <c r="H206" i="555"/>
  <c r="H205" i="555"/>
  <c r="V204" i="555"/>
  <c r="W204" i="555" s="1"/>
  <c r="N204" i="555"/>
  <c r="K204" i="555" a="1"/>
  <c r="K204" i="555" s="1"/>
  <c r="M204" i="555" s="1"/>
  <c r="J204" i="555" a="1"/>
  <c r="J204" i="555" s="1"/>
  <c r="H204" i="555"/>
  <c r="V203" i="555"/>
  <c r="W203" i="555" s="1"/>
  <c r="N203" i="555"/>
  <c r="K203" i="555"/>
  <c r="M203" i="555" s="1"/>
  <c r="K203" i="555" a="1"/>
  <c r="J203" i="555"/>
  <c r="J203" i="555" a="1"/>
  <c r="H203" i="555"/>
  <c r="V202" i="555"/>
  <c r="W202" i="555" s="1"/>
  <c r="N202" i="555"/>
  <c r="K202" i="555" a="1"/>
  <c r="K202" i="555" s="1"/>
  <c r="M202" i="555" s="1"/>
  <c r="J202" i="555" a="1"/>
  <c r="J202" i="555" s="1"/>
  <c r="H202" i="555"/>
  <c r="H201" i="555"/>
  <c r="V200" i="555"/>
  <c r="N200" i="555"/>
  <c r="K200" i="555" a="1"/>
  <c r="K200" i="555" s="1"/>
  <c r="J200" i="555" a="1"/>
  <c r="J200" i="555" s="1"/>
  <c r="H200" i="555"/>
  <c r="AA199" i="555"/>
  <c r="AA335" i="555" s="1"/>
  <c r="Z199" i="555"/>
  <c r="Z335" i="555" s="1"/>
  <c r="Y199" i="555"/>
  <c r="Y335" i="555" s="1"/>
  <c r="X199" i="555"/>
  <c r="X335" i="555" s="1"/>
  <c r="U199" i="555"/>
  <c r="U335" i="555" s="1"/>
  <c r="T199" i="555"/>
  <c r="T335" i="555" s="1"/>
  <c r="S199" i="555"/>
  <c r="S335" i="555" s="1"/>
  <c r="R199" i="555"/>
  <c r="R335" i="555" s="1"/>
  <c r="Q199" i="555"/>
  <c r="Q335" i="555" s="1"/>
  <c r="P199" i="555"/>
  <c r="O199" i="555"/>
  <c r="I199" i="555"/>
  <c r="I335" i="555" s="1"/>
  <c r="B343" i="555" s="1"/>
  <c r="G199" i="555"/>
  <c r="G335" i="555" s="1"/>
  <c r="V198" i="555"/>
  <c r="W198" i="555" s="1"/>
  <c r="N198" i="555"/>
  <c r="K198" i="555" a="1"/>
  <c r="K198" i="555" s="1"/>
  <c r="M198" i="555" s="1"/>
  <c r="J198" i="555" a="1"/>
  <c r="J198" i="555" s="1"/>
  <c r="H198" i="555"/>
  <c r="V197" i="555"/>
  <c r="W197" i="555" s="1"/>
  <c r="N197" i="555"/>
  <c r="K197" i="555"/>
  <c r="M197" i="555" s="1"/>
  <c r="K197" i="555" a="1"/>
  <c r="J197" i="555"/>
  <c r="J197" i="555" a="1"/>
  <c r="H197" i="555"/>
  <c r="K196" i="555" a="1"/>
  <c r="K196" i="555" s="1"/>
  <c r="M196" i="555" s="1"/>
  <c r="H196" i="555"/>
  <c r="K195" i="555" a="1"/>
  <c r="K195" i="555" s="1"/>
  <c r="M195" i="555" s="1"/>
  <c r="H195" i="555"/>
  <c r="K194" i="555" a="1"/>
  <c r="K194" i="555" s="1"/>
  <c r="M194" i="555" s="1"/>
  <c r="H194" i="555"/>
  <c r="K193" i="555"/>
  <c r="M193" i="555" s="1"/>
  <c r="K193" i="555" a="1"/>
  <c r="H193" i="555"/>
  <c r="V192" i="555"/>
  <c r="W192" i="555" s="1"/>
  <c r="N192" i="555"/>
  <c r="K192" i="555" a="1"/>
  <c r="K192" i="555" s="1"/>
  <c r="M192" i="555" s="1"/>
  <c r="J192" i="555" a="1"/>
  <c r="J192" i="555" s="1"/>
  <c r="H192" i="555"/>
  <c r="W191" i="555"/>
  <c r="V191" i="555"/>
  <c r="N191" i="555"/>
  <c r="K191" i="555" a="1"/>
  <c r="K191" i="555" s="1"/>
  <c r="M191" i="555" s="1"/>
  <c r="J191" i="555" a="1"/>
  <c r="J191" i="555" s="1"/>
  <c r="H191" i="555"/>
  <c r="V190" i="555"/>
  <c r="W190" i="555" s="1"/>
  <c r="N190" i="555"/>
  <c r="K190" i="555" a="1"/>
  <c r="K190" i="555" s="1"/>
  <c r="M190" i="555" s="1"/>
  <c r="J190" i="555" a="1"/>
  <c r="J190" i="555" s="1"/>
  <c r="H190" i="555"/>
  <c r="N189" i="555"/>
  <c r="K189" i="555" a="1"/>
  <c r="K189" i="555" s="1"/>
  <c r="M189" i="555" s="1"/>
  <c r="J189" i="555" a="1"/>
  <c r="J189" i="555" s="1"/>
  <c r="H189" i="555"/>
  <c r="N188" i="555"/>
  <c r="K188" i="555" a="1"/>
  <c r="K188" i="555" s="1"/>
  <c r="M188" i="555" s="1"/>
  <c r="J188" i="555" a="1"/>
  <c r="J188" i="555" s="1"/>
  <c r="H188" i="555"/>
  <c r="W187" i="555"/>
  <c r="V187" i="555"/>
  <c r="N187" i="555"/>
  <c r="K187" i="555" a="1"/>
  <c r="K187" i="555" s="1"/>
  <c r="M187" i="555" s="1"/>
  <c r="J187" i="555" a="1"/>
  <c r="J187" i="555" s="1"/>
  <c r="H187" i="555"/>
  <c r="V186" i="555"/>
  <c r="W186" i="555" s="1"/>
  <c r="N186" i="555"/>
  <c r="K186" i="555" a="1"/>
  <c r="K186" i="555" s="1"/>
  <c r="M186" i="555" s="1"/>
  <c r="J186" i="555" a="1"/>
  <c r="J186" i="555" s="1"/>
  <c r="H186" i="555"/>
  <c r="N185" i="555"/>
  <c r="K185" i="555" a="1"/>
  <c r="K185" i="555" s="1"/>
  <c r="M185" i="555" s="1"/>
  <c r="H185" i="555"/>
  <c r="N184" i="555"/>
  <c r="K184" i="555" a="1"/>
  <c r="K184" i="555" s="1"/>
  <c r="M184" i="555" s="1"/>
  <c r="H184" i="555"/>
  <c r="V183" i="555"/>
  <c r="W183" i="555" s="1"/>
  <c r="N183" i="555"/>
  <c r="K183" i="555" a="1"/>
  <c r="K183" i="555" s="1"/>
  <c r="M183" i="555" s="1"/>
  <c r="J183" i="555" a="1"/>
  <c r="J183" i="555" s="1"/>
  <c r="H183" i="555"/>
  <c r="V182" i="555"/>
  <c r="W182" i="555" s="1"/>
  <c r="N182" i="555"/>
  <c r="K182" i="555" a="1"/>
  <c r="K182" i="555" s="1"/>
  <c r="M182" i="555" s="1"/>
  <c r="J182" i="555" a="1"/>
  <c r="J182" i="555" s="1"/>
  <c r="H182" i="555"/>
  <c r="V181" i="555"/>
  <c r="W181" i="555" s="1"/>
  <c r="N181" i="555"/>
  <c r="K181" i="555"/>
  <c r="M181" i="555" s="1"/>
  <c r="K181" i="555" a="1"/>
  <c r="J181" i="555"/>
  <c r="J181" i="555" a="1"/>
  <c r="H181" i="555"/>
  <c r="V180" i="555"/>
  <c r="W180" i="555" s="1"/>
  <c r="N180" i="555"/>
  <c r="K180" i="555" a="1"/>
  <c r="K180" i="555" s="1"/>
  <c r="M180" i="555" s="1"/>
  <c r="J180" i="555" a="1"/>
  <c r="J180" i="555" s="1"/>
  <c r="H180" i="555"/>
  <c r="W179" i="555"/>
  <c r="V179" i="555"/>
  <c r="N179" i="555"/>
  <c r="K179" i="555" a="1"/>
  <c r="K179" i="555" s="1"/>
  <c r="M179" i="555" s="1"/>
  <c r="J179" i="555" a="1"/>
  <c r="J179" i="555" s="1"/>
  <c r="H179" i="555"/>
  <c r="V178" i="555"/>
  <c r="V199" i="555" s="1"/>
  <c r="N178" i="555"/>
  <c r="K178" i="555" a="1"/>
  <c r="K178" i="555" s="1"/>
  <c r="J178" i="555" a="1"/>
  <c r="J178" i="555" s="1"/>
  <c r="H178" i="555"/>
  <c r="H199" i="555" s="1"/>
  <c r="X171" i="555"/>
  <c r="Q529" i="555" s="1"/>
  <c r="X170" i="555"/>
  <c r="Q528" i="555" s="1"/>
  <c r="G170" i="555"/>
  <c r="C170" i="555"/>
  <c r="X169" i="555"/>
  <c r="Q527" i="555" s="1"/>
  <c r="I169" i="555"/>
  <c r="E169" i="555"/>
  <c r="K169" i="555" s="1"/>
  <c r="M169" i="555" s="1"/>
  <c r="I168" i="555"/>
  <c r="E168" i="555"/>
  <c r="K168" i="555" s="1"/>
  <c r="M168" i="555" s="1"/>
  <c r="I167" i="555"/>
  <c r="E167" i="555"/>
  <c r="K167" i="555" s="1"/>
  <c r="M167" i="555" s="1"/>
  <c r="X166" i="555"/>
  <c r="Q524" i="555" s="1"/>
  <c r="I166" i="555"/>
  <c r="I170" i="555" s="1"/>
  <c r="E166" i="555"/>
  <c r="E170" i="555" s="1"/>
  <c r="AA163" i="555"/>
  <c r="Z163" i="555"/>
  <c r="Y163" i="555"/>
  <c r="X163" i="555"/>
  <c r="U163" i="555"/>
  <c r="T163" i="555"/>
  <c r="S163" i="555"/>
  <c r="R163" i="555"/>
  <c r="Q163" i="555"/>
  <c r="P163" i="555"/>
  <c r="O163" i="555"/>
  <c r="I163" i="555"/>
  <c r="G163" i="555"/>
  <c r="C529" i="555" s="1"/>
  <c r="H162" i="555"/>
  <c r="H161" i="555"/>
  <c r="H160" i="555"/>
  <c r="V159" i="555"/>
  <c r="W159" i="555" s="1"/>
  <c r="N159" i="555"/>
  <c r="K159" i="555"/>
  <c r="K159" i="555" a="1"/>
  <c r="J159" i="555" a="1"/>
  <c r="J159" i="555" s="1"/>
  <c r="H159" i="555"/>
  <c r="D159" i="555"/>
  <c r="V158" i="555"/>
  <c r="W158" i="555" s="1"/>
  <c r="N158" i="555"/>
  <c r="K158" i="555" a="1"/>
  <c r="K158" i="555" s="1"/>
  <c r="M158" i="555" s="1"/>
  <c r="J158" i="555" a="1"/>
  <c r="J158" i="555" s="1"/>
  <c r="H158" i="555"/>
  <c r="H157" i="555"/>
  <c r="H156" i="555"/>
  <c r="V155" i="555"/>
  <c r="W155" i="555" s="1"/>
  <c r="N155" i="555"/>
  <c r="K155" i="555" a="1"/>
  <c r="K155" i="555" s="1"/>
  <c r="M155" i="555" s="1"/>
  <c r="J155" i="555" a="1"/>
  <c r="J155" i="555" s="1"/>
  <c r="H155" i="555"/>
  <c r="V154" i="555"/>
  <c r="W154" i="555" s="1"/>
  <c r="N154" i="555"/>
  <c r="K154" i="555"/>
  <c r="M154" i="555" s="1"/>
  <c r="K154" i="555" a="1"/>
  <c r="J154" i="555" a="1"/>
  <c r="J154" i="555" s="1"/>
  <c r="H154" i="555"/>
  <c r="H153" i="555"/>
  <c r="V152" i="555"/>
  <c r="W152" i="555" s="1"/>
  <c r="N152" i="555"/>
  <c r="K152" i="555" a="1"/>
  <c r="K152" i="555" s="1"/>
  <c r="M152" i="555" s="1"/>
  <c r="J152" i="555" a="1"/>
  <c r="J152" i="555" s="1"/>
  <c r="H152" i="555"/>
  <c r="V151" i="555"/>
  <c r="W151" i="555" s="1"/>
  <c r="N151" i="555"/>
  <c r="K151" i="555" a="1"/>
  <c r="K151" i="555" s="1"/>
  <c r="M151" i="555" s="1"/>
  <c r="J151" i="555" a="1"/>
  <c r="J151" i="555" s="1"/>
  <c r="H151" i="555"/>
  <c r="V150" i="555"/>
  <c r="W150" i="555" s="1"/>
  <c r="N150" i="555"/>
  <c r="K150" i="555"/>
  <c r="M150" i="555" s="1"/>
  <c r="K150" i="555" a="1"/>
  <c r="J150" i="555"/>
  <c r="J150" i="555" a="1"/>
  <c r="H150" i="555"/>
  <c r="V149" i="555"/>
  <c r="W149" i="555" s="1"/>
  <c r="N149" i="555"/>
  <c r="N163" i="555" s="1"/>
  <c r="K149" i="555" a="1"/>
  <c r="K149" i="555" s="1"/>
  <c r="J149" i="555" a="1"/>
  <c r="J149" i="555" s="1"/>
  <c r="H149" i="555"/>
  <c r="AA148" i="555"/>
  <c r="Z148" i="555"/>
  <c r="Y148" i="555"/>
  <c r="X148" i="555"/>
  <c r="U148" i="555"/>
  <c r="T148" i="555"/>
  <c r="S148" i="555"/>
  <c r="Q148" i="555"/>
  <c r="P148" i="555"/>
  <c r="O148" i="555"/>
  <c r="R170" i="555" s="1"/>
  <c r="I148" i="555"/>
  <c r="G148" i="555"/>
  <c r="C528" i="555" s="1"/>
  <c r="V147" i="555"/>
  <c r="W147" i="555" s="1"/>
  <c r="N147" i="555"/>
  <c r="K147" i="555"/>
  <c r="M147" i="555" s="1"/>
  <c r="K147" i="555" a="1"/>
  <c r="J147" i="555"/>
  <c r="J147" i="555" a="1"/>
  <c r="H147" i="555"/>
  <c r="K146" i="555" a="1"/>
  <c r="K146" i="555" s="1"/>
  <c r="H146" i="555"/>
  <c r="K145" i="555" a="1"/>
  <c r="K145" i="555" s="1"/>
  <c r="H145" i="555"/>
  <c r="K144" i="555" a="1"/>
  <c r="K144" i="555" s="1"/>
  <c r="H144" i="555"/>
  <c r="K143" i="555" a="1"/>
  <c r="K143" i="555" s="1"/>
  <c r="H143" i="555"/>
  <c r="W142" i="555"/>
  <c r="V142" i="555"/>
  <c r="N142" i="555"/>
  <c r="K142" i="555" a="1"/>
  <c r="K142" i="555" s="1"/>
  <c r="M142" i="555" s="1"/>
  <c r="J142" i="555" a="1"/>
  <c r="J142" i="555" s="1"/>
  <c r="H142" i="555"/>
  <c r="V141" i="555"/>
  <c r="W141" i="555" s="1"/>
  <c r="N141" i="555"/>
  <c r="K141" i="555"/>
  <c r="M141" i="555" s="1"/>
  <c r="K141" i="555" a="1"/>
  <c r="J141" i="555"/>
  <c r="J141" i="555" a="1"/>
  <c r="H141" i="555"/>
  <c r="V140" i="555"/>
  <c r="W140" i="555" s="1"/>
  <c r="N140" i="555"/>
  <c r="K140" i="555" a="1"/>
  <c r="K140" i="555" s="1"/>
  <c r="M140" i="555" s="1"/>
  <c r="J140" i="555" a="1"/>
  <c r="J140" i="555" s="1"/>
  <c r="H140" i="555"/>
  <c r="V139" i="555"/>
  <c r="W139" i="555" s="1"/>
  <c r="N139" i="555"/>
  <c r="K139" i="555" a="1"/>
  <c r="K139" i="555" s="1"/>
  <c r="M139" i="555" s="1"/>
  <c r="J139" i="555" a="1"/>
  <c r="J139" i="555" s="1"/>
  <c r="H139" i="555"/>
  <c r="V138" i="555"/>
  <c r="V148" i="555" s="1"/>
  <c r="W148" i="555" s="1"/>
  <c r="N138" i="555"/>
  <c r="N148" i="555" s="1"/>
  <c r="K138" i="555" a="1"/>
  <c r="K138" i="555" s="1"/>
  <c r="J138" i="555" a="1"/>
  <c r="J138" i="555" s="1"/>
  <c r="H138" i="555"/>
  <c r="H148" i="555" s="1"/>
  <c r="AA137" i="555"/>
  <c r="Z137" i="555"/>
  <c r="Y137" i="555"/>
  <c r="X137" i="555"/>
  <c r="U137" i="555"/>
  <c r="T137" i="555"/>
  <c r="S137" i="555"/>
  <c r="Q137" i="555"/>
  <c r="P137" i="555"/>
  <c r="O137" i="555"/>
  <c r="R169" i="555" s="1"/>
  <c r="I137" i="555"/>
  <c r="G137" i="555"/>
  <c r="C527" i="555" s="1"/>
  <c r="V136" i="555"/>
  <c r="W136" i="555" s="1"/>
  <c r="N136" i="555"/>
  <c r="K136" i="555" a="1"/>
  <c r="K136" i="555" s="1"/>
  <c r="M136" i="555" s="1"/>
  <c r="J136" i="555" a="1"/>
  <c r="J136" i="555" s="1"/>
  <c r="H136" i="555"/>
  <c r="V135" i="555"/>
  <c r="W135" i="555" s="1"/>
  <c r="N135" i="555"/>
  <c r="K135" i="555" a="1"/>
  <c r="K135" i="555" s="1"/>
  <c r="M135" i="555" s="1"/>
  <c r="J135" i="555" a="1"/>
  <c r="J135" i="555" s="1"/>
  <c r="H135" i="555"/>
  <c r="V134" i="555"/>
  <c r="W134" i="555" s="1"/>
  <c r="N134" i="555"/>
  <c r="K134" i="555"/>
  <c r="M134" i="555" s="1"/>
  <c r="K134" i="555" a="1"/>
  <c r="J134" i="555" a="1"/>
  <c r="J134" i="555" s="1"/>
  <c r="H134" i="555"/>
  <c r="W133" i="555"/>
  <c r="V133" i="555"/>
  <c r="N133" i="555"/>
  <c r="K133" i="555" a="1"/>
  <c r="K133" i="555" s="1"/>
  <c r="M133" i="555" s="1"/>
  <c r="J133" i="555" a="1"/>
  <c r="J133" i="555" s="1"/>
  <c r="H133" i="555"/>
  <c r="V132" i="555"/>
  <c r="W132" i="555" s="1"/>
  <c r="N132" i="555"/>
  <c r="K132" i="555"/>
  <c r="M132" i="555" s="1"/>
  <c r="K132" i="555" a="1"/>
  <c r="J132" i="555" a="1"/>
  <c r="J132" i="555" s="1"/>
  <c r="H132" i="555"/>
  <c r="W131" i="555"/>
  <c r="V131" i="555"/>
  <c r="N131" i="555"/>
  <c r="K131" i="555" a="1"/>
  <c r="K131" i="555" s="1"/>
  <c r="M131" i="555" s="1"/>
  <c r="J131" i="555" a="1"/>
  <c r="J131" i="555" s="1"/>
  <c r="H131" i="555"/>
  <c r="V130" i="555"/>
  <c r="W130" i="555" s="1"/>
  <c r="N130" i="555"/>
  <c r="K130" i="555"/>
  <c r="M130" i="555" s="1"/>
  <c r="K130" i="555" a="1"/>
  <c r="J130" i="555" a="1"/>
  <c r="J130" i="555" s="1"/>
  <c r="H130" i="555"/>
  <c r="W129" i="555"/>
  <c r="V129" i="555"/>
  <c r="N129" i="555"/>
  <c r="K129" i="555" a="1"/>
  <c r="K129" i="555" s="1"/>
  <c r="M129" i="555" s="1"/>
  <c r="J129" i="555" a="1"/>
  <c r="J129" i="555" s="1"/>
  <c r="H129" i="555"/>
  <c r="V128" i="555"/>
  <c r="W128" i="555" s="1"/>
  <c r="N128" i="555"/>
  <c r="K128" i="555"/>
  <c r="M128" i="555" s="1"/>
  <c r="K128" i="555" a="1"/>
  <c r="J128" i="555" a="1"/>
  <c r="J128" i="555" s="1"/>
  <c r="H128" i="555"/>
  <c r="W127" i="555"/>
  <c r="V127" i="555"/>
  <c r="N127" i="555"/>
  <c r="K127" i="555" a="1"/>
  <c r="K127" i="555" s="1"/>
  <c r="M127" i="555" s="1"/>
  <c r="J127" i="555" a="1"/>
  <c r="J127" i="555" s="1"/>
  <c r="H127" i="555"/>
  <c r="V126" i="555"/>
  <c r="W126" i="555" s="1"/>
  <c r="N126" i="555"/>
  <c r="K126" i="555"/>
  <c r="M126" i="555" s="1"/>
  <c r="K126" i="555" a="1"/>
  <c r="J126" i="555" a="1"/>
  <c r="J126" i="555" s="1"/>
  <c r="H126" i="555"/>
  <c r="W125" i="555"/>
  <c r="V125" i="555"/>
  <c r="N125" i="555"/>
  <c r="K125" i="555" a="1"/>
  <c r="K125" i="555" s="1"/>
  <c r="M125" i="555" s="1"/>
  <c r="J125" i="555" a="1"/>
  <c r="J125" i="555" s="1"/>
  <c r="H125" i="555"/>
  <c r="V124" i="555"/>
  <c r="W124" i="555" s="1"/>
  <c r="N124" i="555"/>
  <c r="K124" i="555"/>
  <c r="M124" i="555" s="1"/>
  <c r="K124" i="555" a="1"/>
  <c r="J124" i="555" a="1"/>
  <c r="J124" i="555" s="1"/>
  <c r="H124" i="555"/>
  <c r="W123" i="555"/>
  <c r="V123" i="555"/>
  <c r="N123" i="555"/>
  <c r="K123" i="555" a="1"/>
  <c r="K123" i="555" s="1"/>
  <c r="M123" i="555" s="1"/>
  <c r="J123" i="555" a="1"/>
  <c r="J123" i="555" s="1"/>
  <c r="H123" i="555"/>
  <c r="W122" i="555"/>
  <c r="V122" i="555"/>
  <c r="N122" i="555"/>
  <c r="N137" i="555" s="1"/>
  <c r="K122" i="555" a="1"/>
  <c r="K122" i="555" s="1"/>
  <c r="M122" i="555" s="1"/>
  <c r="J122" i="555" a="1"/>
  <c r="J122" i="555" s="1"/>
  <c r="H122" i="555"/>
  <c r="AA121" i="555"/>
  <c r="Z121" i="555"/>
  <c r="Y121" i="555"/>
  <c r="X121" i="555"/>
  <c r="U121" i="555"/>
  <c r="T121" i="555"/>
  <c r="S121" i="555"/>
  <c r="R121" i="555"/>
  <c r="Q121" i="555"/>
  <c r="P121" i="555"/>
  <c r="O121" i="555"/>
  <c r="R168" i="555" s="1"/>
  <c r="I121" i="555"/>
  <c r="G121" i="555"/>
  <c r="C526" i="555" s="1"/>
  <c r="V120" i="555"/>
  <c r="W120" i="555" s="1"/>
  <c r="N120" i="555"/>
  <c r="K120" i="555" a="1"/>
  <c r="K120" i="555" s="1"/>
  <c r="M120" i="555" s="1"/>
  <c r="J120" i="555" a="1"/>
  <c r="J120" i="555" s="1"/>
  <c r="H120" i="555"/>
  <c r="V119" i="555"/>
  <c r="W119" i="555" s="1"/>
  <c r="N119" i="555"/>
  <c r="K119" i="555" a="1"/>
  <c r="K119" i="555" s="1"/>
  <c r="M119" i="555" s="1"/>
  <c r="J119" i="555" a="1"/>
  <c r="J119" i="555" s="1"/>
  <c r="H119" i="555"/>
  <c r="V118" i="555"/>
  <c r="W118" i="555" s="1"/>
  <c r="N118" i="555"/>
  <c r="K118" i="555" a="1"/>
  <c r="K118" i="555" s="1"/>
  <c r="M118" i="555" s="1"/>
  <c r="J118" i="555" a="1"/>
  <c r="J118" i="555" s="1"/>
  <c r="H118" i="555"/>
  <c r="K117" i="555" a="1"/>
  <c r="K117" i="555" s="1"/>
  <c r="H117" i="555"/>
  <c r="K116" i="555" a="1"/>
  <c r="K116" i="555" s="1"/>
  <c r="H116" i="555"/>
  <c r="K115" i="555"/>
  <c r="K115" i="555" a="1"/>
  <c r="H115" i="555"/>
  <c r="V114" i="555"/>
  <c r="W114" i="555" s="1"/>
  <c r="N114" i="555"/>
  <c r="K114" i="555" a="1"/>
  <c r="K114" i="555" s="1"/>
  <c r="M114" i="555" s="1"/>
  <c r="J114" i="555" a="1"/>
  <c r="J114" i="555" s="1"/>
  <c r="H114" i="555"/>
  <c r="W113" i="555"/>
  <c r="V113" i="555"/>
  <c r="N113" i="555"/>
  <c r="K113" i="555" a="1"/>
  <c r="K113" i="555" s="1"/>
  <c r="M113" i="555" s="1"/>
  <c r="J113" i="555" a="1"/>
  <c r="J113" i="555" s="1"/>
  <c r="H113" i="555"/>
  <c r="N112" i="555"/>
  <c r="K112" i="555" a="1"/>
  <c r="K112" i="555" s="1"/>
  <c r="M112" i="555" s="1"/>
  <c r="H112" i="555"/>
  <c r="N111" i="555"/>
  <c r="K111" i="555"/>
  <c r="M111" i="555" s="1"/>
  <c r="K111" i="555" a="1"/>
  <c r="H111" i="555"/>
  <c r="N110" i="555"/>
  <c r="K110" i="555" a="1"/>
  <c r="K110" i="555" s="1"/>
  <c r="M110" i="555" s="1"/>
  <c r="H110" i="555"/>
  <c r="N109" i="555"/>
  <c r="K109" i="555" a="1"/>
  <c r="K109" i="555" s="1"/>
  <c r="M109" i="555" s="1"/>
  <c r="H109" i="555"/>
  <c r="N108" i="555"/>
  <c r="K108" i="555" a="1"/>
  <c r="K108" i="555" s="1"/>
  <c r="M108" i="555" s="1"/>
  <c r="H108" i="555"/>
  <c r="N107" i="555"/>
  <c r="K107" i="555" a="1"/>
  <c r="K107" i="555" s="1"/>
  <c r="M107" i="555" s="1"/>
  <c r="H107" i="555"/>
  <c r="V106" i="555"/>
  <c r="W106" i="555" s="1"/>
  <c r="N106" i="555"/>
  <c r="K106" i="555" a="1"/>
  <c r="K106" i="555" s="1"/>
  <c r="M106" i="555" s="1"/>
  <c r="J106" i="555" a="1"/>
  <c r="J106" i="555" s="1"/>
  <c r="H106" i="555"/>
  <c r="V105" i="555"/>
  <c r="W105" i="555" s="1"/>
  <c r="N105" i="555"/>
  <c r="K105" i="555"/>
  <c r="M105" i="555" s="1"/>
  <c r="K105" i="555" a="1"/>
  <c r="J105" i="555"/>
  <c r="J105" i="555" a="1"/>
  <c r="H105" i="555"/>
  <c r="V104" i="555"/>
  <c r="W104" i="555" s="1"/>
  <c r="N104" i="555"/>
  <c r="K104" i="555"/>
  <c r="M104" i="555" s="1"/>
  <c r="K104" i="555" a="1"/>
  <c r="J104" i="555" a="1"/>
  <c r="J104" i="555" s="1"/>
  <c r="H104" i="555"/>
  <c r="W103" i="555"/>
  <c r="V103" i="555"/>
  <c r="N103" i="555"/>
  <c r="K103" i="555" a="1"/>
  <c r="K103" i="555" s="1"/>
  <c r="M103" i="555" s="1"/>
  <c r="J103" i="555" a="1"/>
  <c r="J103" i="555" s="1"/>
  <c r="H103" i="555"/>
  <c r="V102" i="555"/>
  <c r="W102" i="555" s="1"/>
  <c r="N102" i="555"/>
  <c r="K102" i="555"/>
  <c r="M102" i="555" s="1"/>
  <c r="K102" i="555" a="1"/>
  <c r="J102" i="555" a="1"/>
  <c r="J102" i="555" s="1"/>
  <c r="H102" i="555"/>
  <c r="W101" i="555"/>
  <c r="V101" i="555"/>
  <c r="N101" i="555"/>
  <c r="K101" i="555" a="1"/>
  <c r="K101" i="555" s="1"/>
  <c r="M101" i="555" s="1"/>
  <c r="J101" i="555" a="1"/>
  <c r="J101" i="555" s="1"/>
  <c r="H101" i="555"/>
  <c r="V100" i="555"/>
  <c r="W100" i="555" s="1"/>
  <c r="N100" i="555"/>
  <c r="K100" i="555"/>
  <c r="M100" i="555" s="1"/>
  <c r="K100" i="555" a="1"/>
  <c r="J100" i="555" a="1"/>
  <c r="J100" i="555" s="1"/>
  <c r="H100" i="555"/>
  <c r="W99" i="555"/>
  <c r="V99" i="555"/>
  <c r="N99" i="555"/>
  <c r="K99" i="555" a="1"/>
  <c r="K99" i="555" s="1"/>
  <c r="M99" i="555" s="1"/>
  <c r="J99" i="555" a="1"/>
  <c r="J99" i="555" s="1"/>
  <c r="H99" i="555"/>
  <c r="W98" i="555"/>
  <c r="V98" i="555"/>
  <c r="N98" i="555"/>
  <c r="K98" i="555" a="1"/>
  <c r="K98" i="555" s="1"/>
  <c r="M98" i="555" s="1"/>
  <c r="J98" i="555" a="1"/>
  <c r="J98" i="555" s="1"/>
  <c r="H98" i="555"/>
  <c r="W97" i="555"/>
  <c r="V97" i="555"/>
  <c r="N97" i="555"/>
  <c r="K97" i="555" a="1"/>
  <c r="K97" i="555" s="1"/>
  <c r="M97" i="555" s="1"/>
  <c r="J97" i="555" a="1"/>
  <c r="J97" i="555" s="1"/>
  <c r="H97" i="555"/>
  <c r="V96" i="555"/>
  <c r="W96" i="555" s="1"/>
  <c r="N96" i="555"/>
  <c r="K96" i="555"/>
  <c r="M96" i="555" s="1"/>
  <c r="K96" i="555" a="1"/>
  <c r="J96" i="555"/>
  <c r="J96" i="555" a="1"/>
  <c r="H96" i="555"/>
  <c r="V95" i="555"/>
  <c r="W95" i="555" s="1"/>
  <c r="N95" i="555"/>
  <c r="K95" i="555" a="1"/>
  <c r="K95" i="555" s="1"/>
  <c r="M95" i="555" s="1"/>
  <c r="J95" i="555" a="1"/>
  <c r="J95" i="555" s="1"/>
  <c r="H95" i="555"/>
  <c r="K94" i="555" a="1"/>
  <c r="K94" i="555" s="1"/>
  <c r="M94" i="555" s="1"/>
  <c r="H94" i="555"/>
  <c r="W93" i="555"/>
  <c r="V93" i="555"/>
  <c r="N93" i="555"/>
  <c r="K93" i="555" a="1"/>
  <c r="K93" i="555" s="1"/>
  <c r="M93" i="555" s="1"/>
  <c r="J93" i="555" a="1"/>
  <c r="J93" i="555" s="1"/>
  <c r="H93" i="555"/>
  <c r="V92" i="555"/>
  <c r="W92" i="555" s="1"/>
  <c r="N92" i="555"/>
  <c r="K92" i="555" a="1"/>
  <c r="K92" i="555" s="1"/>
  <c r="M92" i="555" s="1"/>
  <c r="J92" i="555" a="1"/>
  <c r="J92" i="555" s="1"/>
  <c r="H92" i="555"/>
  <c r="V91" i="555"/>
  <c r="W91" i="555" s="1"/>
  <c r="N91" i="555"/>
  <c r="K91" i="555"/>
  <c r="M91" i="555" s="1"/>
  <c r="K91" i="555" a="1"/>
  <c r="J91" i="555"/>
  <c r="J91" i="555" a="1"/>
  <c r="H91" i="555"/>
  <c r="V90" i="555"/>
  <c r="W90" i="555" s="1"/>
  <c r="N90" i="555"/>
  <c r="K90" i="555" a="1"/>
  <c r="K90" i="555" s="1"/>
  <c r="M90" i="555" s="1"/>
  <c r="J90" i="555" a="1"/>
  <c r="J90" i="555" s="1"/>
  <c r="H90" i="555"/>
  <c r="W89" i="555"/>
  <c r="V89" i="555"/>
  <c r="N89" i="555"/>
  <c r="K89" i="555" a="1"/>
  <c r="K89" i="555" s="1"/>
  <c r="M89" i="555" s="1"/>
  <c r="J89" i="555" a="1"/>
  <c r="J89" i="555" s="1"/>
  <c r="H89" i="555"/>
  <c r="V88" i="555"/>
  <c r="W88" i="555" s="1"/>
  <c r="N88" i="555"/>
  <c r="K88" i="555" a="1"/>
  <c r="K88" i="555" s="1"/>
  <c r="M88" i="555" s="1"/>
  <c r="J88" i="555" a="1"/>
  <c r="J88" i="555" s="1"/>
  <c r="H88" i="555"/>
  <c r="V87" i="555"/>
  <c r="N87" i="555"/>
  <c r="K87" i="555"/>
  <c r="M87" i="555" s="1"/>
  <c r="K87" i="555" a="1"/>
  <c r="J87" i="555"/>
  <c r="J87" i="555" a="1"/>
  <c r="H87" i="555"/>
  <c r="AA86" i="555"/>
  <c r="Z86" i="555"/>
  <c r="Y86" i="555"/>
  <c r="X86" i="555"/>
  <c r="U86" i="555"/>
  <c r="T86" i="555"/>
  <c r="S86" i="555"/>
  <c r="R86" i="555"/>
  <c r="Q86" i="555"/>
  <c r="P86" i="555"/>
  <c r="O86" i="555"/>
  <c r="R167" i="555" s="1"/>
  <c r="I86" i="555"/>
  <c r="G86" i="555"/>
  <c r="C525" i="555" s="1"/>
  <c r="K85" i="555" a="1"/>
  <c r="K85" i="555" s="1"/>
  <c r="H85" i="555"/>
  <c r="K84" i="555" a="1"/>
  <c r="K84" i="555" s="1"/>
  <c r="H84" i="555"/>
  <c r="K83" i="555" a="1"/>
  <c r="K83" i="555" s="1"/>
  <c r="H83" i="555"/>
  <c r="K82" i="555"/>
  <c r="K82" i="555" a="1"/>
  <c r="H82" i="555"/>
  <c r="K81" i="555" a="1"/>
  <c r="K81" i="555" s="1"/>
  <c r="H81" i="555"/>
  <c r="K80" i="555" a="1"/>
  <c r="K80" i="555" s="1"/>
  <c r="H80" i="555"/>
  <c r="K79" i="555" a="1"/>
  <c r="K79" i="555" s="1"/>
  <c r="M79" i="555" s="1"/>
  <c r="H79" i="555"/>
  <c r="K78" i="555" a="1"/>
  <c r="K78" i="555" s="1"/>
  <c r="M78" i="555" s="1"/>
  <c r="H78" i="555"/>
  <c r="K77" i="555" a="1"/>
  <c r="K77" i="555" s="1"/>
  <c r="M77" i="555" s="1"/>
  <c r="H77" i="555"/>
  <c r="K76" i="555" a="1"/>
  <c r="K76" i="555" s="1"/>
  <c r="M76" i="555" s="1"/>
  <c r="H76" i="555"/>
  <c r="W75" i="555"/>
  <c r="V75" i="555"/>
  <c r="N75" i="555"/>
  <c r="K75" i="555" a="1"/>
  <c r="K75" i="555" s="1"/>
  <c r="M75" i="555" s="1"/>
  <c r="J75" i="555" a="1"/>
  <c r="J75" i="555" s="1"/>
  <c r="H75" i="555"/>
  <c r="V74" i="555"/>
  <c r="W74" i="555" s="1"/>
  <c r="N74" i="555"/>
  <c r="K74" i="555" a="1"/>
  <c r="K74" i="555" s="1"/>
  <c r="M74" i="555" s="1"/>
  <c r="J74" i="555" a="1"/>
  <c r="J74" i="555" s="1"/>
  <c r="H74" i="555"/>
  <c r="V73" i="555"/>
  <c r="W73" i="555" s="1"/>
  <c r="N73" i="555"/>
  <c r="K73" i="555"/>
  <c r="M73" i="555" s="1"/>
  <c r="K73" i="555" a="1"/>
  <c r="J73" i="555"/>
  <c r="J73" i="555" a="1"/>
  <c r="H73" i="555"/>
  <c r="V72" i="555"/>
  <c r="W72" i="555" s="1"/>
  <c r="N72" i="555"/>
  <c r="K72" i="555" a="1"/>
  <c r="K72" i="555" s="1"/>
  <c r="M72" i="555" s="1"/>
  <c r="J72" i="555" a="1"/>
  <c r="J72" i="555" s="1"/>
  <c r="H72" i="555"/>
  <c r="H71" i="555"/>
  <c r="V70" i="555"/>
  <c r="W70" i="555" s="1"/>
  <c r="N70" i="555"/>
  <c r="K70" i="555" a="1"/>
  <c r="K70" i="555" s="1"/>
  <c r="M70" i="555" s="1"/>
  <c r="J70" i="555" a="1"/>
  <c r="J70" i="555" s="1"/>
  <c r="H70" i="555"/>
  <c r="W69" i="555"/>
  <c r="V69" i="555"/>
  <c r="N69" i="555"/>
  <c r="K69" i="555" a="1"/>
  <c r="K69" i="555" s="1"/>
  <c r="M69" i="555" s="1"/>
  <c r="J69" i="555" a="1"/>
  <c r="J69" i="555" s="1"/>
  <c r="H69" i="555"/>
  <c r="K68" i="555" a="1"/>
  <c r="K68" i="555" s="1"/>
  <c r="H68" i="555"/>
  <c r="K67" i="555"/>
  <c r="K67" i="555" a="1"/>
  <c r="H67" i="555"/>
  <c r="V66" i="555"/>
  <c r="W66" i="555" s="1"/>
  <c r="N66" i="555"/>
  <c r="K66" i="555" a="1"/>
  <c r="K66" i="555" s="1"/>
  <c r="M66" i="555" s="1"/>
  <c r="J66" i="555" a="1"/>
  <c r="J66" i="555" s="1"/>
  <c r="H66" i="555"/>
  <c r="W65" i="555"/>
  <c r="V65" i="555"/>
  <c r="N65" i="555"/>
  <c r="K65" i="555" a="1"/>
  <c r="K65" i="555" s="1"/>
  <c r="M65" i="555" s="1"/>
  <c r="J65" i="555" a="1"/>
  <c r="J65" i="555" s="1"/>
  <c r="H65" i="555"/>
  <c r="V64" i="555"/>
  <c r="W64" i="555" s="1"/>
  <c r="N64" i="555"/>
  <c r="K64" i="555" a="1"/>
  <c r="K64" i="555" s="1"/>
  <c r="M64" i="555" s="1"/>
  <c r="J64" i="555" a="1"/>
  <c r="J64" i="555" s="1"/>
  <c r="H64" i="555"/>
  <c r="V63" i="555"/>
  <c r="W63" i="555" s="1"/>
  <c r="N63" i="555"/>
  <c r="K63" i="555" a="1"/>
  <c r="K63" i="555" s="1"/>
  <c r="M63" i="555" s="1"/>
  <c r="J63" i="555" a="1"/>
  <c r="J63" i="555" s="1"/>
  <c r="H63" i="555"/>
  <c r="V62" i="555"/>
  <c r="W62" i="555" s="1"/>
  <c r="N62" i="555"/>
  <c r="K62" i="555" a="1"/>
  <c r="K62" i="555" s="1"/>
  <c r="M62" i="555" s="1"/>
  <c r="J62" i="555" a="1"/>
  <c r="J62" i="555" s="1"/>
  <c r="H62" i="555"/>
  <c r="V61" i="555"/>
  <c r="W61" i="555" s="1"/>
  <c r="N61" i="555"/>
  <c r="K61" i="555"/>
  <c r="M61" i="555" s="1"/>
  <c r="K61" i="555" a="1"/>
  <c r="J61" i="555"/>
  <c r="J61" i="555" a="1"/>
  <c r="H61" i="555"/>
  <c r="V60" i="555"/>
  <c r="W60" i="555" s="1"/>
  <c r="N60" i="555"/>
  <c r="K60" i="555" a="1"/>
  <c r="K60" i="555" s="1"/>
  <c r="M60" i="555" s="1"/>
  <c r="J60" i="555" a="1"/>
  <c r="J60" i="555" s="1"/>
  <c r="H60" i="555"/>
  <c r="V59" i="555"/>
  <c r="W59" i="555" s="1"/>
  <c r="N59" i="555"/>
  <c r="K59" i="555" a="1"/>
  <c r="K59" i="555" s="1"/>
  <c r="M59" i="555" s="1"/>
  <c r="J59" i="555" a="1"/>
  <c r="J59" i="555" s="1"/>
  <c r="H59" i="555"/>
  <c r="V58" i="555"/>
  <c r="W58" i="555" s="1"/>
  <c r="N58" i="555"/>
  <c r="K58" i="555" a="1"/>
  <c r="K58" i="555" s="1"/>
  <c r="M58" i="555" s="1"/>
  <c r="J58" i="555" a="1"/>
  <c r="J58" i="555" s="1"/>
  <c r="H58" i="555"/>
  <c r="V57" i="555"/>
  <c r="W57" i="555" s="1"/>
  <c r="N57" i="555"/>
  <c r="K57" i="555"/>
  <c r="M57" i="555" s="1"/>
  <c r="K57" i="555" a="1"/>
  <c r="J57" i="555"/>
  <c r="J57" i="555" a="1"/>
  <c r="H57" i="555"/>
  <c r="K56" i="555" a="1"/>
  <c r="K56" i="555" s="1"/>
  <c r="M56" i="555" s="1"/>
  <c r="H56" i="555"/>
  <c r="K55" i="555"/>
  <c r="M55" i="555" s="1"/>
  <c r="K55" i="555" a="1"/>
  <c r="H55" i="555"/>
  <c r="K54" i="555" a="1"/>
  <c r="K54" i="555" s="1"/>
  <c r="M54" i="555" s="1"/>
  <c r="H54" i="555"/>
  <c r="K53" i="555" a="1"/>
  <c r="K53" i="555" s="1"/>
  <c r="M53" i="555" s="1"/>
  <c r="H53" i="555"/>
  <c r="N52" i="555"/>
  <c r="K52" i="555" a="1"/>
  <c r="K52" i="555" s="1"/>
  <c r="M52" i="555" s="1"/>
  <c r="H52" i="555"/>
  <c r="N51" i="555"/>
  <c r="K51" i="555" a="1"/>
  <c r="K51" i="555" s="1"/>
  <c r="M51" i="555" s="1"/>
  <c r="H51" i="555"/>
  <c r="N50" i="555"/>
  <c r="K50" i="555" a="1"/>
  <c r="K50" i="555" s="1"/>
  <c r="M50" i="555" s="1"/>
  <c r="H50" i="555"/>
  <c r="N49" i="555"/>
  <c r="K49" i="555" a="1"/>
  <c r="K49" i="555" s="1"/>
  <c r="M49" i="555" s="1"/>
  <c r="H49" i="555"/>
  <c r="W48" i="555"/>
  <c r="V48" i="555"/>
  <c r="N48" i="555"/>
  <c r="K48" i="555" a="1"/>
  <c r="K48" i="555" s="1"/>
  <c r="M48" i="555" s="1"/>
  <c r="J48" i="555" a="1"/>
  <c r="J48" i="555" s="1"/>
  <c r="H48" i="555"/>
  <c r="W47" i="555"/>
  <c r="V47" i="555"/>
  <c r="N47" i="555"/>
  <c r="K47" i="555" a="1"/>
  <c r="K47" i="555" s="1"/>
  <c r="M47" i="555" s="1"/>
  <c r="J47" i="555" a="1"/>
  <c r="J47" i="555" s="1"/>
  <c r="H47" i="555"/>
  <c r="V46" i="555"/>
  <c r="W46" i="555" s="1"/>
  <c r="N46" i="555"/>
  <c r="K46" i="555"/>
  <c r="M46" i="555" s="1"/>
  <c r="K46" i="555" a="1"/>
  <c r="J46" i="555" a="1"/>
  <c r="J46" i="555" s="1"/>
  <c r="H46" i="555"/>
  <c r="W45" i="555"/>
  <c r="V45" i="555"/>
  <c r="N45" i="555"/>
  <c r="K45" i="555" a="1"/>
  <c r="K45" i="555" s="1"/>
  <c r="M45" i="555" s="1"/>
  <c r="J45" i="555" a="1"/>
  <c r="J45" i="555" s="1"/>
  <c r="H45" i="555"/>
  <c r="V44" i="555"/>
  <c r="W44" i="555" s="1"/>
  <c r="N44" i="555"/>
  <c r="K44" i="555"/>
  <c r="M44" i="555" s="1"/>
  <c r="K44" i="555" a="1"/>
  <c r="J44" i="555" a="1"/>
  <c r="J44" i="555" s="1"/>
  <c r="H44" i="555"/>
  <c r="W43" i="555"/>
  <c r="V43" i="555"/>
  <c r="N43" i="555"/>
  <c r="K43" i="555" a="1"/>
  <c r="K43" i="555" s="1"/>
  <c r="M43" i="555" s="1"/>
  <c r="J43" i="555" a="1"/>
  <c r="J43" i="555" s="1"/>
  <c r="H43" i="555"/>
  <c r="V42" i="555"/>
  <c r="W42" i="555" s="1"/>
  <c r="N42" i="555"/>
  <c r="K42" i="555"/>
  <c r="M42" i="555" s="1"/>
  <c r="K42" i="555" a="1"/>
  <c r="J42" i="555" a="1"/>
  <c r="J42" i="555" s="1"/>
  <c r="H42" i="555"/>
  <c r="W41" i="555"/>
  <c r="V41" i="555"/>
  <c r="N41" i="555"/>
  <c r="K41" i="555" a="1"/>
  <c r="K41" i="555" s="1"/>
  <c r="M41" i="555" s="1"/>
  <c r="J41" i="555" a="1"/>
  <c r="J41" i="555" s="1"/>
  <c r="H41" i="555"/>
  <c r="V40" i="555"/>
  <c r="W40" i="555" s="1"/>
  <c r="N40" i="555"/>
  <c r="K40" i="555"/>
  <c r="M40" i="555" s="1"/>
  <c r="K40" i="555" a="1"/>
  <c r="J40" i="555" a="1"/>
  <c r="J40" i="555" s="1"/>
  <c r="H40" i="555"/>
  <c r="W39" i="555"/>
  <c r="V39" i="555"/>
  <c r="N39" i="555"/>
  <c r="K39" i="555" a="1"/>
  <c r="K39" i="555" s="1"/>
  <c r="M39" i="555" s="1"/>
  <c r="J39" i="555" a="1"/>
  <c r="J39" i="555" s="1"/>
  <c r="H39" i="555"/>
  <c r="V38" i="555"/>
  <c r="W38" i="555" s="1"/>
  <c r="N38" i="555"/>
  <c r="K38" i="555" a="1"/>
  <c r="K38" i="555" s="1"/>
  <c r="M38" i="555" s="1"/>
  <c r="J38" i="555" a="1"/>
  <c r="J38" i="555" s="1"/>
  <c r="H38" i="555"/>
  <c r="W37" i="555"/>
  <c r="V37" i="555"/>
  <c r="N37" i="555"/>
  <c r="K37" i="555" a="1"/>
  <c r="K37" i="555" s="1"/>
  <c r="M37" i="555" s="1"/>
  <c r="J37" i="555" a="1"/>
  <c r="J37" i="555" s="1"/>
  <c r="H37" i="555"/>
  <c r="H36" i="555"/>
  <c r="H35" i="555"/>
  <c r="H34" i="555"/>
  <c r="V33" i="555"/>
  <c r="W33" i="555" s="1"/>
  <c r="N33" i="555"/>
  <c r="K33" i="555" a="1"/>
  <c r="K33" i="555" s="1"/>
  <c r="M33" i="555" s="1"/>
  <c r="J33" i="555" a="1"/>
  <c r="J33" i="555" s="1"/>
  <c r="H33" i="555"/>
  <c r="V32" i="555"/>
  <c r="W32" i="555" s="1"/>
  <c r="N32" i="555"/>
  <c r="K32" i="555"/>
  <c r="M32" i="555" s="1"/>
  <c r="K32" i="555" a="1"/>
  <c r="J32" i="555" a="1"/>
  <c r="J32" i="555" s="1"/>
  <c r="H32" i="555"/>
  <c r="V31" i="555"/>
  <c r="W31" i="555" s="1"/>
  <c r="N31" i="555"/>
  <c r="K31" i="555" a="1"/>
  <c r="K31" i="555" s="1"/>
  <c r="M31" i="555" s="1"/>
  <c r="J31" i="555" a="1"/>
  <c r="J31" i="555" s="1"/>
  <c r="H31" i="555"/>
  <c r="K30" i="555" a="1"/>
  <c r="K30" i="555" s="1"/>
  <c r="H30" i="555"/>
  <c r="V29" i="555"/>
  <c r="V86" i="555" s="1"/>
  <c r="W86" i="555" s="1"/>
  <c r="N29" i="555"/>
  <c r="K29" i="555" a="1"/>
  <c r="K29" i="555" s="1"/>
  <c r="J29" i="555" a="1"/>
  <c r="J29" i="555" s="1"/>
  <c r="H29" i="555"/>
  <c r="H86" i="555" s="1"/>
  <c r="AA28" i="555"/>
  <c r="AA164" i="555" s="1"/>
  <c r="Z28" i="555"/>
  <c r="Z164" i="555" s="1"/>
  <c r="Y28" i="555"/>
  <c r="Y164" i="555" s="1"/>
  <c r="X28" i="555"/>
  <c r="X164" i="555" s="1"/>
  <c r="U28" i="555"/>
  <c r="U164" i="555" s="1"/>
  <c r="T28" i="555"/>
  <c r="T164" i="555" s="1"/>
  <c r="S28" i="555"/>
  <c r="S164" i="555" s="1"/>
  <c r="R28" i="555"/>
  <c r="R164" i="555" s="1"/>
  <c r="Q28" i="555"/>
  <c r="Q164" i="555" s="1"/>
  <c r="P28" i="555"/>
  <c r="X167" i="555" s="1"/>
  <c r="O28" i="555"/>
  <c r="O164" i="555" s="1"/>
  <c r="I28" i="555"/>
  <c r="I164" i="555" s="1"/>
  <c r="B172" i="555" s="1"/>
  <c r="G28" i="555"/>
  <c r="C524" i="555" s="1"/>
  <c r="V27" i="555"/>
  <c r="W27" i="555" s="1"/>
  <c r="N27" i="555"/>
  <c r="K27" i="555" a="1"/>
  <c r="K27" i="555" s="1"/>
  <c r="M27" i="555" s="1"/>
  <c r="J27" i="555" a="1"/>
  <c r="J27" i="555" s="1"/>
  <c r="H27" i="555"/>
  <c r="V26" i="555"/>
  <c r="W26" i="555" s="1"/>
  <c r="N26" i="555"/>
  <c r="K26" i="555"/>
  <c r="M26" i="555" s="1"/>
  <c r="K26" i="555" a="1"/>
  <c r="J26" i="555"/>
  <c r="J26" i="555" a="1"/>
  <c r="H26" i="555"/>
  <c r="K25" i="555" a="1"/>
  <c r="K25" i="555" s="1"/>
  <c r="M25" i="555" s="1"/>
  <c r="J25" i="555" a="1"/>
  <c r="J25" i="555" s="1"/>
  <c r="H25" i="555"/>
  <c r="K24" i="555" a="1"/>
  <c r="K24" i="555" s="1"/>
  <c r="M24" i="555" s="1"/>
  <c r="J24" i="555" a="1"/>
  <c r="J24" i="555" s="1"/>
  <c r="H24" i="555"/>
  <c r="K23" i="555" a="1"/>
  <c r="K23" i="555" s="1"/>
  <c r="M23" i="555" s="1"/>
  <c r="J23" i="555" a="1"/>
  <c r="J23" i="555" s="1"/>
  <c r="H23" i="555"/>
  <c r="K22" i="555" a="1"/>
  <c r="K22" i="555" s="1"/>
  <c r="M22" i="555" s="1"/>
  <c r="J22" i="555" a="1"/>
  <c r="J22" i="555" s="1"/>
  <c r="H22" i="555"/>
  <c r="V21" i="555"/>
  <c r="W21" i="555" s="1"/>
  <c r="N21" i="555"/>
  <c r="K21" i="555" a="1"/>
  <c r="K21" i="555" s="1"/>
  <c r="M21" i="555" s="1"/>
  <c r="J21" i="555" a="1"/>
  <c r="J21" i="555" s="1"/>
  <c r="H21" i="555"/>
  <c r="V20" i="555"/>
  <c r="W20" i="555" s="1"/>
  <c r="N20" i="555"/>
  <c r="K20" i="555" a="1"/>
  <c r="K20" i="555" s="1"/>
  <c r="M20" i="555" s="1"/>
  <c r="J20" i="555" a="1"/>
  <c r="J20" i="555" s="1"/>
  <c r="H20" i="555"/>
  <c r="W19" i="555"/>
  <c r="V19" i="555"/>
  <c r="N19" i="555"/>
  <c r="K19" i="555" a="1"/>
  <c r="K19" i="555" s="1"/>
  <c r="M19" i="555" s="1"/>
  <c r="J19" i="555" a="1"/>
  <c r="J19" i="555" s="1"/>
  <c r="H19" i="555"/>
  <c r="N18" i="555"/>
  <c r="K18" i="555" a="1"/>
  <c r="K18" i="555" s="1"/>
  <c r="M18" i="555" s="1"/>
  <c r="J18" i="555" a="1"/>
  <c r="J18" i="555" s="1"/>
  <c r="H18" i="555"/>
  <c r="N17" i="555"/>
  <c r="K17" i="555" a="1"/>
  <c r="K17" i="555" s="1"/>
  <c r="M17" i="555" s="1"/>
  <c r="J17" i="555" a="1"/>
  <c r="J17" i="555" s="1"/>
  <c r="H17" i="555"/>
  <c r="V16" i="555"/>
  <c r="W16" i="555" s="1"/>
  <c r="N16" i="555"/>
  <c r="K16" i="555" a="1"/>
  <c r="K16" i="555" s="1"/>
  <c r="M16" i="555" s="1"/>
  <c r="J16" i="555" a="1"/>
  <c r="J16" i="555" s="1"/>
  <c r="H16" i="555"/>
  <c r="W15" i="555"/>
  <c r="V15" i="555"/>
  <c r="N15" i="555"/>
  <c r="K15" i="555" a="1"/>
  <c r="K15" i="555" s="1"/>
  <c r="M15" i="555" s="1"/>
  <c r="J15" i="555" a="1"/>
  <c r="J15" i="555" s="1"/>
  <c r="H15" i="555"/>
  <c r="N14" i="555"/>
  <c r="K14" i="555" a="1"/>
  <c r="K14" i="555" s="1"/>
  <c r="M14" i="555" s="1"/>
  <c r="H14" i="555"/>
  <c r="N13" i="555"/>
  <c r="K13" i="555" a="1"/>
  <c r="K13" i="555" s="1"/>
  <c r="M13" i="555" s="1"/>
  <c r="H13" i="555"/>
  <c r="V12" i="555"/>
  <c r="W12" i="555" s="1"/>
  <c r="N12" i="555"/>
  <c r="K12" i="555" a="1"/>
  <c r="K12" i="555" s="1"/>
  <c r="M12" i="555" s="1"/>
  <c r="J12" i="555" a="1"/>
  <c r="J12" i="555" s="1"/>
  <c r="H12" i="555"/>
  <c r="V11" i="555"/>
  <c r="W11" i="555" s="1"/>
  <c r="N11" i="555"/>
  <c r="K11" i="555"/>
  <c r="M11" i="555" s="1"/>
  <c r="K11" i="555" a="1"/>
  <c r="J11" i="555"/>
  <c r="J11" i="555" a="1"/>
  <c r="H11" i="555"/>
  <c r="V10" i="555"/>
  <c r="W10" i="555" s="1"/>
  <c r="N10" i="555"/>
  <c r="K10" i="555" a="1"/>
  <c r="K10" i="555" s="1"/>
  <c r="M10" i="555" s="1"/>
  <c r="J10" i="555" a="1"/>
  <c r="J10" i="555" s="1"/>
  <c r="H10" i="555"/>
  <c r="V9" i="555"/>
  <c r="W9" i="555" s="1"/>
  <c r="N9" i="555"/>
  <c r="K9" i="555" a="1"/>
  <c r="K9" i="555" s="1"/>
  <c r="M9" i="555" s="1"/>
  <c r="J9" i="555" a="1"/>
  <c r="J9" i="555" s="1"/>
  <c r="H9" i="555"/>
  <c r="V8" i="555"/>
  <c r="W8" i="555" s="1"/>
  <c r="N8" i="555"/>
  <c r="K8" i="555" a="1"/>
  <c r="K8" i="555" s="1"/>
  <c r="M8" i="555" s="1"/>
  <c r="J8" i="555" a="1"/>
  <c r="J8" i="555" s="1"/>
  <c r="H8" i="555"/>
  <c r="V7" i="555"/>
  <c r="V28" i="555" s="1"/>
  <c r="N7" i="555"/>
  <c r="N28" i="555" s="1"/>
  <c r="K7" i="555" a="1"/>
  <c r="K7" i="555" s="1"/>
  <c r="M7" i="555" s="1"/>
  <c r="J7" i="555" a="1"/>
  <c r="J7" i="555" s="1"/>
  <c r="H7" i="555"/>
  <c r="H28" i="555" s="1"/>
  <c r="J292" i="555" l="1" a="1"/>
  <c r="J292" i="555" s="1"/>
  <c r="J308" i="555" a="1"/>
  <c r="J308" i="555" s="1"/>
  <c r="J257" i="555" a="1"/>
  <c r="J257" i="555" s="1"/>
  <c r="N319" i="555"/>
  <c r="N334" i="555"/>
  <c r="H319" i="555"/>
  <c r="H334" i="555"/>
  <c r="H308" i="555"/>
  <c r="M308" i="555"/>
  <c r="V308" i="555"/>
  <c r="W308" i="555" s="1"/>
  <c r="N292" i="555"/>
  <c r="V257" i="555"/>
  <c r="W257" i="555" s="1"/>
  <c r="N199" i="555"/>
  <c r="K292" i="555"/>
  <c r="H163" i="555"/>
  <c r="R171" i="555"/>
  <c r="J148" i="555" a="1"/>
  <c r="J148" i="555" s="1"/>
  <c r="H137" i="555"/>
  <c r="V137" i="555"/>
  <c r="H121" i="555"/>
  <c r="H164" i="555" s="1"/>
  <c r="E171" i="555" s="1"/>
  <c r="V121" i="555"/>
  <c r="W121" i="555" s="1"/>
  <c r="N121" i="555"/>
  <c r="W87" i="555"/>
  <c r="N86" i="555"/>
  <c r="N164" i="555" s="1"/>
  <c r="B173" i="555" s="1"/>
  <c r="E173" i="555" s="1"/>
  <c r="W7" i="555"/>
  <c r="M121" i="555"/>
  <c r="M28" i="555"/>
  <c r="M137" i="555"/>
  <c r="J163" i="555" a="1"/>
  <c r="J163" i="555" s="1"/>
  <c r="W137" i="555"/>
  <c r="J137" i="555" a="1"/>
  <c r="J137" i="555" s="1"/>
  <c r="M370" i="555"/>
  <c r="K428" i="555"/>
  <c r="H370" i="555"/>
  <c r="N370" i="555"/>
  <c r="W349" i="555"/>
  <c r="N428" i="555"/>
  <c r="W371" i="555"/>
  <c r="H463" i="555"/>
  <c r="K479" i="555"/>
  <c r="J479" i="555" a="1"/>
  <c r="J479" i="555" s="1"/>
  <c r="R512" i="555"/>
  <c r="W491" i="555"/>
  <c r="N479" i="555"/>
  <c r="K506" i="555"/>
  <c r="N463" i="555"/>
  <c r="N507" i="555"/>
  <c r="B516" i="555" s="1"/>
  <c r="E516" i="555" s="1"/>
  <c r="J463" i="555" a="1"/>
  <c r="J463" i="555" s="1"/>
  <c r="K526" i="555"/>
  <c r="K527" i="555"/>
  <c r="K148" i="555"/>
  <c r="M138" i="555"/>
  <c r="M148" i="555" s="1"/>
  <c r="K199" i="555"/>
  <c r="M178" i="555"/>
  <c r="M199" i="555" s="1"/>
  <c r="W28" i="555"/>
  <c r="C520" i="555"/>
  <c r="Q525" i="555"/>
  <c r="M29" i="555"/>
  <c r="M86" i="555" s="1"/>
  <c r="K86" i="555"/>
  <c r="K525" i="555"/>
  <c r="K528" i="555"/>
  <c r="K163" i="555"/>
  <c r="M149" i="555"/>
  <c r="M163" i="555" s="1"/>
  <c r="K529" i="555"/>
  <c r="K257" i="555"/>
  <c r="M200" i="555"/>
  <c r="M257" i="555" s="1"/>
  <c r="J28" i="555" a="1"/>
  <c r="J28" i="555" s="1"/>
  <c r="K28" i="555"/>
  <c r="W29" i="555"/>
  <c r="J86" i="555" a="1"/>
  <c r="J86" i="555" s="1"/>
  <c r="J121" i="555" a="1"/>
  <c r="J121" i="555" s="1"/>
  <c r="K121" i="555"/>
  <c r="K137" i="555"/>
  <c r="V163" i="555"/>
  <c r="W163" i="555" s="1"/>
  <c r="G164" i="555"/>
  <c r="P164" i="555"/>
  <c r="X168" i="555" s="1"/>
  <c r="X173" i="555" s="1"/>
  <c r="K166" i="555"/>
  <c r="R166" i="555"/>
  <c r="J335" i="555" a="1"/>
  <c r="J335" i="555" s="1"/>
  <c r="M342" i="555" s="1"/>
  <c r="B342" i="555"/>
  <c r="O335" i="555"/>
  <c r="R337" i="555"/>
  <c r="C530" i="555"/>
  <c r="E524" i="555" s="1"/>
  <c r="W138" i="555"/>
  <c r="W178" i="555"/>
  <c r="W199" i="555" s="1"/>
  <c r="J199" i="555" a="1"/>
  <c r="J199" i="555" s="1"/>
  <c r="X338" i="555"/>
  <c r="P335" i="555"/>
  <c r="X339" i="555" s="1"/>
  <c r="H257" i="555"/>
  <c r="H335" i="555" s="1"/>
  <c r="E342" i="555" s="1"/>
  <c r="N257" i="555"/>
  <c r="N335" i="555" s="1"/>
  <c r="B344" i="555" s="1"/>
  <c r="W200" i="555"/>
  <c r="M258" i="555"/>
  <c r="M292" i="555" s="1"/>
  <c r="K319" i="555"/>
  <c r="M309" i="555"/>
  <c r="M319" i="555" s="1"/>
  <c r="K334" i="555"/>
  <c r="M320" i="555"/>
  <c r="M334" i="555" s="1"/>
  <c r="W334" i="555"/>
  <c r="V292" i="555"/>
  <c r="W292" i="555" s="1"/>
  <c r="K308" i="555"/>
  <c r="V334" i="555"/>
  <c r="R339" i="555"/>
  <c r="R340" i="555"/>
  <c r="W309" i="555"/>
  <c r="R341" i="555"/>
  <c r="R342" i="555"/>
  <c r="H507" i="555"/>
  <c r="E514" i="555" s="1"/>
  <c r="W370" i="555"/>
  <c r="M463" i="555"/>
  <c r="K337" i="555"/>
  <c r="J370" i="555" a="1"/>
  <c r="J370" i="555" s="1"/>
  <c r="K370" i="555"/>
  <c r="V463" i="555"/>
  <c r="W463" i="555" s="1"/>
  <c r="M464" i="555"/>
  <c r="M479" i="555" s="1"/>
  <c r="W464" i="555"/>
  <c r="V479" i="555"/>
  <c r="W479" i="555" s="1"/>
  <c r="B514" i="555"/>
  <c r="J507" i="555" a="1"/>
  <c r="J507" i="555" s="1"/>
  <c r="M514" i="555" s="1"/>
  <c r="R509" i="555"/>
  <c r="X509" i="555"/>
  <c r="O507" i="555"/>
  <c r="X510" i="555" s="1"/>
  <c r="M371" i="555"/>
  <c r="M428" i="555" s="1"/>
  <c r="K463" i="555"/>
  <c r="V490" i="555"/>
  <c r="W490" i="555" s="1"/>
  <c r="W506" i="555"/>
  <c r="K509" i="555"/>
  <c r="R534" i="555"/>
  <c r="S534" i="555" a="1"/>
  <c r="S534" i="555" s="1"/>
  <c r="M480" i="555"/>
  <c r="M490" i="555" s="1"/>
  <c r="M491" i="555"/>
  <c r="M506" i="555" s="1"/>
  <c r="R514" i="555"/>
  <c r="J536" i="555"/>
  <c r="Q533" i="555"/>
  <c r="R535" i="555"/>
  <c r="S535" i="555" a="1"/>
  <c r="S535" i="555" s="1"/>
  <c r="T533" i="555" a="1"/>
  <c r="T533" i="555" s="1"/>
  <c r="T534" i="555" a="1"/>
  <c r="T534" i="555" s="1"/>
  <c r="T535" i="555" a="1"/>
  <c r="T535" i="555" s="1"/>
  <c r="C536" i="555"/>
  <c r="T536" i="555" s="1" a="1"/>
  <c r="T536" i="555" s="1"/>
  <c r="G220" i="554"/>
  <c r="G109" i="554"/>
  <c r="G280" i="554"/>
  <c r="G209" i="554"/>
  <c r="G294" i="554"/>
  <c r="G66" i="554"/>
  <c r="G217" i="554"/>
  <c r="G46" i="554"/>
  <c r="G322" i="554"/>
  <c r="G184" i="554"/>
  <c r="X344" i="555" l="1"/>
  <c r="M164" i="555"/>
  <c r="Z167" i="555"/>
  <c r="Z169" i="555"/>
  <c r="Z171" i="555"/>
  <c r="M507" i="555"/>
  <c r="G519" i="555"/>
  <c r="E528" i="555"/>
  <c r="E527" i="555"/>
  <c r="E525" i="555"/>
  <c r="E344" i="555"/>
  <c r="C521" i="555"/>
  <c r="G521" i="555" s="1"/>
  <c r="Z337" i="555" a="1"/>
  <c r="Z337" i="555" s="1"/>
  <c r="Z341" i="555"/>
  <c r="Z342" i="555"/>
  <c r="Z343" i="555"/>
  <c r="Z340" i="555"/>
  <c r="R533" i="555"/>
  <c r="R536" i="555" s="1"/>
  <c r="Q536" i="555"/>
  <c r="S536" i="555" s="1" a="1"/>
  <c r="S536" i="555" s="1"/>
  <c r="S533" i="555" a="1"/>
  <c r="S533" i="555" s="1"/>
  <c r="X516" i="555"/>
  <c r="Z510" i="555" s="1"/>
  <c r="V507" i="555"/>
  <c r="Z338" i="555"/>
  <c r="W335" i="555"/>
  <c r="Z170" i="555"/>
  <c r="E529" i="555"/>
  <c r="E526" i="555"/>
  <c r="M166" i="555"/>
  <c r="K170" i="555"/>
  <c r="M170" i="555" s="1"/>
  <c r="J164" i="555" a="1"/>
  <c r="J164" i="555" s="1"/>
  <c r="M171" i="555" s="1"/>
  <c r="B171" i="555"/>
  <c r="C519" i="555" s="1"/>
  <c r="V164" i="555"/>
  <c r="I173" i="555" s="1"/>
  <c r="M335" i="555"/>
  <c r="K513" i="555"/>
  <c r="M513" i="555" s="1"/>
  <c r="M509" i="555"/>
  <c r="R516" i="555"/>
  <c r="T514" i="555" s="1"/>
  <c r="K507" i="555"/>
  <c r="M337" i="555"/>
  <c r="K341" i="555"/>
  <c r="M341" i="555" s="1"/>
  <c r="Z339" i="555"/>
  <c r="R344" i="555"/>
  <c r="T337" i="555" s="1" a="1"/>
  <c r="T337" i="555" s="1"/>
  <c r="Z172" i="555"/>
  <c r="Z166" i="555" a="1"/>
  <c r="Z166" i="555" s="1"/>
  <c r="K524" i="555"/>
  <c r="R173" i="555"/>
  <c r="T166" i="555" s="1" a="1"/>
  <c r="T166" i="555" s="1"/>
  <c r="Q526" i="555"/>
  <c r="Z168" i="555"/>
  <c r="K164" i="555"/>
  <c r="E172" i="555" s="1"/>
  <c r="W164" i="555"/>
  <c r="V335" i="555"/>
  <c r="I344" i="555" s="1"/>
  <c r="M344" i="555" s="1" a="1"/>
  <c r="M344" i="555" s="1"/>
  <c r="K335" i="555"/>
  <c r="J185" i="554" a="1"/>
  <c r="J185" i="554" s="1"/>
  <c r="J184" i="554" a="1"/>
  <c r="J184" i="554" s="1"/>
  <c r="J280" i="554" a="1"/>
  <c r="J280" i="554" s="1"/>
  <c r="K327" i="554" a="1"/>
  <c r="K327" i="554" s="1"/>
  <c r="M327" i="554" s="1"/>
  <c r="J327" i="554" a="1"/>
  <c r="J327" i="554" s="1"/>
  <c r="J220" i="554" a="1"/>
  <c r="J220" i="554" s="1"/>
  <c r="I327" i="554"/>
  <c r="I186" i="554"/>
  <c r="I190" i="554"/>
  <c r="I185" i="554"/>
  <c r="I191" i="554"/>
  <c r="I209" i="554"/>
  <c r="I294" i="554"/>
  <c r="H294" i="554"/>
  <c r="E530" i="555" l="1"/>
  <c r="E343" i="555"/>
  <c r="I343" i="555" s="1"/>
  <c r="M343" i="555" s="1"/>
  <c r="L335" i="555"/>
  <c r="I342" i="555" s="1"/>
  <c r="I172" i="555"/>
  <c r="M172" i="555" s="1"/>
  <c r="Q530" i="555"/>
  <c r="K530" i="555"/>
  <c r="T172" i="555"/>
  <c r="T168" i="555"/>
  <c r="T169" i="555"/>
  <c r="T167" i="555"/>
  <c r="T170" i="555"/>
  <c r="T171" i="555"/>
  <c r="T343" i="555"/>
  <c r="T338" i="555"/>
  <c r="T342" i="555"/>
  <c r="T509" i="555" a="1"/>
  <c r="T509" i="555" s="1"/>
  <c r="M173" i="555" a="1"/>
  <c r="M173" i="555" s="1"/>
  <c r="O519" i="555" a="1"/>
  <c r="O519" i="555" s="1"/>
  <c r="T340" i="555"/>
  <c r="Z515" i="555"/>
  <c r="Z514" i="555"/>
  <c r="Z511" i="555"/>
  <c r="Z512" i="555"/>
  <c r="Z513" i="555"/>
  <c r="M524" i="555" a="1"/>
  <c r="M524" i="555" s="1"/>
  <c r="T339" i="555"/>
  <c r="E515" i="555"/>
  <c r="I515" i="555" s="1"/>
  <c r="M515" i="555" s="1"/>
  <c r="L507" i="555"/>
  <c r="I514" i="555" s="1"/>
  <c r="T515" i="555"/>
  <c r="T512" i="555"/>
  <c r="T510" i="555"/>
  <c r="T511" i="555"/>
  <c r="T513" i="555"/>
  <c r="L164" i="555"/>
  <c r="I171" i="555" s="1"/>
  <c r="I516" i="555"/>
  <c r="M516" i="555" s="1" a="1"/>
  <c r="M516" i="555" s="1"/>
  <c r="W507" i="555"/>
  <c r="T341" i="555"/>
  <c r="Z509" i="555" a="1"/>
  <c r="Z509" i="555" s="1"/>
  <c r="D534" i="554"/>
  <c r="D535" i="554"/>
  <c r="D533" i="554"/>
  <c r="G323" i="554"/>
  <c r="G219" i="554"/>
  <c r="G190" i="554"/>
  <c r="G327" i="554"/>
  <c r="G218" i="554"/>
  <c r="G191" i="554"/>
  <c r="G186" i="554"/>
  <c r="K521" i="555" l="1"/>
  <c r="O521" i="555" s="1" a="1"/>
  <c r="O521" i="555" s="1"/>
  <c r="S528" i="555"/>
  <c r="S524" i="555" a="1"/>
  <c r="S524" i="555" s="1"/>
  <c r="S527" i="555"/>
  <c r="S529" i="555"/>
  <c r="S525" i="555"/>
  <c r="M526" i="555"/>
  <c r="M529" i="555"/>
  <c r="M525" i="555"/>
  <c r="M527" i="555"/>
  <c r="M528" i="555"/>
  <c r="S526" i="555"/>
  <c r="G520" i="555"/>
  <c r="I95" i="554"/>
  <c r="I123" i="554"/>
  <c r="I109" i="554"/>
  <c r="I120" i="554"/>
  <c r="I108" i="554"/>
  <c r="I20" i="554"/>
  <c r="I38" i="554"/>
  <c r="I41" i="554"/>
  <c r="I14" i="554"/>
  <c r="I111" i="554"/>
  <c r="I156" i="554"/>
  <c r="K520" i="555" l="1"/>
  <c r="O520" i="555" s="1"/>
  <c r="K519" i="555"/>
  <c r="S530" i="555"/>
  <c r="G156" i="554"/>
  <c r="G120" i="554"/>
  <c r="G108" i="554"/>
  <c r="G123" i="554"/>
  <c r="G41" i="554"/>
  <c r="G49" i="554"/>
  <c r="G48" i="554"/>
  <c r="G20" i="554"/>
  <c r="G14" i="554"/>
  <c r="P536" i="554" l="1"/>
  <c r="O536" i="554"/>
  <c r="N536" i="554"/>
  <c r="M536" i="554"/>
  <c r="L536" i="554"/>
  <c r="K536" i="554"/>
  <c r="I536" i="554"/>
  <c r="H536" i="554"/>
  <c r="G536" i="554"/>
  <c r="F536" i="554"/>
  <c r="E536" i="554"/>
  <c r="D536" i="554"/>
  <c r="C535" i="554"/>
  <c r="J535" i="554" s="1"/>
  <c r="Q535" i="554" s="1"/>
  <c r="C534" i="554"/>
  <c r="J534" i="554" s="1"/>
  <c r="Q534" i="554" s="1"/>
  <c r="C533" i="554"/>
  <c r="J533" i="554" s="1"/>
  <c r="G517" i="554"/>
  <c r="N517" i="554" s="1"/>
  <c r="X515" i="554"/>
  <c r="X514" i="554"/>
  <c r="X513" i="554"/>
  <c r="G513" i="554"/>
  <c r="C513" i="554"/>
  <c r="X512" i="554"/>
  <c r="I512" i="554"/>
  <c r="E512" i="554"/>
  <c r="K512" i="554" s="1"/>
  <c r="M512" i="554" s="1"/>
  <c r="X511" i="554"/>
  <c r="I511" i="554"/>
  <c r="E511" i="554"/>
  <c r="K511" i="554" s="1"/>
  <c r="M511" i="554" s="1"/>
  <c r="I510" i="554"/>
  <c r="E510" i="554"/>
  <c r="K510" i="554" s="1"/>
  <c r="M510" i="554" s="1"/>
  <c r="I509" i="554"/>
  <c r="I513" i="554" s="1"/>
  <c r="E509" i="554"/>
  <c r="E513" i="554" s="1"/>
  <c r="AA506" i="554"/>
  <c r="Z506" i="554"/>
  <c r="Y506" i="554"/>
  <c r="X506" i="554"/>
  <c r="U506" i="554"/>
  <c r="T506" i="554"/>
  <c r="S506" i="554"/>
  <c r="R506" i="554"/>
  <c r="Q506" i="554"/>
  <c r="P506" i="554"/>
  <c r="R514" i="554" s="1"/>
  <c r="O506" i="554"/>
  <c r="I506" i="554"/>
  <c r="G506" i="554"/>
  <c r="J506" i="554" s="1" a="1"/>
  <c r="J506" i="554" s="1"/>
  <c r="H505" i="554"/>
  <c r="H504" i="554"/>
  <c r="H503" i="554"/>
  <c r="D502" i="554"/>
  <c r="H502" i="554" s="1"/>
  <c r="V501" i="554"/>
  <c r="W501" i="554" s="1"/>
  <c r="N501" i="554"/>
  <c r="K501" i="554" a="1"/>
  <c r="K501" i="554" s="1"/>
  <c r="M501" i="554" s="1"/>
  <c r="J501" i="554" a="1"/>
  <c r="J501" i="554" s="1"/>
  <c r="H501" i="554"/>
  <c r="H500" i="554"/>
  <c r="H499" i="554"/>
  <c r="V498" i="554"/>
  <c r="W498" i="554" s="1"/>
  <c r="N498" i="554"/>
  <c r="K498" i="554" a="1"/>
  <c r="K498" i="554" s="1"/>
  <c r="M498" i="554" s="1"/>
  <c r="J498" i="554" a="1"/>
  <c r="J498" i="554" s="1"/>
  <c r="H498" i="554"/>
  <c r="V497" i="554"/>
  <c r="W497" i="554" s="1"/>
  <c r="N497" i="554"/>
  <c r="K497" i="554"/>
  <c r="M497" i="554" s="1"/>
  <c r="K497" i="554" a="1"/>
  <c r="J497" i="554"/>
  <c r="J497" i="554" a="1"/>
  <c r="H497" i="554"/>
  <c r="H496" i="554"/>
  <c r="H495" i="554"/>
  <c r="V494" i="554"/>
  <c r="W494" i="554" s="1"/>
  <c r="N494" i="554"/>
  <c r="K494" i="554" a="1"/>
  <c r="K494" i="554" s="1"/>
  <c r="M494" i="554" s="1"/>
  <c r="J494" i="554" a="1"/>
  <c r="J494" i="554" s="1"/>
  <c r="H494" i="554"/>
  <c r="V493" i="554"/>
  <c r="W493" i="554" s="1"/>
  <c r="N493" i="554"/>
  <c r="K493" i="554" a="1"/>
  <c r="K493" i="554" s="1"/>
  <c r="M493" i="554" s="1"/>
  <c r="J493" i="554" a="1"/>
  <c r="J493" i="554" s="1"/>
  <c r="H493" i="554"/>
  <c r="V492" i="554"/>
  <c r="W492" i="554" s="1"/>
  <c r="N492" i="554"/>
  <c r="K492" i="554" a="1"/>
  <c r="K492" i="554" s="1"/>
  <c r="M492" i="554" s="1"/>
  <c r="J492" i="554" a="1"/>
  <c r="J492" i="554" s="1"/>
  <c r="H492" i="554"/>
  <c r="V491" i="554"/>
  <c r="W491" i="554" s="1"/>
  <c r="N491" i="554"/>
  <c r="N506" i="554" s="1"/>
  <c r="K491" i="554"/>
  <c r="K491" i="554" a="1"/>
  <c r="J491" i="554"/>
  <c r="J491" i="554" a="1"/>
  <c r="H491" i="554"/>
  <c r="H506" i="554" s="1"/>
  <c r="AA490" i="554"/>
  <c r="Z490" i="554"/>
  <c r="Y490" i="554"/>
  <c r="X490" i="554"/>
  <c r="U490" i="554"/>
  <c r="T490" i="554"/>
  <c r="S490" i="554"/>
  <c r="Q490" i="554"/>
  <c r="P490" i="554"/>
  <c r="O490" i="554"/>
  <c r="R513" i="554" s="1"/>
  <c r="I490" i="554"/>
  <c r="G490" i="554"/>
  <c r="J490" i="554" s="1" a="1"/>
  <c r="J490" i="554" s="1"/>
  <c r="V489" i="554"/>
  <c r="W489" i="554" s="1"/>
  <c r="N489" i="554"/>
  <c r="K489" i="554" a="1"/>
  <c r="K489" i="554" s="1"/>
  <c r="M489" i="554" s="1"/>
  <c r="J489" i="554" a="1"/>
  <c r="J489" i="554" s="1"/>
  <c r="H489" i="554"/>
  <c r="H488" i="554"/>
  <c r="H487" i="554"/>
  <c r="H486" i="554"/>
  <c r="H485" i="554"/>
  <c r="W484" i="554"/>
  <c r="V484" i="554"/>
  <c r="N484" i="554"/>
  <c r="K484" i="554" a="1"/>
  <c r="K484" i="554" s="1"/>
  <c r="M484" i="554" s="1"/>
  <c r="J484" i="554" a="1"/>
  <c r="J484" i="554" s="1"/>
  <c r="H484" i="554"/>
  <c r="V483" i="554"/>
  <c r="W483" i="554" s="1"/>
  <c r="N483" i="554"/>
  <c r="K483" i="554" a="1"/>
  <c r="K483" i="554" s="1"/>
  <c r="M483" i="554" s="1"/>
  <c r="J483" i="554" a="1"/>
  <c r="J483" i="554" s="1"/>
  <c r="H483" i="554"/>
  <c r="V482" i="554"/>
  <c r="W482" i="554" s="1"/>
  <c r="N482" i="554"/>
  <c r="K482" i="554"/>
  <c r="M482" i="554" s="1"/>
  <c r="K482" i="554" a="1"/>
  <c r="J482" i="554"/>
  <c r="J482" i="554" a="1"/>
  <c r="H482" i="554"/>
  <c r="V481" i="554"/>
  <c r="W481" i="554" s="1"/>
  <c r="N481" i="554"/>
  <c r="K481" i="554" a="1"/>
  <c r="K481" i="554" s="1"/>
  <c r="M481" i="554" s="1"/>
  <c r="J481" i="554" a="1"/>
  <c r="J481" i="554" s="1"/>
  <c r="H481" i="554"/>
  <c r="W480" i="554"/>
  <c r="V480" i="554"/>
  <c r="N480" i="554"/>
  <c r="N490" i="554" s="1"/>
  <c r="K480" i="554" a="1"/>
  <c r="K480" i="554" s="1"/>
  <c r="K490" i="554" s="1"/>
  <c r="J480" i="554" a="1"/>
  <c r="J480" i="554" s="1"/>
  <c r="H480" i="554"/>
  <c r="H490" i="554" s="1"/>
  <c r="AA479" i="554"/>
  <c r="Z479" i="554"/>
  <c r="Y479" i="554"/>
  <c r="X479" i="554"/>
  <c r="U479" i="554"/>
  <c r="T479" i="554"/>
  <c r="S479" i="554"/>
  <c r="Q479" i="554"/>
  <c r="P479" i="554"/>
  <c r="O479" i="554"/>
  <c r="I479" i="554"/>
  <c r="G479" i="554"/>
  <c r="V478" i="554"/>
  <c r="W478" i="554" s="1"/>
  <c r="N478" i="554"/>
  <c r="K478" i="554" a="1"/>
  <c r="K478" i="554" s="1"/>
  <c r="M478" i="554" s="1"/>
  <c r="J478" i="554" a="1"/>
  <c r="J478" i="554" s="1"/>
  <c r="H478" i="554"/>
  <c r="V477" i="554"/>
  <c r="W477" i="554" s="1"/>
  <c r="N477" i="554"/>
  <c r="K477" i="554"/>
  <c r="M477" i="554" s="1"/>
  <c r="K477" i="554" a="1"/>
  <c r="J477" i="554"/>
  <c r="J477" i="554" a="1"/>
  <c r="H477" i="554"/>
  <c r="V476" i="554"/>
  <c r="W476" i="554" s="1"/>
  <c r="N476" i="554"/>
  <c r="K476" i="554" a="1"/>
  <c r="K476" i="554" s="1"/>
  <c r="M476" i="554" s="1"/>
  <c r="J476" i="554" a="1"/>
  <c r="J476" i="554" s="1"/>
  <c r="H476" i="554"/>
  <c r="V475" i="554"/>
  <c r="W475" i="554" s="1"/>
  <c r="N475" i="554"/>
  <c r="K475" i="554"/>
  <c r="M475" i="554" s="1"/>
  <c r="K475" i="554" a="1"/>
  <c r="J475" i="554"/>
  <c r="J475" i="554" a="1"/>
  <c r="H475" i="554"/>
  <c r="V474" i="554"/>
  <c r="W474" i="554" s="1"/>
  <c r="N474" i="554"/>
  <c r="K474" i="554" a="1"/>
  <c r="K474" i="554" s="1"/>
  <c r="M474" i="554" s="1"/>
  <c r="J474" i="554" a="1"/>
  <c r="J474" i="554" s="1"/>
  <c r="H474" i="554"/>
  <c r="W473" i="554"/>
  <c r="V473" i="554"/>
  <c r="N473" i="554"/>
  <c r="K473" i="554" a="1"/>
  <c r="K473" i="554" s="1"/>
  <c r="M473" i="554" s="1"/>
  <c r="J473" i="554" a="1"/>
  <c r="J473" i="554" s="1"/>
  <c r="H473" i="554"/>
  <c r="V472" i="554"/>
  <c r="W472" i="554" s="1"/>
  <c r="N472" i="554"/>
  <c r="K472" i="554" a="1"/>
  <c r="K472" i="554" s="1"/>
  <c r="M472" i="554" s="1"/>
  <c r="J472" i="554" a="1"/>
  <c r="J472" i="554" s="1"/>
  <c r="H472" i="554"/>
  <c r="V471" i="554"/>
  <c r="W471" i="554" s="1"/>
  <c r="N471" i="554"/>
  <c r="K471" i="554"/>
  <c r="M471" i="554" s="1"/>
  <c r="K471" i="554" a="1"/>
  <c r="J471" i="554"/>
  <c r="J471" i="554" a="1"/>
  <c r="H471" i="554"/>
  <c r="V470" i="554"/>
  <c r="W470" i="554" s="1"/>
  <c r="N470" i="554"/>
  <c r="K470" i="554" a="1"/>
  <c r="K470" i="554" s="1"/>
  <c r="M470" i="554" s="1"/>
  <c r="J470" i="554" a="1"/>
  <c r="J470" i="554" s="1"/>
  <c r="H470" i="554"/>
  <c r="W469" i="554"/>
  <c r="V469" i="554"/>
  <c r="N469" i="554"/>
  <c r="K469" i="554" a="1"/>
  <c r="K469" i="554" s="1"/>
  <c r="M469" i="554" s="1"/>
  <c r="J469" i="554" a="1"/>
  <c r="J469" i="554" s="1"/>
  <c r="H469" i="554"/>
  <c r="V468" i="554"/>
  <c r="W468" i="554" s="1"/>
  <c r="N468" i="554"/>
  <c r="K468" i="554" a="1"/>
  <c r="K468" i="554" s="1"/>
  <c r="M468" i="554" s="1"/>
  <c r="J468" i="554" a="1"/>
  <c r="J468" i="554" s="1"/>
  <c r="H468" i="554"/>
  <c r="V467" i="554"/>
  <c r="W467" i="554" s="1"/>
  <c r="N467" i="554"/>
  <c r="K467" i="554"/>
  <c r="M467" i="554" s="1"/>
  <c r="K467" i="554" a="1"/>
  <c r="J467" i="554"/>
  <c r="J467" i="554" a="1"/>
  <c r="H467" i="554"/>
  <c r="V466" i="554"/>
  <c r="W466" i="554" s="1"/>
  <c r="N466" i="554"/>
  <c r="K466" i="554" a="1"/>
  <c r="K466" i="554" s="1"/>
  <c r="M466" i="554" s="1"/>
  <c r="J466" i="554" a="1"/>
  <c r="J466" i="554" s="1"/>
  <c r="H466" i="554"/>
  <c r="W465" i="554"/>
  <c r="V465" i="554"/>
  <c r="N465" i="554"/>
  <c r="K465" i="554" a="1"/>
  <c r="K465" i="554" s="1"/>
  <c r="M465" i="554" s="1"/>
  <c r="J465" i="554" a="1"/>
  <c r="J465" i="554" s="1"/>
  <c r="H465" i="554"/>
  <c r="V464" i="554"/>
  <c r="N464" i="554"/>
  <c r="K464" i="554"/>
  <c r="K464" i="554" a="1"/>
  <c r="J464" i="554"/>
  <c r="J464" i="554" a="1"/>
  <c r="H464" i="554"/>
  <c r="H479" i="554" s="1"/>
  <c r="AA463" i="554"/>
  <c r="Z463" i="554"/>
  <c r="Y463" i="554"/>
  <c r="X463" i="554"/>
  <c r="U463" i="554"/>
  <c r="T463" i="554"/>
  <c r="S463" i="554"/>
  <c r="R463" i="554"/>
  <c r="Q463" i="554"/>
  <c r="P463" i="554"/>
  <c r="O463" i="554"/>
  <c r="I463" i="554"/>
  <c r="G463" i="554"/>
  <c r="J463" i="554" s="1" a="1"/>
  <c r="J463" i="554" s="1"/>
  <c r="V462" i="554"/>
  <c r="W462" i="554" s="1"/>
  <c r="N462" i="554"/>
  <c r="K462" i="554"/>
  <c r="M462" i="554" s="1"/>
  <c r="K462" i="554" a="1"/>
  <c r="J462" i="554"/>
  <c r="J462" i="554" a="1"/>
  <c r="H462" i="554"/>
  <c r="V461" i="554"/>
  <c r="W461" i="554" s="1"/>
  <c r="N461" i="554"/>
  <c r="K461" i="554" a="1"/>
  <c r="K461" i="554" s="1"/>
  <c r="M461" i="554" s="1"/>
  <c r="J461" i="554" a="1"/>
  <c r="J461" i="554" s="1"/>
  <c r="H461" i="554"/>
  <c r="W460" i="554"/>
  <c r="V460" i="554"/>
  <c r="N460" i="554"/>
  <c r="K460" i="554" a="1"/>
  <c r="K460" i="554" s="1"/>
  <c r="M460" i="554" s="1"/>
  <c r="J460" i="554" a="1"/>
  <c r="J460" i="554" s="1"/>
  <c r="H460" i="554"/>
  <c r="K459" i="554"/>
  <c r="M459" i="554" s="1"/>
  <c r="K459" i="554" a="1"/>
  <c r="H459" i="554"/>
  <c r="K458" i="554" a="1"/>
  <c r="K458" i="554" s="1"/>
  <c r="M458" i="554" s="1"/>
  <c r="H458" i="554"/>
  <c r="K457" i="554"/>
  <c r="M457" i="554" s="1"/>
  <c r="K457" i="554" a="1"/>
  <c r="H457" i="554"/>
  <c r="V456" i="554"/>
  <c r="W456" i="554" s="1"/>
  <c r="N456" i="554"/>
  <c r="K456" i="554" a="1"/>
  <c r="K456" i="554" s="1"/>
  <c r="M456" i="554" s="1"/>
  <c r="J456" i="554" a="1"/>
  <c r="J456" i="554" s="1"/>
  <c r="H456" i="554"/>
  <c r="W455" i="554"/>
  <c r="V455" i="554"/>
  <c r="N455" i="554"/>
  <c r="K455" i="554" a="1"/>
  <c r="K455" i="554" s="1"/>
  <c r="M455" i="554" s="1"/>
  <c r="J455" i="554" a="1"/>
  <c r="J455" i="554" s="1"/>
  <c r="H455" i="554"/>
  <c r="N454" i="554"/>
  <c r="K454" i="554" a="1"/>
  <c r="K454" i="554" s="1"/>
  <c r="M454" i="554" s="1"/>
  <c r="H454" i="554"/>
  <c r="N453" i="554"/>
  <c r="K453" i="554"/>
  <c r="M453" i="554" s="1"/>
  <c r="K453" i="554" a="1"/>
  <c r="H453" i="554"/>
  <c r="N452" i="554"/>
  <c r="K452" i="554" a="1"/>
  <c r="K452" i="554" s="1"/>
  <c r="M452" i="554" s="1"/>
  <c r="H452" i="554"/>
  <c r="N451" i="554"/>
  <c r="K451" i="554" a="1"/>
  <c r="K451" i="554" s="1"/>
  <c r="M451" i="554" s="1"/>
  <c r="H451" i="554"/>
  <c r="N450" i="554"/>
  <c r="K450" i="554" a="1"/>
  <c r="K450" i="554" s="1"/>
  <c r="M450" i="554" s="1"/>
  <c r="H450" i="554"/>
  <c r="N449" i="554"/>
  <c r="K449" i="554"/>
  <c r="M449" i="554" s="1"/>
  <c r="K449" i="554" a="1"/>
  <c r="H449" i="554"/>
  <c r="V448" i="554"/>
  <c r="W448" i="554" s="1"/>
  <c r="N448" i="554"/>
  <c r="K448" i="554" a="1"/>
  <c r="K448" i="554" s="1"/>
  <c r="M448" i="554" s="1"/>
  <c r="J448" i="554" a="1"/>
  <c r="J448" i="554" s="1"/>
  <c r="H448" i="554"/>
  <c r="W447" i="554"/>
  <c r="V447" i="554"/>
  <c r="N447" i="554"/>
  <c r="K447" i="554" a="1"/>
  <c r="K447" i="554" s="1"/>
  <c r="M447" i="554" s="1"/>
  <c r="J447" i="554" a="1"/>
  <c r="J447" i="554" s="1"/>
  <c r="H447" i="554"/>
  <c r="V446" i="554"/>
  <c r="W446" i="554" s="1"/>
  <c r="N446" i="554"/>
  <c r="K446" i="554" a="1"/>
  <c r="K446" i="554" s="1"/>
  <c r="M446" i="554" s="1"/>
  <c r="J446" i="554" a="1"/>
  <c r="J446" i="554" s="1"/>
  <c r="H446" i="554"/>
  <c r="V445" i="554"/>
  <c r="W445" i="554" s="1"/>
  <c r="N445" i="554"/>
  <c r="K445" i="554"/>
  <c r="M445" i="554" s="1"/>
  <c r="K445" i="554" a="1"/>
  <c r="J445" i="554"/>
  <c r="J445" i="554" a="1"/>
  <c r="H445" i="554"/>
  <c r="V444" i="554"/>
  <c r="W444" i="554" s="1"/>
  <c r="N444" i="554"/>
  <c r="K444" i="554" a="1"/>
  <c r="K444" i="554" s="1"/>
  <c r="M444" i="554" s="1"/>
  <c r="J444" i="554" a="1"/>
  <c r="J444" i="554" s="1"/>
  <c r="H444" i="554"/>
  <c r="W443" i="554"/>
  <c r="V443" i="554"/>
  <c r="N443" i="554"/>
  <c r="K443" i="554" a="1"/>
  <c r="K443" i="554" s="1"/>
  <c r="M443" i="554" s="1"/>
  <c r="J443" i="554" a="1"/>
  <c r="J443" i="554" s="1"/>
  <c r="H443" i="554"/>
  <c r="V442" i="554"/>
  <c r="W442" i="554" s="1"/>
  <c r="N442" i="554"/>
  <c r="K442" i="554" a="1"/>
  <c r="K442" i="554" s="1"/>
  <c r="M442" i="554" s="1"/>
  <c r="J442" i="554" a="1"/>
  <c r="J442" i="554" s="1"/>
  <c r="H442" i="554"/>
  <c r="V441" i="554"/>
  <c r="W441" i="554" s="1"/>
  <c r="N441" i="554"/>
  <c r="K441" i="554"/>
  <c r="M441" i="554" s="1"/>
  <c r="K441" i="554" a="1"/>
  <c r="J441" i="554"/>
  <c r="J441" i="554" a="1"/>
  <c r="H441" i="554"/>
  <c r="V440" i="554"/>
  <c r="W440" i="554" s="1"/>
  <c r="N440" i="554"/>
  <c r="K440" i="554" a="1"/>
  <c r="K440" i="554" s="1"/>
  <c r="M440" i="554" s="1"/>
  <c r="J440" i="554" a="1"/>
  <c r="J440" i="554" s="1"/>
  <c r="H440" i="554"/>
  <c r="W439" i="554"/>
  <c r="V439" i="554"/>
  <c r="N439" i="554"/>
  <c r="K439" i="554" a="1"/>
  <c r="K439" i="554" s="1"/>
  <c r="M439" i="554" s="1"/>
  <c r="J439" i="554" a="1"/>
  <c r="J439" i="554" s="1"/>
  <c r="H439" i="554"/>
  <c r="V438" i="554"/>
  <c r="W438" i="554" s="1"/>
  <c r="N438" i="554"/>
  <c r="K438" i="554" a="1"/>
  <c r="K438" i="554" s="1"/>
  <c r="M438" i="554" s="1"/>
  <c r="J438" i="554" a="1"/>
  <c r="J438" i="554" s="1"/>
  <c r="H438" i="554"/>
  <c r="V437" i="554"/>
  <c r="W437" i="554" s="1"/>
  <c r="N437" i="554"/>
  <c r="K437" i="554"/>
  <c r="M437" i="554" s="1"/>
  <c r="K437" i="554" a="1"/>
  <c r="J437" i="554"/>
  <c r="J437" i="554" a="1"/>
  <c r="H437" i="554"/>
  <c r="N436" i="554"/>
  <c r="K436" i="554" a="1"/>
  <c r="K436" i="554" s="1"/>
  <c r="M436" i="554" s="1"/>
  <c r="H436" i="554"/>
  <c r="W435" i="554"/>
  <c r="V435" i="554"/>
  <c r="N435" i="554"/>
  <c r="K435" i="554" a="1"/>
  <c r="K435" i="554" s="1"/>
  <c r="M435" i="554" s="1"/>
  <c r="J435" i="554" a="1"/>
  <c r="J435" i="554" s="1"/>
  <c r="H435" i="554"/>
  <c r="V434" i="554"/>
  <c r="W434" i="554" s="1"/>
  <c r="N434" i="554"/>
  <c r="K434" i="554" a="1"/>
  <c r="K434" i="554" s="1"/>
  <c r="M434" i="554" s="1"/>
  <c r="J434" i="554" a="1"/>
  <c r="J434" i="554" s="1"/>
  <c r="H434" i="554"/>
  <c r="V433" i="554"/>
  <c r="W433" i="554" s="1"/>
  <c r="N433" i="554"/>
  <c r="K433" i="554"/>
  <c r="M433" i="554" s="1"/>
  <c r="K433" i="554" a="1"/>
  <c r="J433" i="554"/>
  <c r="J433" i="554" a="1"/>
  <c r="H433" i="554"/>
  <c r="V432" i="554"/>
  <c r="W432" i="554" s="1"/>
  <c r="N432" i="554"/>
  <c r="K432" i="554" a="1"/>
  <c r="K432" i="554" s="1"/>
  <c r="M432" i="554" s="1"/>
  <c r="J432" i="554" a="1"/>
  <c r="J432" i="554" s="1"/>
  <c r="H432" i="554"/>
  <c r="W431" i="554"/>
  <c r="V431" i="554"/>
  <c r="N431" i="554"/>
  <c r="K431" i="554" a="1"/>
  <c r="K431" i="554" s="1"/>
  <c r="M431" i="554" s="1"/>
  <c r="J431" i="554" a="1"/>
  <c r="J431" i="554" s="1"/>
  <c r="H431" i="554"/>
  <c r="V430" i="554"/>
  <c r="W430" i="554" s="1"/>
  <c r="N430" i="554"/>
  <c r="K430" i="554" a="1"/>
  <c r="K430" i="554" s="1"/>
  <c r="M430" i="554" s="1"/>
  <c r="J430" i="554" a="1"/>
  <c r="J430" i="554" s="1"/>
  <c r="H430" i="554"/>
  <c r="V429" i="554"/>
  <c r="V463" i="554" s="1"/>
  <c r="W463" i="554" s="1"/>
  <c r="N429" i="554"/>
  <c r="K429" i="554"/>
  <c r="K429" i="554" a="1"/>
  <c r="J429" i="554"/>
  <c r="J429" i="554" a="1"/>
  <c r="H429" i="554"/>
  <c r="H463" i="554" s="1"/>
  <c r="AA428" i="554"/>
  <c r="Z428" i="554"/>
  <c r="Y428" i="554"/>
  <c r="X428" i="554"/>
  <c r="U428" i="554"/>
  <c r="T428" i="554"/>
  <c r="S428" i="554"/>
  <c r="R428" i="554"/>
  <c r="Q428" i="554"/>
  <c r="P428" i="554"/>
  <c r="O428" i="554"/>
  <c r="I428" i="554"/>
  <c r="G428" i="554"/>
  <c r="K427" i="554"/>
  <c r="M427" i="554" s="1"/>
  <c r="K427" i="554" a="1"/>
  <c r="H427" i="554"/>
  <c r="K426" i="554" a="1"/>
  <c r="K426" i="554" s="1"/>
  <c r="M426" i="554" s="1"/>
  <c r="H426" i="554"/>
  <c r="K425" i="554" a="1"/>
  <c r="K425" i="554" s="1"/>
  <c r="M425" i="554" s="1"/>
  <c r="H425" i="554"/>
  <c r="K424" i="554" a="1"/>
  <c r="K424" i="554" s="1"/>
  <c r="M424" i="554" s="1"/>
  <c r="H424" i="554"/>
  <c r="K423" i="554" a="1"/>
  <c r="K423" i="554" s="1"/>
  <c r="M423" i="554" s="1"/>
  <c r="H423" i="554"/>
  <c r="K422" i="554" a="1"/>
  <c r="K422" i="554" s="1"/>
  <c r="M422" i="554" s="1"/>
  <c r="H422" i="554"/>
  <c r="K421" i="554" a="1"/>
  <c r="K421" i="554" s="1"/>
  <c r="M421" i="554" s="1"/>
  <c r="H421" i="554"/>
  <c r="K420" i="554" a="1"/>
  <c r="K420" i="554" s="1"/>
  <c r="M420" i="554" s="1"/>
  <c r="H420" i="554"/>
  <c r="K419" i="554" a="1"/>
  <c r="K419" i="554" s="1"/>
  <c r="M419" i="554" s="1"/>
  <c r="H419" i="554"/>
  <c r="K418" i="554" a="1"/>
  <c r="K418" i="554" s="1"/>
  <c r="M418" i="554" s="1"/>
  <c r="H418" i="554"/>
  <c r="W417" i="554"/>
  <c r="V417" i="554"/>
  <c r="N417" i="554"/>
  <c r="K417" i="554" a="1"/>
  <c r="K417" i="554" s="1"/>
  <c r="M417" i="554" s="1"/>
  <c r="J417" i="554" a="1"/>
  <c r="J417" i="554" s="1"/>
  <c r="H417" i="554"/>
  <c r="V416" i="554"/>
  <c r="W416" i="554" s="1"/>
  <c r="N416" i="554"/>
  <c r="K416" i="554" a="1"/>
  <c r="K416" i="554" s="1"/>
  <c r="M416" i="554" s="1"/>
  <c r="J416" i="554" a="1"/>
  <c r="J416" i="554" s="1"/>
  <c r="H416" i="554"/>
  <c r="V415" i="554"/>
  <c r="W415" i="554" s="1"/>
  <c r="N415" i="554"/>
  <c r="K415" i="554"/>
  <c r="M415" i="554" s="1"/>
  <c r="K415" i="554" a="1"/>
  <c r="J415" i="554"/>
  <c r="J415" i="554" a="1"/>
  <c r="H415" i="554"/>
  <c r="V414" i="554"/>
  <c r="W414" i="554" s="1"/>
  <c r="N414" i="554"/>
  <c r="K414" i="554" a="1"/>
  <c r="K414" i="554" s="1"/>
  <c r="M414" i="554" s="1"/>
  <c r="J414" i="554" a="1"/>
  <c r="J414" i="554" s="1"/>
  <c r="H414" i="554"/>
  <c r="H413" i="554"/>
  <c r="V412" i="554"/>
  <c r="W412" i="554" s="1"/>
  <c r="N412" i="554"/>
  <c r="K412" i="554" a="1"/>
  <c r="K412" i="554" s="1"/>
  <c r="M412" i="554" s="1"/>
  <c r="J412" i="554" a="1"/>
  <c r="J412" i="554" s="1"/>
  <c r="H412" i="554"/>
  <c r="W411" i="554"/>
  <c r="V411" i="554"/>
  <c r="N411" i="554"/>
  <c r="K411" i="554" a="1"/>
  <c r="K411" i="554" s="1"/>
  <c r="M411" i="554" s="1"/>
  <c r="J411" i="554" a="1"/>
  <c r="J411" i="554" s="1"/>
  <c r="H411" i="554"/>
  <c r="H410" i="554"/>
  <c r="K409" i="554" a="1"/>
  <c r="K409" i="554" s="1"/>
  <c r="H409" i="554"/>
  <c r="V408" i="554"/>
  <c r="W408" i="554" s="1"/>
  <c r="N408" i="554"/>
  <c r="K408" i="554" a="1"/>
  <c r="K408" i="554" s="1"/>
  <c r="M408" i="554" s="1"/>
  <c r="J408" i="554" a="1"/>
  <c r="J408" i="554" s="1"/>
  <c r="H408" i="554"/>
  <c r="V407" i="554"/>
  <c r="W407" i="554" s="1"/>
  <c r="N407" i="554"/>
  <c r="K407" i="554"/>
  <c r="M407" i="554" s="1"/>
  <c r="K407" i="554" a="1"/>
  <c r="J407" i="554"/>
  <c r="J407" i="554" a="1"/>
  <c r="H407" i="554"/>
  <c r="V406" i="554"/>
  <c r="W406" i="554" s="1"/>
  <c r="N406" i="554"/>
  <c r="K406" i="554" a="1"/>
  <c r="K406" i="554" s="1"/>
  <c r="M406" i="554" s="1"/>
  <c r="J406" i="554" a="1"/>
  <c r="J406" i="554" s="1"/>
  <c r="H406" i="554"/>
  <c r="W405" i="554"/>
  <c r="V405" i="554"/>
  <c r="N405" i="554"/>
  <c r="K405" i="554" a="1"/>
  <c r="K405" i="554" s="1"/>
  <c r="M405" i="554" s="1"/>
  <c r="J405" i="554" a="1"/>
  <c r="J405" i="554" s="1"/>
  <c r="H405" i="554"/>
  <c r="V404" i="554"/>
  <c r="W404" i="554" s="1"/>
  <c r="N404" i="554"/>
  <c r="K404" i="554" a="1"/>
  <c r="K404" i="554" s="1"/>
  <c r="M404" i="554" s="1"/>
  <c r="J404" i="554" a="1"/>
  <c r="J404" i="554" s="1"/>
  <c r="H404" i="554"/>
  <c r="V403" i="554"/>
  <c r="W403" i="554" s="1"/>
  <c r="N403" i="554"/>
  <c r="K403" i="554"/>
  <c r="M403" i="554" s="1"/>
  <c r="K403" i="554" a="1"/>
  <c r="J403" i="554"/>
  <c r="J403" i="554" a="1"/>
  <c r="H403" i="554"/>
  <c r="V402" i="554"/>
  <c r="W402" i="554" s="1"/>
  <c r="N402" i="554"/>
  <c r="K402" i="554" a="1"/>
  <c r="K402" i="554" s="1"/>
  <c r="M402" i="554" s="1"/>
  <c r="J402" i="554" a="1"/>
  <c r="J402" i="554" s="1"/>
  <c r="H402" i="554"/>
  <c r="W401" i="554"/>
  <c r="V401" i="554"/>
  <c r="N401" i="554"/>
  <c r="K401" i="554" a="1"/>
  <c r="K401" i="554" s="1"/>
  <c r="M401" i="554" s="1"/>
  <c r="J401" i="554" a="1"/>
  <c r="J401" i="554" s="1"/>
  <c r="H401" i="554"/>
  <c r="V400" i="554"/>
  <c r="W400" i="554" s="1"/>
  <c r="N400" i="554"/>
  <c r="K400" i="554" a="1"/>
  <c r="K400" i="554" s="1"/>
  <c r="M400" i="554" s="1"/>
  <c r="J400" i="554" a="1"/>
  <c r="J400" i="554" s="1"/>
  <c r="H400" i="554"/>
  <c r="V399" i="554"/>
  <c r="W399" i="554" s="1"/>
  <c r="N399" i="554"/>
  <c r="K399" i="554"/>
  <c r="M399" i="554" s="1"/>
  <c r="K399" i="554" a="1"/>
  <c r="J399" i="554"/>
  <c r="J399" i="554" a="1"/>
  <c r="H399" i="554"/>
  <c r="K398" i="554" a="1"/>
  <c r="K398" i="554" s="1"/>
  <c r="M398" i="554" s="1"/>
  <c r="H398" i="554"/>
  <c r="K397" i="554"/>
  <c r="M397" i="554" s="1"/>
  <c r="K397" i="554" a="1"/>
  <c r="H397" i="554"/>
  <c r="K396" i="554" a="1"/>
  <c r="K396" i="554" s="1"/>
  <c r="M396" i="554" s="1"/>
  <c r="H396" i="554"/>
  <c r="K395" i="554" a="1"/>
  <c r="K395" i="554" s="1"/>
  <c r="M395" i="554" s="1"/>
  <c r="H395" i="554"/>
  <c r="N394" i="554"/>
  <c r="K394" i="554" a="1"/>
  <c r="K394" i="554" s="1"/>
  <c r="M394" i="554" s="1"/>
  <c r="H394" i="554"/>
  <c r="N393" i="554"/>
  <c r="K393" i="554" a="1"/>
  <c r="K393" i="554" s="1"/>
  <c r="M393" i="554" s="1"/>
  <c r="H393" i="554"/>
  <c r="N392" i="554"/>
  <c r="K392" i="554" a="1"/>
  <c r="K392" i="554" s="1"/>
  <c r="M392" i="554" s="1"/>
  <c r="H392" i="554"/>
  <c r="N391" i="554"/>
  <c r="K391" i="554" a="1"/>
  <c r="K391" i="554" s="1"/>
  <c r="M391" i="554" s="1"/>
  <c r="H391" i="554"/>
  <c r="W390" i="554"/>
  <c r="V390" i="554"/>
  <c r="N390" i="554"/>
  <c r="K390" i="554" a="1"/>
  <c r="K390" i="554" s="1"/>
  <c r="M390" i="554" s="1"/>
  <c r="J390" i="554" a="1"/>
  <c r="J390" i="554" s="1"/>
  <c r="H390" i="554"/>
  <c r="W389" i="554"/>
  <c r="V389" i="554"/>
  <c r="N389" i="554"/>
  <c r="K389" i="554" a="1"/>
  <c r="K389" i="554" s="1"/>
  <c r="M389" i="554" s="1"/>
  <c r="J389" i="554" a="1"/>
  <c r="J389" i="554" s="1"/>
  <c r="H389" i="554"/>
  <c r="V388" i="554"/>
  <c r="W388" i="554" s="1"/>
  <c r="N388" i="554"/>
  <c r="K388" i="554"/>
  <c r="M388" i="554" s="1"/>
  <c r="K388" i="554" a="1"/>
  <c r="J388" i="554" a="1"/>
  <c r="J388" i="554" s="1"/>
  <c r="H388" i="554"/>
  <c r="V387" i="554"/>
  <c r="W387" i="554" s="1"/>
  <c r="N387" i="554"/>
  <c r="K387" i="554" a="1"/>
  <c r="K387" i="554" s="1"/>
  <c r="M387" i="554" s="1"/>
  <c r="J387" i="554" a="1"/>
  <c r="J387" i="554" s="1"/>
  <c r="H387" i="554"/>
  <c r="V386" i="554"/>
  <c r="W386" i="554" s="1"/>
  <c r="N386" i="554"/>
  <c r="K386" i="554"/>
  <c r="M386" i="554" s="1"/>
  <c r="K386" i="554" a="1"/>
  <c r="J386" i="554"/>
  <c r="J386" i="554" a="1"/>
  <c r="H386" i="554"/>
  <c r="V385" i="554"/>
  <c r="W385" i="554" s="1"/>
  <c r="N385" i="554"/>
  <c r="K385" i="554" a="1"/>
  <c r="K385" i="554" s="1"/>
  <c r="M385" i="554" s="1"/>
  <c r="J385" i="554" a="1"/>
  <c r="J385" i="554" s="1"/>
  <c r="H385" i="554"/>
  <c r="W384" i="554"/>
  <c r="V384" i="554"/>
  <c r="N384" i="554"/>
  <c r="K384" i="554" a="1"/>
  <c r="K384" i="554" s="1"/>
  <c r="M384" i="554" s="1"/>
  <c r="J384" i="554" a="1"/>
  <c r="J384" i="554" s="1"/>
  <c r="H384" i="554"/>
  <c r="V383" i="554"/>
  <c r="W383" i="554" s="1"/>
  <c r="N383" i="554"/>
  <c r="K383" i="554" a="1"/>
  <c r="K383" i="554" s="1"/>
  <c r="M383" i="554" s="1"/>
  <c r="J383" i="554" a="1"/>
  <c r="J383" i="554" s="1"/>
  <c r="H383" i="554"/>
  <c r="V382" i="554"/>
  <c r="W382" i="554" s="1"/>
  <c r="N382" i="554"/>
  <c r="K382" i="554"/>
  <c r="M382" i="554" s="1"/>
  <c r="K382" i="554" a="1"/>
  <c r="J382" i="554"/>
  <c r="J382" i="554" a="1"/>
  <c r="H382" i="554"/>
  <c r="V381" i="554"/>
  <c r="W381" i="554" s="1"/>
  <c r="N381" i="554"/>
  <c r="K381" i="554" a="1"/>
  <c r="K381" i="554" s="1"/>
  <c r="M381" i="554" s="1"/>
  <c r="J381" i="554" a="1"/>
  <c r="J381" i="554" s="1"/>
  <c r="H381" i="554"/>
  <c r="W380" i="554"/>
  <c r="V380" i="554"/>
  <c r="N380" i="554"/>
  <c r="K380" i="554" a="1"/>
  <c r="K380" i="554" s="1"/>
  <c r="M380" i="554" s="1"/>
  <c r="J380" i="554" a="1"/>
  <c r="J380" i="554" s="1"/>
  <c r="H380" i="554"/>
  <c r="V379" i="554"/>
  <c r="W379" i="554" s="1"/>
  <c r="N379" i="554"/>
  <c r="K379" i="554" a="1"/>
  <c r="K379" i="554" s="1"/>
  <c r="M379" i="554" s="1"/>
  <c r="J379" i="554" a="1"/>
  <c r="J379" i="554" s="1"/>
  <c r="H379" i="554"/>
  <c r="K378" i="554" a="1"/>
  <c r="K378" i="554" s="1"/>
  <c r="M378" i="554" s="1"/>
  <c r="H378" i="554"/>
  <c r="K377" i="554" a="1"/>
  <c r="K377" i="554" s="1"/>
  <c r="M377" i="554" s="1"/>
  <c r="H377" i="554"/>
  <c r="K376" i="554" a="1"/>
  <c r="K376" i="554" s="1"/>
  <c r="M376" i="554" s="1"/>
  <c r="H376" i="554"/>
  <c r="V375" i="554"/>
  <c r="W375" i="554" s="1"/>
  <c r="N375" i="554"/>
  <c r="K375" i="554"/>
  <c r="M375" i="554" s="1"/>
  <c r="K375" i="554" a="1"/>
  <c r="J375" i="554"/>
  <c r="J375" i="554" a="1"/>
  <c r="H375" i="554"/>
  <c r="V374" i="554"/>
  <c r="W374" i="554" s="1"/>
  <c r="N374" i="554"/>
  <c r="K374" i="554" a="1"/>
  <c r="K374" i="554" s="1"/>
  <c r="M374" i="554" s="1"/>
  <c r="J374" i="554" a="1"/>
  <c r="J374" i="554" s="1"/>
  <c r="H374" i="554"/>
  <c r="W373" i="554"/>
  <c r="V373" i="554"/>
  <c r="N373" i="554"/>
  <c r="K373" i="554" a="1"/>
  <c r="K373" i="554" s="1"/>
  <c r="M373" i="554" s="1"/>
  <c r="J373" i="554" a="1"/>
  <c r="J373" i="554" s="1"/>
  <c r="H373" i="554"/>
  <c r="K372" i="554" a="1"/>
  <c r="K372" i="554" s="1"/>
  <c r="H372" i="554"/>
  <c r="W371" i="554"/>
  <c r="V371" i="554"/>
  <c r="N371" i="554"/>
  <c r="N428" i="554" s="1"/>
  <c r="K371" i="554" a="1"/>
  <c r="K371" i="554" s="1"/>
  <c r="K428" i="554" s="1"/>
  <c r="J371" i="554" a="1"/>
  <c r="J371" i="554" s="1"/>
  <c r="H371" i="554"/>
  <c r="AA370" i="554"/>
  <c r="AA507" i="554" s="1"/>
  <c r="Z370" i="554"/>
  <c r="Z507" i="554" s="1"/>
  <c r="Y370" i="554"/>
  <c r="Y507" i="554" s="1"/>
  <c r="X370" i="554"/>
  <c r="X507" i="554" s="1"/>
  <c r="U370" i="554"/>
  <c r="U507" i="554" s="1"/>
  <c r="T370" i="554"/>
  <c r="T507" i="554" s="1"/>
  <c r="S370" i="554"/>
  <c r="S507" i="554" s="1"/>
  <c r="R370" i="554"/>
  <c r="R507" i="554" s="1"/>
  <c r="Q370" i="554"/>
  <c r="Q507" i="554" s="1"/>
  <c r="P370" i="554"/>
  <c r="P507" i="554" s="1"/>
  <c r="O370" i="554"/>
  <c r="I370" i="554"/>
  <c r="I507" i="554" s="1"/>
  <c r="B515" i="554" s="1"/>
  <c r="G370" i="554"/>
  <c r="G507" i="554" s="1"/>
  <c r="W369" i="554"/>
  <c r="V369" i="554"/>
  <c r="N369" i="554"/>
  <c r="K369" i="554" a="1"/>
  <c r="K369" i="554" s="1"/>
  <c r="M369" i="554" s="1"/>
  <c r="J369" i="554" a="1"/>
  <c r="J369" i="554" s="1"/>
  <c r="H369" i="554"/>
  <c r="V368" i="554"/>
  <c r="W368" i="554" s="1"/>
  <c r="N368" i="554"/>
  <c r="K368" i="554" a="1"/>
  <c r="K368" i="554" s="1"/>
  <c r="M368" i="554" s="1"/>
  <c r="J368" i="554" a="1"/>
  <c r="J368" i="554" s="1"/>
  <c r="H368" i="554"/>
  <c r="K367" i="554" a="1"/>
  <c r="K367" i="554" s="1"/>
  <c r="M367" i="554" s="1"/>
  <c r="H367" i="554"/>
  <c r="K366" i="554" a="1"/>
  <c r="K366" i="554" s="1"/>
  <c r="M366" i="554" s="1"/>
  <c r="H366" i="554"/>
  <c r="K365" i="554" a="1"/>
  <c r="K365" i="554" s="1"/>
  <c r="M365" i="554" s="1"/>
  <c r="H365" i="554"/>
  <c r="K364" i="554" a="1"/>
  <c r="K364" i="554" s="1"/>
  <c r="M364" i="554" s="1"/>
  <c r="H364" i="554"/>
  <c r="V363" i="554"/>
  <c r="W363" i="554" s="1"/>
  <c r="N363" i="554"/>
  <c r="K363" i="554"/>
  <c r="M363" i="554" s="1"/>
  <c r="K363" i="554" a="1"/>
  <c r="J363" i="554"/>
  <c r="J363" i="554" a="1"/>
  <c r="H363" i="554"/>
  <c r="V362" i="554"/>
  <c r="W362" i="554" s="1"/>
  <c r="N362" i="554"/>
  <c r="K362" i="554" a="1"/>
  <c r="K362" i="554" s="1"/>
  <c r="M362" i="554" s="1"/>
  <c r="J362" i="554" a="1"/>
  <c r="J362" i="554" s="1"/>
  <c r="H362" i="554"/>
  <c r="W361" i="554"/>
  <c r="V361" i="554"/>
  <c r="N361" i="554"/>
  <c r="K361" i="554" a="1"/>
  <c r="K361" i="554" s="1"/>
  <c r="M361" i="554" s="1"/>
  <c r="J361" i="554" a="1"/>
  <c r="J361" i="554" s="1"/>
  <c r="H361" i="554"/>
  <c r="H360" i="554"/>
  <c r="H359" i="554"/>
  <c r="V358" i="554"/>
  <c r="W358" i="554" s="1"/>
  <c r="N358" i="554"/>
  <c r="K358" i="554" a="1"/>
  <c r="K358" i="554" s="1"/>
  <c r="M358" i="554" s="1"/>
  <c r="J358" i="554" a="1"/>
  <c r="J358" i="554" s="1"/>
  <c r="H358" i="554"/>
  <c r="V357" i="554"/>
  <c r="W357" i="554" s="1"/>
  <c r="N357" i="554"/>
  <c r="K357" i="554"/>
  <c r="M357" i="554" s="1"/>
  <c r="K357" i="554" a="1"/>
  <c r="J357" i="554"/>
  <c r="J357" i="554" a="1"/>
  <c r="H357" i="554"/>
  <c r="K356" i="554" a="1"/>
  <c r="K356" i="554" s="1"/>
  <c r="M356" i="554" s="1"/>
  <c r="H356" i="554"/>
  <c r="K355" i="554"/>
  <c r="M355" i="554" s="1"/>
  <c r="K355" i="554" a="1"/>
  <c r="H355" i="554"/>
  <c r="V354" i="554"/>
  <c r="W354" i="554" s="1"/>
  <c r="N354" i="554"/>
  <c r="K354" i="554" a="1"/>
  <c r="K354" i="554" s="1"/>
  <c r="M354" i="554" s="1"/>
  <c r="J354" i="554" a="1"/>
  <c r="J354" i="554" s="1"/>
  <c r="H354" i="554"/>
  <c r="W353" i="554"/>
  <c r="V353" i="554"/>
  <c r="N353" i="554"/>
  <c r="K353" i="554" a="1"/>
  <c r="K353" i="554" s="1"/>
  <c r="M353" i="554" s="1"/>
  <c r="J353" i="554" a="1"/>
  <c r="J353" i="554" s="1"/>
  <c r="H353" i="554"/>
  <c r="V352" i="554"/>
  <c r="W352" i="554" s="1"/>
  <c r="N352" i="554"/>
  <c r="K352" i="554" a="1"/>
  <c r="K352" i="554" s="1"/>
  <c r="M352" i="554" s="1"/>
  <c r="J352" i="554" a="1"/>
  <c r="J352" i="554" s="1"/>
  <c r="H352" i="554"/>
  <c r="V351" i="554"/>
  <c r="W351" i="554" s="1"/>
  <c r="N351" i="554"/>
  <c r="K351" i="554"/>
  <c r="M351" i="554" s="1"/>
  <c r="K351" i="554" a="1"/>
  <c r="J351" i="554"/>
  <c r="J351" i="554" a="1"/>
  <c r="H351" i="554"/>
  <c r="V350" i="554"/>
  <c r="W350" i="554" s="1"/>
  <c r="N350" i="554"/>
  <c r="K350" i="554" a="1"/>
  <c r="K350" i="554" s="1"/>
  <c r="M350" i="554" s="1"/>
  <c r="J350" i="554" a="1"/>
  <c r="J350" i="554" s="1"/>
  <c r="H350" i="554"/>
  <c r="W349" i="554"/>
  <c r="V349" i="554"/>
  <c r="N349" i="554"/>
  <c r="K349" i="554" a="1"/>
  <c r="K349" i="554" s="1"/>
  <c r="M349" i="554" s="1"/>
  <c r="M370" i="554" s="1"/>
  <c r="J349" i="554" a="1"/>
  <c r="J349" i="554" s="1"/>
  <c r="H349" i="554"/>
  <c r="H370" i="554" s="1"/>
  <c r="X343" i="554"/>
  <c r="X342" i="554"/>
  <c r="X341" i="554"/>
  <c r="G341" i="554"/>
  <c r="C341" i="554"/>
  <c r="X340" i="554"/>
  <c r="I340" i="554"/>
  <c r="E340" i="554"/>
  <c r="K340" i="554" s="1"/>
  <c r="M340" i="554" s="1"/>
  <c r="I339" i="554"/>
  <c r="E339" i="554"/>
  <c r="K339" i="554" s="1"/>
  <c r="M339" i="554" s="1"/>
  <c r="I338" i="554"/>
  <c r="E338" i="554"/>
  <c r="K338" i="554" s="1"/>
  <c r="M338" i="554" s="1"/>
  <c r="X337" i="554"/>
  <c r="I337" i="554"/>
  <c r="I341" i="554" s="1"/>
  <c r="E337" i="554"/>
  <c r="E341" i="554" s="1"/>
  <c r="AA334" i="554"/>
  <c r="Z334" i="554"/>
  <c r="Y334" i="554"/>
  <c r="X334" i="554"/>
  <c r="U334" i="554"/>
  <c r="T334" i="554"/>
  <c r="S334" i="554"/>
  <c r="R334" i="554"/>
  <c r="Q334" i="554"/>
  <c r="P334" i="554"/>
  <c r="O334" i="554"/>
  <c r="I334" i="554"/>
  <c r="G334" i="554"/>
  <c r="J334" i="554" s="1" a="1"/>
  <c r="J334" i="554" s="1"/>
  <c r="K333" i="554" a="1"/>
  <c r="K333" i="554" s="1"/>
  <c r="H333" i="554"/>
  <c r="K332" i="554" a="1"/>
  <c r="K332" i="554" s="1"/>
  <c r="H332" i="554"/>
  <c r="K331" i="554"/>
  <c r="K331" i="554" a="1"/>
  <c r="H331" i="554"/>
  <c r="V330" i="554"/>
  <c r="W330" i="554" s="1"/>
  <c r="N330" i="554"/>
  <c r="K330" i="554" a="1"/>
  <c r="K330" i="554" s="1"/>
  <c r="H330" i="554"/>
  <c r="D330" i="554"/>
  <c r="H329" i="554"/>
  <c r="K328" i="554" a="1"/>
  <c r="K328" i="554" s="1"/>
  <c r="H328" i="554"/>
  <c r="H327" i="554"/>
  <c r="V326" i="554"/>
  <c r="W326" i="554" s="1"/>
  <c r="N326" i="554"/>
  <c r="K326" i="554" a="1"/>
  <c r="K326" i="554" s="1"/>
  <c r="M326" i="554" s="1"/>
  <c r="J326" i="554" a="1"/>
  <c r="J326" i="554" s="1"/>
  <c r="H326" i="554"/>
  <c r="V325" i="554"/>
  <c r="W325" i="554" s="1"/>
  <c r="N325" i="554"/>
  <c r="K325" i="554"/>
  <c r="M325" i="554" s="1"/>
  <c r="K325" i="554" a="1"/>
  <c r="J325" i="554"/>
  <c r="J325" i="554" a="1"/>
  <c r="H325" i="554"/>
  <c r="H324" i="554"/>
  <c r="W323" i="554"/>
  <c r="V323" i="554"/>
  <c r="N323" i="554"/>
  <c r="K323" i="554" a="1"/>
  <c r="K323" i="554" s="1"/>
  <c r="M323" i="554" s="1"/>
  <c r="J323" i="554" a="1"/>
  <c r="J323" i="554" s="1"/>
  <c r="H323" i="554"/>
  <c r="V322" i="554"/>
  <c r="W322" i="554" s="1"/>
  <c r="N322" i="554"/>
  <c r="K322" i="554" a="1"/>
  <c r="K322" i="554" s="1"/>
  <c r="M322" i="554" s="1"/>
  <c r="J322" i="554" a="1"/>
  <c r="J322" i="554" s="1"/>
  <c r="H322" i="554"/>
  <c r="W321" i="554"/>
  <c r="V321" i="554"/>
  <c r="N321" i="554"/>
  <c r="K321" i="554" a="1"/>
  <c r="K321" i="554" s="1"/>
  <c r="M321" i="554" s="1"/>
  <c r="J321" i="554" a="1"/>
  <c r="J321" i="554" s="1"/>
  <c r="H321" i="554"/>
  <c r="V320" i="554"/>
  <c r="W320" i="554" s="1"/>
  <c r="N320" i="554"/>
  <c r="N334" i="554" s="1"/>
  <c r="K320" i="554" a="1"/>
  <c r="K320" i="554" s="1"/>
  <c r="J320" i="554" a="1"/>
  <c r="J320" i="554" s="1"/>
  <c r="H320" i="554"/>
  <c r="AA319" i="554"/>
  <c r="Z319" i="554"/>
  <c r="Y319" i="554"/>
  <c r="X319" i="554"/>
  <c r="U319" i="554"/>
  <c r="T319" i="554"/>
  <c r="S319" i="554"/>
  <c r="Q319" i="554"/>
  <c r="P319" i="554"/>
  <c r="O319" i="554"/>
  <c r="I319" i="554"/>
  <c r="G319" i="554"/>
  <c r="J319" i="554" s="1" a="1"/>
  <c r="J319" i="554" s="1"/>
  <c r="V318" i="554"/>
  <c r="W318" i="554" s="1"/>
  <c r="N318" i="554"/>
  <c r="K318" i="554" a="1"/>
  <c r="K318" i="554" s="1"/>
  <c r="M318" i="554" s="1"/>
  <c r="J318" i="554" a="1"/>
  <c r="J318" i="554" s="1"/>
  <c r="H318" i="554"/>
  <c r="H317" i="554"/>
  <c r="H316" i="554"/>
  <c r="H315" i="554"/>
  <c r="H314" i="554"/>
  <c r="V313" i="554"/>
  <c r="W313" i="554" s="1"/>
  <c r="N313" i="554"/>
  <c r="K313" i="554" a="1"/>
  <c r="K313" i="554" s="1"/>
  <c r="M313" i="554" s="1"/>
  <c r="J313" i="554" a="1"/>
  <c r="J313" i="554" s="1"/>
  <c r="H313" i="554"/>
  <c r="V312" i="554"/>
  <c r="W312" i="554" s="1"/>
  <c r="N312" i="554"/>
  <c r="K312" i="554"/>
  <c r="M312" i="554" s="1"/>
  <c r="K312" i="554" a="1"/>
  <c r="J312" i="554"/>
  <c r="J312" i="554" a="1"/>
  <c r="H312" i="554"/>
  <c r="V311" i="554"/>
  <c r="W311" i="554" s="1"/>
  <c r="N311" i="554"/>
  <c r="K311" i="554" a="1"/>
  <c r="K311" i="554" s="1"/>
  <c r="M311" i="554" s="1"/>
  <c r="J311" i="554" a="1"/>
  <c r="J311" i="554" s="1"/>
  <c r="H311" i="554"/>
  <c r="V310" i="554"/>
  <c r="W310" i="554" s="1"/>
  <c r="N310" i="554"/>
  <c r="K310" i="554" a="1"/>
  <c r="K310" i="554" s="1"/>
  <c r="M310" i="554" s="1"/>
  <c r="J310" i="554" a="1"/>
  <c r="J310" i="554" s="1"/>
  <c r="H310" i="554"/>
  <c r="V309" i="554"/>
  <c r="V319" i="554" s="1"/>
  <c r="W319" i="554" s="1"/>
  <c r="N309" i="554"/>
  <c r="N319" i="554" s="1"/>
  <c r="K309" i="554" a="1"/>
  <c r="K309" i="554" s="1"/>
  <c r="J309" i="554" a="1"/>
  <c r="J309" i="554" s="1"/>
  <c r="H309" i="554"/>
  <c r="H319" i="554" s="1"/>
  <c r="AA308" i="554"/>
  <c r="Z308" i="554"/>
  <c r="Y308" i="554"/>
  <c r="X308" i="554"/>
  <c r="U308" i="554"/>
  <c r="T308" i="554"/>
  <c r="S308" i="554"/>
  <c r="Q308" i="554"/>
  <c r="P308" i="554"/>
  <c r="O308" i="554"/>
  <c r="I308" i="554"/>
  <c r="G308" i="554"/>
  <c r="W307" i="554"/>
  <c r="V307" i="554"/>
  <c r="N307" i="554"/>
  <c r="K307" i="554"/>
  <c r="M307" i="554" s="1"/>
  <c r="K307" i="554" a="1"/>
  <c r="J307" i="554" a="1"/>
  <c r="J307" i="554" s="1"/>
  <c r="H307" i="554"/>
  <c r="V306" i="554"/>
  <c r="W306" i="554" s="1"/>
  <c r="N306" i="554"/>
  <c r="K306" i="554" a="1"/>
  <c r="K306" i="554" s="1"/>
  <c r="M306" i="554" s="1"/>
  <c r="J306" i="554" a="1"/>
  <c r="J306" i="554" s="1"/>
  <c r="H306" i="554"/>
  <c r="W305" i="554"/>
  <c r="V305" i="554"/>
  <c r="N305" i="554"/>
  <c r="K305" i="554" a="1"/>
  <c r="K305" i="554" s="1"/>
  <c r="M305" i="554" s="1"/>
  <c r="J305" i="554" a="1"/>
  <c r="J305" i="554" s="1"/>
  <c r="H305" i="554"/>
  <c r="V304" i="554"/>
  <c r="W304" i="554" s="1"/>
  <c r="N304" i="554"/>
  <c r="K304" i="554" a="1"/>
  <c r="K304" i="554" s="1"/>
  <c r="M304" i="554" s="1"/>
  <c r="J304" i="554" a="1"/>
  <c r="J304" i="554" s="1"/>
  <c r="H304" i="554"/>
  <c r="V303" i="554"/>
  <c r="W303" i="554" s="1"/>
  <c r="N303" i="554"/>
  <c r="K303" i="554"/>
  <c r="M303" i="554" s="1"/>
  <c r="K303" i="554" a="1"/>
  <c r="J303" i="554"/>
  <c r="J303" i="554" a="1"/>
  <c r="H303" i="554"/>
  <c r="V302" i="554"/>
  <c r="W302" i="554" s="1"/>
  <c r="N302" i="554"/>
  <c r="K302" i="554" a="1"/>
  <c r="K302" i="554" s="1"/>
  <c r="M302" i="554" s="1"/>
  <c r="J302" i="554" a="1"/>
  <c r="J302" i="554" s="1"/>
  <c r="H302" i="554"/>
  <c r="W301" i="554"/>
  <c r="V301" i="554"/>
  <c r="N301" i="554"/>
  <c r="K301" i="554" a="1"/>
  <c r="K301" i="554" s="1"/>
  <c r="M301" i="554" s="1"/>
  <c r="J301" i="554" a="1"/>
  <c r="J301" i="554" s="1"/>
  <c r="H301" i="554"/>
  <c r="V300" i="554"/>
  <c r="W300" i="554" s="1"/>
  <c r="N300" i="554"/>
  <c r="K300" i="554" a="1"/>
  <c r="K300" i="554" s="1"/>
  <c r="M300" i="554" s="1"/>
  <c r="J300" i="554" a="1"/>
  <c r="J300" i="554" s="1"/>
  <c r="H300" i="554"/>
  <c r="V299" i="554"/>
  <c r="W299" i="554" s="1"/>
  <c r="N299" i="554"/>
  <c r="K299" i="554"/>
  <c r="M299" i="554" s="1"/>
  <c r="K299" i="554" a="1"/>
  <c r="J299" i="554"/>
  <c r="J299" i="554" a="1"/>
  <c r="H299" i="554"/>
  <c r="V298" i="554"/>
  <c r="W298" i="554" s="1"/>
  <c r="N298" i="554"/>
  <c r="K298" i="554" a="1"/>
  <c r="K298" i="554" s="1"/>
  <c r="M298" i="554" s="1"/>
  <c r="J298" i="554" a="1"/>
  <c r="J298" i="554" s="1"/>
  <c r="H298" i="554"/>
  <c r="W297" i="554"/>
  <c r="V297" i="554"/>
  <c r="N297" i="554"/>
  <c r="K297" i="554" a="1"/>
  <c r="K297" i="554" s="1"/>
  <c r="M297" i="554" s="1"/>
  <c r="J297" i="554" a="1"/>
  <c r="J297" i="554" s="1"/>
  <c r="H297" i="554"/>
  <c r="V296" i="554"/>
  <c r="W296" i="554" s="1"/>
  <c r="N296" i="554"/>
  <c r="K296" i="554" a="1"/>
  <c r="K296" i="554" s="1"/>
  <c r="M296" i="554" s="1"/>
  <c r="J296" i="554" a="1"/>
  <c r="J296" i="554" s="1"/>
  <c r="H296" i="554"/>
  <c r="V295" i="554"/>
  <c r="W295" i="554" s="1"/>
  <c r="N295" i="554"/>
  <c r="K295" i="554"/>
  <c r="M295" i="554" s="1"/>
  <c r="K295" i="554" a="1"/>
  <c r="J295" i="554"/>
  <c r="J295" i="554" a="1"/>
  <c r="H295" i="554"/>
  <c r="V294" i="554"/>
  <c r="W294" i="554" s="1"/>
  <c r="N294" i="554"/>
  <c r="K294" i="554" a="1"/>
  <c r="K294" i="554" s="1"/>
  <c r="M294" i="554" s="1"/>
  <c r="J294" i="554" a="1"/>
  <c r="J294" i="554" s="1"/>
  <c r="W293" i="554"/>
  <c r="V293" i="554"/>
  <c r="N293" i="554"/>
  <c r="N308" i="554" s="1"/>
  <c r="K293" i="554" a="1"/>
  <c r="K293" i="554" s="1"/>
  <c r="M293" i="554" s="1"/>
  <c r="J293" i="554" a="1"/>
  <c r="J293" i="554" s="1"/>
  <c r="H293" i="554"/>
  <c r="AA292" i="554"/>
  <c r="Z292" i="554"/>
  <c r="Y292" i="554"/>
  <c r="X292" i="554"/>
  <c r="U292" i="554"/>
  <c r="T292" i="554"/>
  <c r="S292" i="554"/>
  <c r="R292" i="554"/>
  <c r="Q292" i="554"/>
  <c r="P292" i="554"/>
  <c r="O292" i="554"/>
  <c r="I292" i="554"/>
  <c r="G292" i="554"/>
  <c r="V291" i="554"/>
  <c r="W291" i="554" s="1"/>
  <c r="N291" i="554"/>
  <c r="K291" i="554"/>
  <c r="M291" i="554" s="1"/>
  <c r="K291" i="554" a="1"/>
  <c r="J291" i="554"/>
  <c r="J291" i="554" a="1"/>
  <c r="H291" i="554"/>
  <c r="V290" i="554"/>
  <c r="W290" i="554" s="1"/>
  <c r="N290" i="554"/>
  <c r="K290" i="554" a="1"/>
  <c r="K290" i="554" s="1"/>
  <c r="M290" i="554" s="1"/>
  <c r="J290" i="554" a="1"/>
  <c r="J290" i="554" s="1"/>
  <c r="H290" i="554"/>
  <c r="W289" i="554"/>
  <c r="V289" i="554"/>
  <c r="N289" i="554"/>
  <c r="K289" i="554" a="1"/>
  <c r="K289" i="554" s="1"/>
  <c r="M289" i="554" s="1"/>
  <c r="J289" i="554" a="1"/>
  <c r="J289" i="554" s="1"/>
  <c r="H289" i="554"/>
  <c r="H288" i="554"/>
  <c r="H287" i="554"/>
  <c r="H286" i="554"/>
  <c r="V285" i="554"/>
  <c r="W285" i="554" s="1"/>
  <c r="N285" i="554"/>
  <c r="K285" i="554"/>
  <c r="M285" i="554" s="1"/>
  <c r="K285" i="554" a="1"/>
  <c r="J285" i="554"/>
  <c r="J285" i="554" a="1"/>
  <c r="H285" i="554"/>
  <c r="V284" i="554"/>
  <c r="W284" i="554" s="1"/>
  <c r="N284" i="554"/>
  <c r="K284" i="554" a="1"/>
  <c r="K284" i="554" s="1"/>
  <c r="M284" i="554" s="1"/>
  <c r="J284" i="554" a="1"/>
  <c r="J284" i="554" s="1"/>
  <c r="H284" i="554"/>
  <c r="N283" i="554"/>
  <c r="K283" i="554" a="1"/>
  <c r="K283" i="554" s="1"/>
  <c r="M283" i="554" s="1"/>
  <c r="H283" i="554"/>
  <c r="N282" i="554"/>
  <c r="K282" i="554" a="1"/>
  <c r="K282" i="554" s="1"/>
  <c r="M282" i="554" s="1"/>
  <c r="H282" i="554"/>
  <c r="N281" i="554"/>
  <c r="K281" i="554" a="1"/>
  <c r="K281" i="554" s="1"/>
  <c r="M281" i="554" s="1"/>
  <c r="H281" i="554"/>
  <c r="N280" i="554"/>
  <c r="K280" i="554" a="1"/>
  <c r="K280" i="554" s="1"/>
  <c r="M280" i="554" s="1"/>
  <c r="H280" i="554"/>
  <c r="N279" i="554"/>
  <c r="K279" i="554" a="1"/>
  <c r="K279" i="554" s="1"/>
  <c r="M279" i="554" s="1"/>
  <c r="H279" i="554"/>
  <c r="N278" i="554"/>
  <c r="K278" i="554" a="1"/>
  <c r="K278" i="554" s="1"/>
  <c r="M278" i="554" s="1"/>
  <c r="H278" i="554"/>
  <c r="V277" i="554"/>
  <c r="W277" i="554" s="1"/>
  <c r="N277" i="554"/>
  <c r="K277" i="554"/>
  <c r="M277" i="554" s="1"/>
  <c r="K277" i="554" a="1"/>
  <c r="J277" i="554"/>
  <c r="J277" i="554" a="1"/>
  <c r="H277" i="554"/>
  <c r="V276" i="554"/>
  <c r="W276" i="554" s="1"/>
  <c r="N276" i="554"/>
  <c r="K276" i="554" a="1"/>
  <c r="K276" i="554" s="1"/>
  <c r="M276" i="554" s="1"/>
  <c r="J276" i="554" a="1"/>
  <c r="J276" i="554" s="1"/>
  <c r="H276" i="554"/>
  <c r="W275" i="554"/>
  <c r="V275" i="554"/>
  <c r="N275" i="554"/>
  <c r="K275" i="554" a="1"/>
  <c r="K275" i="554" s="1"/>
  <c r="M275" i="554" s="1"/>
  <c r="J275" i="554" a="1"/>
  <c r="J275" i="554" s="1"/>
  <c r="H275" i="554"/>
  <c r="V274" i="554"/>
  <c r="W274" i="554" s="1"/>
  <c r="N274" i="554"/>
  <c r="K274" i="554" a="1"/>
  <c r="K274" i="554" s="1"/>
  <c r="M274" i="554" s="1"/>
  <c r="J274" i="554" a="1"/>
  <c r="J274" i="554" s="1"/>
  <c r="H274" i="554"/>
  <c r="V273" i="554"/>
  <c r="W273" i="554" s="1"/>
  <c r="N273" i="554"/>
  <c r="K273" i="554"/>
  <c r="M273" i="554" s="1"/>
  <c r="K273" i="554" a="1"/>
  <c r="J273" i="554"/>
  <c r="J273" i="554" a="1"/>
  <c r="H273" i="554"/>
  <c r="V272" i="554"/>
  <c r="W272" i="554" s="1"/>
  <c r="N272" i="554"/>
  <c r="K272" i="554" a="1"/>
  <c r="K272" i="554" s="1"/>
  <c r="M272" i="554" s="1"/>
  <c r="J272" i="554" a="1"/>
  <c r="J272" i="554" s="1"/>
  <c r="H272" i="554"/>
  <c r="W271" i="554"/>
  <c r="V271" i="554"/>
  <c r="N271" i="554"/>
  <c r="K271" i="554" a="1"/>
  <c r="K271" i="554" s="1"/>
  <c r="M271" i="554" s="1"/>
  <c r="J271" i="554" a="1"/>
  <c r="J271" i="554" s="1"/>
  <c r="H271" i="554"/>
  <c r="V270" i="554"/>
  <c r="W270" i="554" s="1"/>
  <c r="N270" i="554"/>
  <c r="K270" i="554" a="1"/>
  <c r="K270" i="554" s="1"/>
  <c r="M270" i="554" s="1"/>
  <c r="J270" i="554" a="1"/>
  <c r="J270" i="554" s="1"/>
  <c r="H270" i="554"/>
  <c r="V269" i="554"/>
  <c r="W269" i="554" s="1"/>
  <c r="N269" i="554"/>
  <c r="K269" i="554"/>
  <c r="M269" i="554" s="1"/>
  <c r="K269" i="554" a="1"/>
  <c r="J269" i="554"/>
  <c r="J269" i="554" a="1"/>
  <c r="H269" i="554"/>
  <c r="V268" i="554"/>
  <c r="W268" i="554" s="1"/>
  <c r="N268" i="554"/>
  <c r="K268" i="554" a="1"/>
  <c r="K268" i="554" s="1"/>
  <c r="M268" i="554" s="1"/>
  <c r="J268" i="554" a="1"/>
  <c r="J268" i="554" s="1"/>
  <c r="H268" i="554"/>
  <c r="W267" i="554"/>
  <c r="V267" i="554"/>
  <c r="N267" i="554"/>
  <c r="K267" i="554" a="1"/>
  <c r="K267" i="554" s="1"/>
  <c r="M267" i="554" s="1"/>
  <c r="J267" i="554" a="1"/>
  <c r="J267" i="554" s="1"/>
  <c r="H267" i="554"/>
  <c r="V266" i="554"/>
  <c r="W266" i="554" s="1"/>
  <c r="N266" i="554"/>
  <c r="K266" i="554" a="1"/>
  <c r="K266" i="554" s="1"/>
  <c r="M266" i="554" s="1"/>
  <c r="J266" i="554" a="1"/>
  <c r="J266" i="554" s="1"/>
  <c r="H266" i="554"/>
  <c r="N265" i="554"/>
  <c r="K265" i="554"/>
  <c r="M265" i="554" s="1"/>
  <c r="K265" i="554" a="1"/>
  <c r="H265" i="554"/>
  <c r="V264" i="554"/>
  <c r="W264" i="554" s="1"/>
  <c r="N264" i="554"/>
  <c r="K264" i="554" a="1"/>
  <c r="K264" i="554" s="1"/>
  <c r="M264" i="554" s="1"/>
  <c r="J264" i="554" a="1"/>
  <c r="J264" i="554" s="1"/>
  <c r="H264" i="554"/>
  <c r="W263" i="554"/>
  <c r="V263" i="554"/>
  <c r="N263" i="554"/>
  <c r="K263" i="554" a="1"/>
  <c r="K263" i="554" s="1"/>
  <c r="M263" i="554" s="1"/>
  <c r="J263" i="554" a="1"/>
  <c r="J263" i="554" s="1"/>
  <c r="H263" i="554"/>
  <c r="V262" i="554"/>
  <c r="W262" i="554" s="1"/>
  <c r="N262" i="554"/>
  <c r="K262" i="554" a="1"/>
  <c r="K262" i="554" s="1"/>
  <c r="M262" i="554" s="1"/>
  <c r="J262" i="554" a="1"/>
  <c r="J262" i="554" s="1"/>
  <c r="H262" i="554"/>
  <c r="V261" i="554"/>
  <c r="W261" i="554" s="1"/>
  <c r="N261" i="554"/>
  <c r="K261" i="554"/>
  <c r="M261" i="554" s="1"/>
  <c r="K261" i="554" a="1"/>
  <c r="J261" i="554"/>
  <c r="J261" i="554" a="1"/>
  <c r="H261" i="554"/>
  <c r="V260" i="554"/>
  <c r="W260" i="554" s="1"/>
  <c r="N260" i="554"/>
  <c r="K260" i="554" a="1"/>
  <c r="K260" i="554" s="1"/>
  <c r="M260" i="554" s="1"/>
  <c r="J260" i="554" a="1"/>
  <c r="J260" i="554" s="1"/>
  <c r="H260" i="554"/>
  <c r="W259" i="554"/>
  <c r="V259" i="554"/>
  <c r="N259" i="554"/>
  <c r="K259" i="554" a="1"/>
  <c r="K259" i="554" s="1"/>
  <c r="M259" i="554" s="1"/>
  <c r="J259" i="554" a="1"/>
  <c r="J259" i="554" s="1"/>
  <c r="H259" i="554"/>
  <c r="V258" i="554"/>
  <c r="W258" i="554" s="1"/>
  <c r="N258" i="554"/>
  <c r="K258" i="554" a="1"/>
  <c r="K258" i="554" s="1"/>
  <c r="J258" i="554" a="1"/>
  <c r="J258" i="554" s="1"/>
  <c r="H258" i="554"/>
  <c r="H292" i="554" s="1"/>
  <c r="AA257" i="554"/>
  <c r="Z257" i="554"/>
  <c r="Y257" i="554"/>
  <c r="X257" i="554"/>
  <c r="U257" i="554"/>
  <c r="T257" i="554"/>
  <c r="S257" i="554"/>
  <c r="R257" i="554"/>
  <c r="Q257" i="554"/>
  <c r="P257" i="554"/>
  <c r="O257" i="554"/>
  <c r="R338" i="554" s="1"/>
  <c r="I257" i="554"/>
  <c r="G257" i="554"/>
  <c r="H256" i="554"/>
  <c r="H255" i="554"/>
  <c r="H254" i="554"/>
  <c r="H253" i="554"/>
  <c r="H252" i="554"/>
  <c r="H251" i="554"/>
  <c r="K250" i="554" a="1"/>
  <c r="K250" i="554" s="1"/>
  <c r="M250" i="554" s="1"/>
  <c r="H250" i="554"/>
  <c r="K249" i="554"/>
  <c r="M249" i="554" s="1"/>
  <c r="K249" i="554" a="1"/>
  <c r="H249" i="554"/>
  <c r="K248" i="554" a="1"/>
  <c r="K248" i="554" s="1"/>
  <c r="M248" i="554" s="1"/>
  <c r="H248" i="554"/>
  <c r="K247" i="554"/>
  <c r="M247" i="554" s="1"/>
  <c r="K247" i="554" a="1"/>
  <c r="H247" i="554"/>
  <c r="V246" i="554"/>
  <c r="W246" i="554" s="1"/>
  <c r="N246" i="554"/>
  <c r="K246" i="554" a="1"/>
  <c r="K246" i="554" s="1"/>
  <c r="M246" i="554" s="1"/>
  <c r="J246" i="554" a="1"/>
  <c r="J246" i="554" s="1"/>
  <c r="H246" i="554"/>
  <c r="V245" i="554"/>
  <c r="W245" i="554" s="1"/>
  <c r="N245" i="554"/>
  <c r="K245" i="554"/>
  <c r="M245" i="554" s="1"/>
  <c r="K245" i="554" a="1"/>
  <c r="J245" i="554"/>
  <c r="J245" i="554" a="1"/>
  <c r="H245" i="554"/>
  <c r="V244" i="554"/>
  <c r="W244" i="554" s="1"/>
  <c r="N244" i="554"/>
  <c r="K244" i="554" a="1"/>
  <c r="K244" i="554" s="1"/>
  <c r="M244" i="554" s="1"/>
  <c r="J244" i="554" a="1"/>
  <c r="J244" i="554" s="1"/>
  <c r="H244" i="554"/>
  <c r="W243" i="554"/>
  <c r="V243" i="554"/>
  <c r="N243" i="554"/>
  <c r="K243" i="554" a="1"/>
  <c r="K243" i="554" s="1"/>
  <c r="M243" i="554" s="1"/>
  <c r="J243" i="554" a="1"/>
  <c r="J243" i="554" s="1"/>
  <c r="H243" i="554"/>
  <c r="M242" i="554"/>
  <c r="H242" i="554"/>
  <c r="V241" i="554"/>
  <c r="W241" i="554" s="1"/>
  <c r="N241" i="554"/>
  <c r="K241" i="554" a="1"/>
  <c r="K241" i="554" s="1"/>
  <c r="M241" i="554" s="1"/>
  <c r="J241" i="554" a="1"/>
  <c r="J241" i="554" s="1"/>
  <c r="H241" i="554"/>
  <c r="V240" i="554"/>
  <c r="W240" i="554" s="1"/>
  <c r="N240" i="554"/>
  <c r="K240" i="554"/>
  <c r="M240" i="554" s="1"/>
  <c r="K240" i="554" a="1"/>
  <c r="J240" i="554"/>
  <c r="J240" i="554" a="1"/>
  <c r="H240" i="554"/>
  <c r="K239" i="554" a="1"/>
  <c r="K239" i="554" s="1"/>
  <c r="M239" i="554" s="1"/>
  <c r="H239" i="554"/>
  <c r="H238" i="554"/>
  <c r="V237" i="554"/>
  <c r="W237" i="554" s="1"/>
  <c r="N237" i="554"/>
  <c r="K237" i="554"/>
  <c r="M237" i="554" s="1"/>
  <c r="K237" i="554" a="1"/>
  <c r="J237" i="554"/>
  <c r="J237" i="554" a="1"/>
  <c r="H237" i="554"/>
  <c r="V236" i="554"/>
  <c r="W236" i="554" s="1"/>
  <c r="N236" i="554"/>
  <c r="K236" i="554" a="1"/>
  <c r="K236" i="554" s="1"/>
  <c r="M236" i="554" s="1"/>
  <c r="J236" i="554" a="1"/>
  <c r="J236" i="554" s="1"/>
  <c r="H236" i="554"/>
  <c r="W235" i="554"/>
  <c r="V235" i="554"/>
  <c r="N235" i="554"/>
  <c r="K235" i="554" a="1"/>
  <c r="K235" i="554" s="1"/>
  <c r="M235" i="554" s="1"/>
  <c r="J235" i="554" a="1"/>
  <c r="J235" i="554" s="1"/>
  <c r="H235" i="554"/>
  <c r="V234" i="554"/>
  <c r="W234" i="554" s="1"/>
  <c r="N234" i="554"/>
  <c r="K234" i="554" a="1"/>
  <c r="K234" i="554" s="1"/>
  <c r="M234" i="554" s="1"/>
  <c r="J234" i="554" a="1"/>
  <c r="J234" i="554" s="1"/>
  <c r="H234" i="554"/>
  <c r="V233" i="554"/>
  <c r="W233" i="554" s="1"/>
  <c r="N233" i="554"/>
  <c r="K233" i="554"/>
  <c r="M233" i="554" s="1"/>
  <c r="K233" i="554" a="1"/>
  <c r="J233" i="554"/>
  <c r="J233" i="554" a="1"/>
  <c r="H233" i="554"/>
  <c r="V232" i="554"/>
  <c r="W232" i="554" s="1"/>
  <c r="N232" i="554"/>
  <c r="K232" i="554" a="1"/>
  <c r="K232" i="554" s="1"/>
  <c r="M232" i="554" s="1"/>
  <c r="J232" i="554" a="1"/>
  <c r="J232" i="554" s="1"/>
  <c r="H232" i="554"/>
  <c r="V231" i="554"/>
  <c r="W231" i="554" s="1"/>
  <c r="N231" i="554"/>
  <c r="K231" i="554"/>
  <c r="M231" i="554" s="1"/>
  <c r="K231" i="554" a="1"/>
  <c r="J231" i="554"/>
  <c r="J231" i="554" a="1"/>
  <c r="H231" i="554"/>
  <c r="V230" i="554"/>
  <c r="W230" i="554" s="1"/>
  <c r="N230" i="554"/>
  <c r="K230" i="554" a="1"/>
  <c r="K230" i="554" s="1"/>
  <c r="M230" i="554" s="1"/>
  <c r="J230" i="554" a="1"/>
  <c r="J230" i="554" s="1"/>
  <c r="H230" i="554"/>
  <c r="W229" i="554"/>
  <c r="V229" i="554"/>
  <c r="N229" i="554"/>
  <c r="K229" i="554" a="1"/>
  <c r="K229" i="554" s="1"/>
  <c r="M229" i="554" s="1"/>
  <c r="J229" i="554" a="1"/>
  <c r="J229" i="554" s="1"/>
  <c r="H229" i="554"/>
  <c r="V228" i="554"/>
  <c r="W228" i="554" s="1"/>
  <c r="N228" i="554"/>
  <c r="K228" i="554" a="1"/>
  <c r="K228" i="554" s="1"/>
  <c r="M228" i="554" s="1"/>
  <c r="J228" i="554" a="1"/>
  <c r="J228" i="554" s="1"/>
  <c r="H228" i="554"/>
  <c r="N227" i="554"/>
  <c r="K227" i="554"/>
  <c r="M227" i="554" s="1"/>
  <c r="K227" i="554" a="1"/>
  <c r="H227" i="554"/>
  <c r="N226" i="554"/>
  <c r="K226" i="554" a="1"/>
  <c r="K226" i="554" s="1"/>
  <c r="M226" i="554" s="1"/>
  <c r="H226" i="554"/>
  <c r="N225" i="554"/>
  <c r="K225" i="554" a="1"/>
  <c r="K225" i="554" s="1"/>
  <c r="M225" i="554" s="1"/>
  <c r="H225" i="554"/>
  <c r="N224" i="554"/>
  <c r="K224" i="554" a="1"/>
  <c r="K224" i="554" s="1"/>
  <c r="M224" i="554" s="1"/>
  <c r="H224" i="554"/>
  <c r="N223" i="554"/>
  <c r="K223" i="554"/>
  <c r="M223" i="554" s="1"/>
  <c r="K223" i="554" a="1"/>
  <c r="H223" i="554"/>
  <c r="N222" i="554"/>
  <c r="K222" i="554" a="1"/>
  <c r="K222" i="554" s="1"/>
  <c r="M222" i="554" s="1"/>
  <c r="H222" i="554"/>
  <c r="N221" i="554"/>
  <c r="K221" i="554" a="1"/>
  <c r="K221" i="554" s="1"/>
  <c r="M221" i="554" s="1"/>
  <c r="H221" i="554"/>
  <c r="N220" i="554"/>
  <c r="K220" i="554" a="1"/>
  <c r="K220" i="554" s="1"/>
  <c r="M220" i="554" s="1"/>
  <c r="H220" i="554"/>
  <c r="W219" i="554"/>
  <c r="V219" i="554"/>
  <c r="N219" i="554"/>
  <c r="K219" i="554" a="1"/>
  <c r="K219" i="554" s="1"/>
  <c r="M219" i="554" s="1"/>
  <c r="J219" i="554" a="1"/>
  <c r="J219" i="554" s="1"/>
  <c r="H219" i="554"/>
  <c r="V218" i="554"/>
  <c r="W218" i="554" s="1"/>
  <c r="N218" i="554"/>
  <c r="K218" i="554" a="1"/>
  <c r="K218" i="554" s="1"/>
  <c r="M218" i="554" s="1"/>
  <c r="J218" i="554" a="1"/>
  <c r="J218" i="554" s="1"/>
  <c r="H218" i="554"/>
  <c r="W217" i="554"/>
  <c r="V217" i="554"/>
  <c r="N217" i="554"/>
  <c r="K217" i="554" a="1"/>
  <c r="K217" i="554" s="1"/>
  <c r="M217" i="554" s="1"/>
  <c r="J217" i="554" a="1"/>
  <c r="J217" i="554" s="1"/>
  <c r="H217" i="554"/>
  <c r="V216" i="554"/>
  <c r="W216" i="554" s="1"/>
  <c r="N216" i="554"/>
  <c r="K216" i="554" a="1"/>
  <c r="K216" i="554" s="1"/>
  <c r="M216" i="554" s="1"/>
  <c r="J216" i="554" a="1"/>
  <c r="J216" i="554" s="1"/>
  <c r="H216" i="554"/>
  <c r="W215" i="554"/>
  <c r="V215" i="554"/>
  <c r="N215" i="554"/>
  <c r="K215" i="554" a="1"/>
  <c r="K215" i="554" s="1"/>
  <c r="M215" i="554" s="1"/>
  <c r="J215" i="554" a="1"/>
  <c r="J215" i="554" s="1"/>
  <c r="H215" i="554"/>
  <c r="V214" i="554"/>
  <c r="W214" i="554" s="1"/>
  <c r="N214" i="554"/>
  <c r="K214" i="554" a="1"/>
  <c r="K214" i="554" s="1"/>
  <c r="M214" i="554" s="1"/>
  <c r="J214" i="554" a="1"/>
  <c r="J214" i="554" s="1"/>
  <c r="H214" i="554"/>
  <c r="V213" i="554"/>
  <c r="W213" i="554" s="1"/>
  <c r="N213" i="554"/>
  <c r="K213" i="554"/>
  <c r="M213" i="554" s="1"/>
  <c r="K213" i="554" a="1"/>
  <c r="J213" i="554"/>
  <c r="J213" i="554" a="1"/>
  <c r="H213" i="554"/>
  <c r="V212" i="554"/>
  <c r="W212" i="554" s="1"/>
  <c r="N212" i="554"/>
  <c r="K212" i="554" a="1"/>
  <c r="K212" i="554" s="1"/>
  <c r="M212" i="554" s="1"/>
  <c r="J212" i="554" a="1"/>
  <c r="J212" i="554" s="1"/>
  <c r="H212" i="554"/>
  <c r="W211" i="554"/>
  <c r="V211" i="554"/>
  <c r="N211" i="554"/>
  <c r="K211" i="554" a="1"/>
  <c r="K211" i="554" s="1"/>
  <c r="M211" i="554" s="1"/>
  <c r="J211" i="554" a="1"/>
  <c r="J211" i="554" s="1"/>
  <c r="H211" i="554"/>
  <c r="V210" i="554"/>
  <c r="W210" i="554" s="1"/>
  <c r="N210" i="554"/>
  <c r="K210" i="554" a="1"/>
  <c r="K210" i="554" s="1"/>
  <c r="M210" i="554" s="1"/>
  <c r="J210" i="554" a="1"/>
  <c r="J210" i="554" s="1"/>
  <c r="H210" i="554"/>
  <c r="W209" i="554"/>
  <c r="V209" i="554"/>
  <c r="N209" i="554"/>
  <c r="K209" i="554" a="1"/>
  <c r="K209" i="554" s="1"/>
  <c r="M209" i="554" s="1"/>
  <c r="J209" i="554" a="1"/>
  <c r="J209" i="554" s="1"/>
  <c r="H209" i="554"/>
  <c r="V208" i="554"/>
  <c r="W208" i="554" s="1"/>
  <c r="N208" i="554"/>
  <c r="K208" i="554" a="1"/>
  <c r="K208" i="554" s="1"/>
  <c r="M208" i="554" s="1"/>
  <c r="J208" i="554" a="1"/>
  <c r="J208" i="554" s="1"/>
  <c r="H208" i="554"/>
  <c r="H207" i="554"/>
  <c r="H206" i="554"/>
  <c r="H205" i="554"/>
  <c r="V204" i="554"/>
  <c r="W204" i="554" s="1"/>
  <c r="N204" i="554"/>
  <c r="K204" i="554" a="1"/>
  <c r="K204" i="554" s="1"/>
  <c r="M204" i="554" s="1"/>
  <c r="J204" i="554" a="1"/>
  <c r="J204" i="554" s="1"/>
  <c r="H204" i="554"/>
  <c r="V203" i="554"/>
  <c r="W203" i="554" s="1"/>
  <c r="N203" i="554"/>
  <c r="K203" i="554" a="1"/>
  <c r="K203" i="554" s="1"/>
  <c r="M203" i="554" s="1"/>
  <c r="J203" i="554" a="1"/>
  <c r="J203" i="554" s="1"/>
  <c r="H203" i="554"/>
  <c r="V202" i="554"/>
  <c r="W202" i="554" s="1"/>
  <c r="N202" i="554"/>
  <c r="K202" i="554" a="1"/>
  <c r="K202" i="554" s="1"/>
  <c r="M202" i="554" s="1"/>
  <c r="J202" i="554" a="1"/>
  <c r="J202" i="554" s="1"/>
  <c r="H202" i="554"/>
  <c r="H201" i="554"/>
  <c r="V200" i="554"/>
  <c r="N200" i="554"/>
  <c r="N257" i="554" s="1"/>
  <c r="K200" i="554" a="1"/>
  <c r="K200" i="554" s="1"/>
  <c r="J200" i="554" a="1"/>
  <c r="J200" i="554" s="1"/>
  <c r="H200" i="554"/>
  <c r="AA199" i="554"/>
  <c r="AA335" i="554" s="1"/>
  <c r="Z199" i="554"/>
  <c r="Z335" i="554" s="1"/>
  <c r="Y199" i="554"/>
  <c r="Y335" i="554" s="1"/>
  <c r="X199" i="554"/>
  <c r="X335" i="554" s="1"/>
  <c r="U199" i="554"/>
  <c r="U335" i="554" s="1"/>
  <c r="T199" i="554"/>
  <c r="T335" i="554" s="1"/>
  <c r="S199" i="554"/>
  <c r="S335" i="554" s="1"/>
  <c r="R199" i="554"/>
  <c r="R335" i="554" s="1"/>
  <c r="Q199" i="554"/>
  <c r="Q335" i="554" s="1"/>
  <c r="P199" i="554"/>
  <c r="O199" i="554"/>
  <c r="I199" i="554"/>
  <c r="I335" i="554" s="1"/>
  <c r="B343" i="554" s="1"/>
  <c r="G199" i="554"/>
  <c r="G335" i="554" s="1"/>
  <c r="V198" i="554"/>
  <c r="W198" i="554" s="1"/>
  <c r="N198" i="554"/>
  <c r="K198" i="554" a="1"/>
  <c r="K198" i="554" s="1"/>
  <c r="M198" i="554" s="1"/>
  <c r="J198" i="554" a="1"/>
  <c r="J198" i="554" s="1"/>
  <c r="H198" i="554"/>
  <c r="V197" i="554"/>
  <c r="W197" i="554" s="1"/>
  <c r="N197" i="554"/>
  <c r="K197" i="554"/>
  <c r="M197" i="554" s="1"/>
  <c r="K197" i="554" a="1"/>
  <c r="J197" i="554"/>
  <c r="J197" i="554" a="1"/>
  <c r="H197" i="554"/>
  <c r="K196" i="554" a="1"/>
  <c r="K196" i="554" s="1"/>
  <c r="M196" i="554" s="1"/>
  <c r="H196" i="554"/>
  <c r="K195" i="554"/>
  <c r="M195" i="554" s="1"/>
  <c r="K195" i="554" a="1"/>
  <c r="H195" i="554"/>
  <c r="K194" i="554" a="1"/>
  <c r="K194" i="554" s="1"/>
  <c r="M194" i="554" s="1"/>
  <c r="H194" i="554"/>
  <c r="K193" i="554"/>
  <c r="M193" i="554" s="1"/>
  <c r="K193" i="554" a="1"/>
  <c r="H193" i="554"/>
  <c r="V192" i="554"/>
  <c r="W192" i="554" s="1"/>
  <c r="N192" i="554"/>
  <c r="K192" i="554" a="1"/>
  <c r="K192" i="554" s="1"/>
  <c r="M192" i="554" s="1"/>
  <c r="J192" i="554" a="1"/>
  <c r="J192" i="554" s="1"/>
  <c r="H192" i="554"/>
  <c r="W191" i="554"/>
  <c r="V191" i="554"/>
  <c r="N191" i="554"/>
  <c r="K191" i="554"/>
  <c r="M191" i="554" s="1"/>
  <c r="K191" i="554" a="1"/>
  <c r="J191" i="554"/>
  <c r="J191" i="554" a="1"/>
  <c r="H191" i="554"/>
  <c r="V190" i="554"/>
  <c r="W190" i="554" s="1"/>
  <c r="N190" i="554"/>
  <c r="K190" i="554" a="1"/>
  <c r="K190" i="554" s="1"/>
  <c r="M190" i="554" s="1"/>
  <c r="J190" i="554" a="1"/>
  <c r="J190" i="554" s="1"/>
  <c r="H190" i="554"/>
  <c r="N189" i="554"/>
  <c r="K189" i="554" a="1"/>
  <c r="K189" i="554" s="1"/>
  <c r="M189" i="554" s="1"/>
  <c r="J189" i="554" a="1"/>
  <c r="J189" i="554" s="1"/>
  <c r="H189" i="554"/>
  <c r="N188" i="554"/>
  <c r="K188" i="554" a="1"/>
  <c r="K188" i="554" s="1"/>
  <c r="M188" i="554" s="1"/>
  <c r="J188" i="554" a="1"/>
  <c r="J188" i="554" s="1"/>
  <c r="H188" i="554"/>
  <c r="W187" i="554"/>
  <c r="V187" i="554"/>
  <c r="N187" i="554"/>
  <c r="K187" i="554" a="1"/>
  <c r="K187" i="554" s="1"/>
  <c r="M187" i="554" s="1"/>
  <c r="J187" i="554" a="1"/>
  <c r="J187" i="554" s="1"/>
  <c r="H187" i="554"/>
  <c r="V186" i="554"/>
  <c r="W186" i="554" s="1"/>
  <c r="N186" i="554"/>
  <c r="K186" i="554" a="1"/>
  <c r="K186" i="554" s="1"/>
  <c r="M186" i="554" s="1"/>
  <c r="J186" i="554" a="1"/>
  <c r="J186" i="554" s="1"/>
  <c r="H186" i="554"/>
  <c r="N185" i="554"/>
  <c r="K185" i="554"/>
  <c r="M185" i="554" s="1"/>
  <c r="K185" i="554" a="1"/>
  <c r="H185" i="554"/>
  <c r="N184" i="554"/>
  <c r="K184" i="554" a="1"/>
  <c r="K184" i="554" s="1"/>
  <c r="M184" i="554" s="1"/>
  <c r="H184" i="554"/>
  <c r="W183" i="554"/>
  <c r="V183" i="554"/>
  <c r="N183" i="554"/>
  <c r="K183" i="554" a="1"/>
  <c r="K183" i="554" s="1"/>
  <c r="M183" i="554" s="1"/>
  <c r="J183" i="554" a="1"/>
  <c r="J183" i="554" s="1"/>
  <c r="H183" i="554"/>
  <c r="V182" i="554"/>
  <c r="W182" i="554" s="1"/>
  <c r="N182" i="554"/>
  <c r="K182" i="554" a="1"/>
  <c r="K182" i="554" s="1"/>
  <c r="M182" i="554" s="1"/>
  <c r="J182" i="554" a="1"/>
  <c r="J182" i="554" s="1"/>
  <c r="H182" i="554"/>
  <c r="V181" i="554"/>
  <c r="W181" i="554" s="1"/>
  <c r="N181" i="554"/>
  <c r="K181" i="554"/>
  <c r="M181" i="554" s="1"/>
  <c r="K181" i="554" a="1"/>
  <c r="J181" i="554"/>
  <c r="J181" i="554" a="1"/>
  <c r="H181" i="554"/>
  <c r="V180" i="554"/>
  <c r="W180" i="554" s="1"/>
  <c r="N180" i="554"/>
  <c r="K180" i="554" a="1"/>
  <c r="K180" i="554" s="1"/>
  <c r="M180" i="554" s="1"/>
  <c r="J180" i="554" a="1"/>
  <c r="J180" i="554" s="1"/>
  <c r="H180" i="554"/>
  <c r="W179" i="554"/>
  <c r="V179" i="554"/>
  <c r="N179" i="554"/>
  <c r="K179" i="554" a="1"/>
  <c r="K179" i="554" s="1"/>
  <c r="M179" i="554" s="1"/>
  <c r="J179" i="554" a="1"/>
  <c r="J179" i="554" s="1"/>
  <c r="H179" i="554"/>
  <c r="V178" i="554"/>
  <c r="V199" i="554" s="1"/>
  <c r="N178" i="554"/>
  <c r="K178" i="554" a="1"/>
  <c r="K178" i="554" s="1"/>
  <c r="J178" i="554" a="1"/>
  <c r="J178" i="554" s="1"/>
  <c r="H178" i="554"/>
  <c r="H199" i="554" s="1"/>
  <c r="X171" i="554"/>
  <c r="Q529" i="554" s="1"/>
  <c r="X170" i="554"/>
  <c r="Q528" i="554" s="1"/>
  <c r="G170" i="554"/>
  <c r="C170" i="554"/>
  <c r="X169" i="554"/>
  <c r="Q527" i="554" s="1"/>
  <c r="I169" i="554"/>
  <c r="E169" i="554"/>
  <c r="K169" i="554" s="1"/>
  <c r="M169" i="554" s="1"/>
  <c r="I168" i="554"/>
  <c r="E168" i="554"/>
  <c r="K168" i="554" s="1"/>
  <c r="M168" i="554" s="1"/>
  <c r="I167" i="554"/>
  <c r="E167" i="554"/>
  <c r="K167" i="554" s="1"/>
  <c r="M167" i="554" s="1"/>
  <c r="X166" i="554"/>
  <c r="Q524" i="554" s="1"/>
  <c r="I166" i="554"/>
  <c r="I170" i="554" s="1"/>
  <c r="E166" i="554"/>
  <c r="K166" i="554" s="1"/>
  <c r="AA163" i="554"/>
  <c r="Z163" i="554"/>
  <c r="Y163" i="554"/>
  <c r="X163" i="554"/>
  <c r="U163" i="554"/>
  <c r="T163" i="554"/>
  <c r="S163" i="554"/>
  <c r="R163" i="554"/>
  <c r="Q163" i="554"/>
  <c r="P163" i="554"/>
  <c r="O163" i="554"/>
  <c r="I163" i="554"/>
  <c r="G163" i="554"/>
  <c r="C529" i="554" s="1"/>
  <c r="H162" i="554"/>
  <c r="H161" i="554"/>
  <c r="H160" i="554"/>
  <c r="V159" i="554"/>
  <c r="W159" i="554" s="1"/>
  <c r="N159" i="554"/>
  <c r="K159" i="554"/>
  <c r="K159" i="554" a="1"/>
  <c r="J159" i="554" a="1"/>
  <c r="J159" i="554" s="1"/>
  <c r="H159" i="554"/>
  <c r="D159" i="554"/>
  <c r="V158" i="554"/>
  <c r="W158" i="554" s="1"/>
  <c r="N158" i="554"/>
  <c r="K158" i="554" a="1"/>
  <c r="K158" i="554" s="1"/>
  <c r="M158" i="554" s="1"/>
  <c r="J158" i="554" a="1"/>
  <c r="J158" i="554" s="1"/>
  <c r="H158" i="554"/>
  <c r="H157" i="554"/>
  <c r="H156" i="554"/>
  <c r="V155" i="554"/>
  <c r="W155" i="554" s="1"/>
  <c r="N155" i="554"/>
  <c r="K155" i="554" a="1"/>
  <c r="K155" i="554" s="1"/>
  <c r="M155" i="554" s="1"/>
  <c r="J155" i="554" a="1"/>
  <c r="J155" i="554" s="1"/>
  <c r="H155" i="554"/>
  <c r="V154" i="554"/>
  <c r="W154" i="554" s="1"/>
  <c r="N154" i="554"/>
  <c r="K154" i="554"/>
  <c r="M154" i="554" s="1"/>
  <c r="K154" i="554" a="1"/>
  <c r="J154" i="554"/>
  <c r="J154" i="554" a="1"/>
  <c r="H154" i="554"/>
  <c r="H153" i="554"/>
  <c r="V152" i="554"/>
  <c r="W152" i="554" s="1"/>
  <c r="N152" i="554"/>
  <c r="K152" i="554" a="1"/>
  <c r="K152" i="554" s="1"/>
  <c r="M152" i="554" s="1"/>
  <c r="J152" i="554" a="1"/>
  <c r="J152" i="554" s="1"/>
  <c r="H152" i="554"/>
  <c r="V151" i="554"/>
  <c r="W151" i="554" s="1"/>
  <c r="N151" i="554"/>
  <c r="K151" i="554" a="1"/>
  <c r="K151" i="554" s="1"/>
  <c r="M151" i="554" s="1"/>
  <c r="J151" i="554" a="1"/>
  <c r="J151" i="554" s="1"/>
  <c r="H151" i="554"/>
  <c r="V150" i="554"/>
  <c r="W150" i="554" s="1"/>
  <c r="N150" i="554"/>
  <c r="K150" i="554"/>
  <c r="M150" i="554" s="1"/>
  <c r="K150" i="554" a="1"/>
  <c r="J150" i="554"/>
  <c r="J150" i="554" a="1"/>
  <c r="H150" i="554"/>
  <c r="V149" i="554"/>
  <c r="N149" i="554"/>
  <c r="N163" i="554" s="1"/>
  <c r="K149" i="554" a="1"/>
  <c r="K149" i="554" s="1"/>
  <c r="J149" i="554" a="1"/>
  <c r="J149" i="554" s="1"/>
  <c r="H149" i="554"/>
  <c r="H163" i="554" s="1"/>
  <c r="AA148" i="554"/>
  <c r="Z148" i="554"/>
  <c r="Y148" i="554"/>
  <c r="X148" i="554"/>
  <c r="U148" i="554"/>
  <c r="T148" i="554"/>
  <c r="S148" i="554"/>
  <c r="Q148" i="554"/>
  <c r="P148" i="554"/>
  <c r="O148" i="554"/>
  <c r="I148" i="554"/>
  <c r="G148" i="554"/>
  <c r="C528" i="554" s="1"/>
  <c r="V147" i="554"/>
  <c r="W147" i="554" s="1"/>
  <c r="N147" i="554"/>
  <c r="K147" i="554"/>
  <c r="M147" i="554" s="1"/>
  <c r="K147" i="554" a="1"/>
  <c r="J147" i="554"/>
  <c r="J147" i="554" a="1"/>
  <c r="H147" i="554"/>
  <c r="K146" i="554" a="1"/>
  <c r="K146" i="554" s="1"/>
  <c r="H146" i="554"/>
  <c r="K145" i="554" a="1"/>
  <c r="K145" i="554" s="1"/>
  <c r="H145" i="554"/>
  <c r="K144" i="554" a="1"/>
  <c r="K144" i="554" s="1"/>
  <c r="H144" i="554"/>
  <c r="K143" i="554" a="1"/>
  <c r="K143" i="554" s="1"/>
  <c r="H143" i="554"/>
  <c r="W142" i="554"/>
  <c r="V142" i="554"/>
  <c r="N142" i="554"/>
  <c r="K142" i="554" a="1"/>
  <c r="K142" i="554" s="1"/>
  <c r="M142" i="554" s="1"/>
  <c r="J142" i="554" a="1"/>
  <c r="J142" i="554" s="1"/>
  <c r="H142" i="554"/>
  <c r="V141" i="554"/>
  <c r="W141" i="554" s="1"/>
  <c r="N141" i="554"/>
  <c r="K141" i="554"/>
  <c r="M141" i="554" s="1"/>
  <c r="K141" i="554" a="1"/>
  <c r="J141" i="554" a="1"/>
  <c r="J141" i="554" s="1"/>
  <c r="H141" i="554"/>
  <c r="W140" i="554"/>
  <c r="V140" i="554"/>
  <c r="N140" i="554"/>
  <c r="K140" i="554" a="1"/>
  <c r="K140" i="554" s="1"/>
  <c r="M140" i="554" s="1"/>
  <c r="J140" i="554" a="1"/>
  <c r="J140" i="554" s="1"/>
  <c r="H140" i="554"/>
  <c r="V139" i="554"/>
  <c r="W139" i="554" s="1"/>
  <c r="N139" i="554"/>
  <c r="K139" i="554"/>
  <c r="M139" i="554" s="1"/>
  <c r="K139" i="554" a="1"/>
  <c r="J139" i="554" a="1"/>
  <c r="J139" i="554" s="1"/>
  <c r="H139" i="554"/>
  <c r="W138" i="554"/>
  <c r="V138" i="554"/>
  <c r="N138" i="554"/>
  <c r="N148" i="554" s="1"/>
  <c r="K138" i="554" a="1"/>
  <c r="K138" i="554" s="1"/>
  <c r="J138" i="554" a="1"/>
  <c r="J138" i="554" s="1"/>
  <c r="H138" i="554"/>
  <c r="H148" i="554" s="1"/>
  <c r="AA137" i="554"/>
  <c r="Z137" i="554"/>
  <c r="Y137" i="554"/>
  <c r="X137" i="554"/>
  <c r="U137" i="554"/>
  <c r="T137" i="554"/>
  <c r="S137" i="554"/>
  <c r="Q137" i="554"/>
  <c r="P137" i="554"/>
  <c r="O137" i="554"/>
  <c r="R169" i="554" s="1"/>
  <c r="I137" i="554"/>
  <c r="G137" i="554"/>
  <c r="C527" i="554" s="1"/>
  <c r="V136" i="554"/>
  <c r="W136" i="554" s="1"/>
  <c r="N136" i="554"/>
  <c r="K136" i="554" a="1"/>
  <c r="K136" i="554" s="1"/>
  <c r="M136" i="554" s="1"/>
  <c r="J136" i="554" a="1"/>
  <c r="J136" i="554" s="1"/>
  <c r="H136" i="554"/>
  <c r="V135" i="554"/>
  <c r="W135" i="554" s="1"/>
  <c r="N135" i="554"/>
  <c r="K135" i="554" a="1"/>
  <c r="K135" i="554" s="1"/>
  <c r="M135" i="554" s="1"/>
  <c r="J135" i="554" a="1"/>
  <c r="J135" i="554" s="1"/>
  <c r="H135" i="554"/>
  <c r="V134" i="554"/>
  <c r="W134" i="554" s="1"/>
  <c r="N134" i="554"/>
  <c r="K134" i="554" a="1"/>
  <c r="K134" i="554" s="1"/>
  <c r="M134" i="554" s="1"/>
  <c r="J134" i="554" a="1"/>
  <c r="J134" i="554" s="1"/>
  <c r="H134" i="554"/>
  <c r="V133" i="554"/>
  <c r="W133" i="554" s="1"/>
  <c r="N133" i="554"/>
  <c r="K133" i="554"/>
  <c r="M133" i="554" s="1"/>
  <c r="K133" i="554" a="1"/>
  <c r="J133" i="554"/>
  <c r="J133" i="554" a="1"/>
  <c r="H133" i="554"/>
  <c r="V132" i="554"/>
  <c r="W132" i="554" s="1"/>
  <c r="N132" i="554"/>
  <c r="K132" i="554" a="1"/>
  <c r="K132" i="554" s="1"/>
  <c r="M132" i="554" s="1"/>
  <c r="J132" i="554" a="1"/>
  <c r="J132" i="554" s="1"/>
  <c r="H132" i="554"/>
  <c r="W131" i="554"/>
  <c r="V131" i="554"/>
  <c r="N131" i="554"/>
  <c r="K131" i="554" a="1"/>
  <c r="K131" i="554" s="1"/>
  <c r="M131" i="554" s="1"/>
  <c r="J131" i="554" a="1"/>
  <c r="J131" i="554" s="1"/>
  <c r="H131" i="554"/>
  <c r="V130" i="554"/>
  <c r="W130" i="554" s="1"/>
  <c r="N130" i="554"/>
  <c r="K130" i="554" a="1"/>
  <c r="K130" i="554" s="1"/>
  <c r="M130" i="554" s="1"/>
  <c r="J130" i="554" a="1"/>
  <c r="J130" i="554" s="1"/>
  <c r="H130" i="554"/>
  <c r="V129" i="554"/>
  <c r="W129" i="554" s="1"/>
  <c r="N129" i="554"/>
  <c r="K129" i="554"/>
  <c r="M129" i="554" s="1"/>
  <c r="K129" i="554" a="1"/>
  <c r="J129" i="554"/>
  <c r="J129" i="554" a="1"/>
  <c r="H129" i="554"/>
  <c r="V128" i="554"/>
  <c r="W128" i="554" s="1"/>
  <c r="N128" i="554"/>
  <c r="K128" i="554" a="1"/>
  <c r="K128" i="554" s="1"/>
  <c r="M128" i="554" s="1"/>
  <c r="J128" i="554" a="1"/>
  <c r="J128" i="554" s="1"/>
  <c r="H128" i="554"/>
  <c r="W127" i="554"/>
  <c r="V127" i="554"/>
  <c r="N127" i="554"/>
  <c r="K127" i="554" a="1"/>
  <c r="K127" i="554" s="1"/>
  <c r="M127" i="554" s="1"/>
  <c r="J127" i="554" a="1"/>
  <c r="J127" i="554" s="1"/>
  <c r="H127" i="554"/>
  <c r="V126" i="554"/>
  <c r="W126" i="554" s="1"/>
  <c r="N126" i="554"/>
  <c r="K126" i="554" a="1"/>
  <c r="K126" i="554" s="1"/>
  <c r="M126" i="554" s="1"/>
  <c r="J126" i="554" a="1"/>
  <c r="J126" i="554" s="1"/>
  <c r="H126" i="554"/>
  <c r="V125" i="554"/>
  <c r="W125" i="554" s="1"/>
  <c r="N125" i="554"/>
  <c r="K125" i="554"/>
  <c r="M125" i="554" s="1"/>
  <c r="K125" i="554" a="1"/>
  <c r="J125" i="554"/>
  <c r="J125" i="554" a="1"/>
  <c r="H125" i="554"/>
  <c r="V124" i="554"/>
  <c r="W124" i="554" s="1"/>
  <c r="N124" i="554"/>
  <c r="K124" i="554" a="1"/>
  <c r="K124" i="554" s="1"/>
  <c r="M124" i="554" s="1"/>
  <c r="J124" i="554" a="1"/>
  <c r="J124" i="554" s="1"/>
  <c r="H124" i="554"/>
  <c r="W123" i="554"/>
  <c r="V123" i="554"/>
  <c r="N123" i="554"/>
  <c r="K123" i="554" a="1"/>
  <c r="K123" i="554" s="1"/>
  <c r="M123" i="554" s="1"/>
  <c r="J123" i="554" a="1"/>
  <c r="J123" i="554" s="1"/>
  <c r="H123" i="554"/>
  <c r="V122" i="554"/>
  <c r="W122" i="554" s="1"/>
  <c r="N122" i="554"/>
  <c r="K122" i="554" a="1"/>
  <c r="K122" i="554" s="1"/>
  <c r="J122" i="554" a="1"/>
  <c r="J122" i="554" s="1"/>
  <c r="H122" i="554"/>
  <c r="H137" i="554" s="1"/>
  <c r="AA121" i="554"/>
  <c r="Z121" i="554"/>
  <c r="Y121" i="554"/>
  <c r="X121" i="554"/>
  <c r="U121" i="554"/>
  <c r="T121" i="554"/>
  <c r="S121" i="554"/>
  <c r="R121" i="554"/>
  <c r="Q121" i="554"/>
  <c r="P121" i="554"/>
  <c r="O121" i="554"/>
  <c r="I121" i="554"/>
  <c r="G121" i="554"/>
  <c r="C526" i="554" s="1"/>
  <c r="V120" i="554"/>
  <c r="W120" i="554" s="1"/>
  <c r="N120" i="554"/>
  <c r="K120" i="554" a="1"/>
  <c r="K120" i="554" s="1"/>
  <c r="M120" i="554" s="1"/>
  <c r="H120" i="554"/>
  <c r="W119" i="554"/>
  <c r="V119" i="554"/>
  <c r="N119" i="554"/>
  <c r="K119" i="554" a="1"/>
  <c r="K119" i="554" s="1"/>
  <c r="M119" i="554" s="1"/>
  <c r="H119" i="554"/>
  <c r="V118" i="554"/>
  <c r="W118" i="554" s="1"/>
  <c r="N118" i="554"/>
  <c r="K118" i="554" a="1"/>
  <c r="K118" i="554" s="1"/>
  <c r="M118" i="554" s="1"/>
  <c r="H118" i="554"/>
  <c r="K117" i="554" a="1"/>
  <c r="K117" i="554" s="1"/>
  <c r="H117" i="554"/>
  <c r="K116" i="554" a="1"/>
  <c r="K116" i="554" s="1"/>
  <c r="H116" i="554"/>
  <c r="K115" i="554" a="1"/>
  <c r="K115" i="554" s="1"/>
  <c r="H115" i="554"/>
  <c r="V114" i="554"/>
  <c r="W114" i="554" s="1"/>
  <c r="N114" i="554"/>
  <c r="K114" i="554" a="1"/>
  <c r="K114" i="554" s="1"/>
  <c r="M114" i="554" s="1"/>
  <c r="H114" i="554"/>
  <c r="V113" i="554"/>
  <c r="W113" i="554" s="1"/>
  <c r="N113" i="554"/>
  <c r="K113" i="554" a="1"/>
  <c r="K113" i="554" s="1"/>
  <c r="M113" i="554" s="1"/>
  <c r="H113" i="554"/>
  <c r="N112" i="554"/>
  <c r="K112" i="554" a="1"/>
  <c r="K112" i="554" s="1"/>
  <c r="M112" i="554" s="1"/>
  <c r="H112" i="554"/>
  <c r="N111" i="554"/>
  <c r="K111" i="554" a="1"/>
  <c r="K111" i="554" s="1"/>
  <c r="M111" i="554" s="1"/>
  <c r="H111" i="554"/>
  <c r="N110" i="554"/>
  <c r="K110" i="554" a="1"/>
  <c r="K110" i="554" s="1"/>
  <c r="M110" i="554" s="1"/>
  <c r="H110" i="554"/>
  <c r="N109" i="554"/>
  <c r="K109" i="554" a="1"/>
  <c r="K109" i="554" s="1"/>
  <c r="M109" i="554" s="1"/>
  <c r="H109" i="554"/>
  <c r="N108" i="554"/>
  <c r="K108" i="554" a="1"/>
  <c r="K108" i="554" s="1"/>
  <c r="M108" i="554" s="1"/>
  <c r="H108" i="554"/>
  <c r="N107" i="554"/>
  <c r="K107" i="554" a="1"/>
  <c r="K107" i="554" s="1"/>
  <c r="M107" i="554" s="1"/>
  <c r="H107" i="554"/>
  <c r="V106" i="554"/>
  <c r="W106" i="554" s="1"/>
  <c r="N106" i="554"/>
  <c r="K106" i="554" a="1"/>
  <c r="K106" i="554" s="1"/>
  <c r="M106" i="554" s="1"/>
  <c r="J106" i="554" a="1"/>
  <c r="J106" i="554" s="1"/>
  <c r="H106" i="554"/>
  <c r="V105" i="554"/>
  <c r="W105" i="554" s="1"/>
  <c r="N105" i="554"/>
  <c r="K105" i="554" a="1"/>
  <c r="K105" i="554" s="1"/>
  <c r="M105" i="554" s="1"/>
  <c r="J105" i="554" a="1"/>
  <c r="J105" i="554" s="1"/>
  <c r="H105" i="554"/>
  <c r="V104" i="554"/>
  <c r="W104" i="554" s="1"/>
  <c r="N104" i="554"/>
  <c r="K104" i="554" a="1"/>
  <c r="K104" i="554" s="1"/>
  <c r="M104" i="554" s="1"/>
  <c r="J104" i="554" a="1"/>
  <c r="J104" i="554" s="1"/>
  <c r="H104" i="554"/>
  <c r="V103" i="554"/>
  <c r="W103" i="554" s="1"/>
  <c r="N103" i="554"/>
  <c r="K103" i="554" a="1"/>
  <c r="K103" i="554" s="1"/>
  <c r="M103" i="554" s="1"/>
  <c r="J103" i="554" a="1"/>
  <c r="J103" i="554" s="1"/>
  <c r="H103" i="554"/>
  <c r="V102" i="554"/>
  <c r="W102" i="554" s="1"/>
  <c r="N102" i="554"/>
  <c r="K102" i="554" a="1"/>
  <c r="K102" i="554" s="1"/>
  <c r="M102" i="554" s="1"/>
  <c r="J102" i="554" a="1"/>
  <c r="J102" i="554" s="1"/>
  <c r="H102" i="554"/>
  <c r="V101" i="554"/>
  <c r="W101" i="554" s="1"/>
  <c r="N101" i="554"/>
  <c r="K101" i="554" a="1"/>
  <c r="K101" i="554" s="1"/>
  <c r="M101" i="554" s="1"/>
  <c r="J101" i="554" a="1"/>
  <c r="J101" i="554" s="1"/>
  <c r="H101" i="554"/>
  <c r="V100" i="554"/>
  <c r="W100" i="554" s="1"/>
  <c r="N100" i="554"/>
  <c r="K100" i="554" a="1"/>
  <c r="K100" i="554" s="1"/>
  <c r="M100" i="554" s="1"/>
  <c r="J100" i="554" a="1"/>
  <c r="J100" i="554" s="1"/>
  <c r="H100" i="554"/>
  <c r="V99" i="554"/>
  <c r="W99" i="554" s="1"/>
  <c r="N99" i="554"/>
  <c r="K99" i="554" a="1"/>
  <c r="K99" i="554" s="1"/>
  <c r="M99" i="554" s="1"/>
  <c r="J99" i="554" a="1"/>
  <c r="J99" i="554" s="1"/>
  <c r="H99" i="554"/>
  <c r="V98" i="554"/>
  <c r="W98" i="554" s="1"/>
  <c r="N98" i="554"/>
  <c r="K98" i="554" a="1"/>
  <c r="K98" i="554" s="1"/>
  <c r="M98" i="554" s="1"/>
  <c r="J98" i="554" a="1"/>
  <c r="J98" i="554" s="1"/>
  <c r="H98" i="554"/>
  <c r="V97" i="554"/>
  <c r="W97" i="554" s="1"/>
  <c r="N97" i="554"/>
  <c r="K97" i="554" a="1"/>
  <c r="K97" i="554" s="1"/>
  <c r="M97" i="554" s="1"/>
  <c r="J97" i="554" a="1"/>
  <c r="J97" i="554" s="1"/>
  <c r="H97" i="554"/>
  <c r="V96" i="554"/>
  <c r="W96" i="554" s="1"/>
  <c r="N96" i="554"/>
  <c r="K96" i="554" a="1"/>
  <c r="K96" i="554" s="1"/>
  <c r="M96" i="554" s="1"/>
  <c r="J96" i="554" a="1"/>
  <c r="J96" i="554" s="1"/>
  <c r="H96" i="554"/>
  <c r="W95" i="554"/>
  <c r="V95" i="554"/>
  <c r="N95" i="554"/>
  <c r="K95" i="554" a="1"/>
  <c r="K95" i="554" s="1"/>
  <c r="M95" i="554" s="1"/>
  <c r="J95" i="554" a="1"/>
  <c r="J95" i="554" s="1"/>
  <c r="H95" i="554"/>
  <c r="K94" i="554" a="1"/>
  <c r="K94" i="554" s="1"/>
  <c r="M94" i="554" s="1"/>
  <c r="H94" i="554"/>
  <c r="V93" i="554"/>
  <c r="W93" i="554" s="1"/>
  <c r="N93" i="554"/>
  <c r="K93" i="554" a="1"/>
  <c r="K93" i="554" s="1"/>
  <c r="M93" i="554" s="1"/>
  <c r="J93" i="554" a="1"/>
  <c r="J93" i="554" s="1"/>
  <c r="H93" i="554"/>
  <c r="V92" i="554"/>
  <c r="W92" i="554" s="1"/>
  <c r="N92" i="554"/>
  <c r="K92" i="554" a="1"/>
  <c r="K92" i="554" s="1"/>
  <c r="M92" i="554" s="1"/>
  <c r="J92" i="554" a="1"/>
  <c r="J92" i="554" s="1"/>
  <c r="H92" i="554"/>
  <c r="V91" i="554"/>
  <c r="W91" i="554" s="1"/>
  <c r="N91" i="554"/>
  <c r="K91" i="554" a="1"/>
  <c r="K91" i="554" s="1"/>
  <c r="M91" i="554" s="1"/>
  <c r="J91" i="554" a="1"/>
  <c r="J91" i="554" s="1"/>
  <c r="H91" i="554"/>
  <c r="V90" i="554"/>
  <c r="W90" i="554" s="1"/>
  <c r="N90" i="554"/>
  <c r="K90" i="554" a="1"/>
  <c r="K90" i="554" s="1"/>
  <c r="M90" i="554" s="1"/>
  <c r="J90" i="554" a="1"/>
  <c r="J90" i="554" s="1"/>
  <c r="H90" i="554"/>
  <c r="V89" i="554"/>
  <c r="W89" i="554" s="1"/>
  <c r="N89" i="554"/>
  <c r="K89" i="554" a="1"/>
  <c r="K89" i="554" s="1"/>
  <c r="M89" i="554" s="1"/>
  <c r="J89" i="554" a="1"/>
  <c r="J89" i="554" s="1"/>
  <c r="H89" i="554"/>
  <c r="V88" i="554"/>
  <c r="W88" i="554" s="1"/>
  <c r="N88" i="554"/>
  <c r="K88" i="554" a="1"/>
  <c r="K88" i="554" s="1"/>
  <c r="M88" i="554" s="1"/>
  <c r="J88" i="554" a="1"/>
  <c r="J88" i="554" s="1"/>
  <c r="H88" i="554"/>
  <c r="V87" i="554"/>
  <c r="N87" i="554"/>
  <c r="K87" i="554" a="1"/>
  <c r="K87" i="554" s="1"/>
  <c r="J87" i="554" a="1"/>
  <c r="J87" i="554" s="1"/>
  <c r="H87" i="554"/>
  <c r="AA86" i="554"/>
  <c r="Z86" i="554"/>
  <c r="Y86" i="554"/>
  <c r="X86" i="554"/>
  <c r="U86" i="554"/>
  <c r="T86" i="554"/>
  <c r="S86" i="554"/>
  <c r="R86" i="554"/>
  <c r="Q86" i="554"/>
  <c r="P86" i="554"/>
  <c r="O86" i="554"/>
  <c r="R167" i="554" s="1"/>
  <c r="I86" i="554"/>
  <c r="G86" i="554"/>
  <c r="C525" i="554" s="1"/>
  <c r="K85" i="554" a="1"/>
  <c r="K85" i="554" s="1"/>
  <c r="H85" i="554"/>
  <c r="K84" i="554"/>
  <c r="K84" i="554" a="1"/>
  <c r="H84" i="554"/>
  <c r="K83" i="554" a="1"/>
  <c r="K83" i="554" s="1"/>
  <c r="H83" i="554"/>
  <c r="K82" i="554" a="1"/>
  <c r="K82" i="554" s="1"/>
  <c r="H82" i="554"/>
  <c r="K81" i="554" a="1"/>
  <c r="K81" i="554" s="1"/>
  <c r="H81" i="554"/>
  <c r="K80" i="554" a="1"/>
  <c r="K80" i="554" s="1"/>
  <c r="H80" i="554"/>
  <c r="K79" i="554" a="1"/>
  <c r="K79" i="554" s="1"/>
  <c r="M79" i="554" s="1"/>
  <c r="H79" i="554"/>
  <c r="K78" i="554" a="1"/>
  <c r="K78" i="554" s="1"/>
  <c r="M78" i="554" s="1"/>
  <c r="H78" i="554"/>
  <c r="K77" i="554" a="1"/>
  <c r="K77" i="554" s="1"/>
  <c r="M77" i="554" s="1"/>
  <c r="H77" i="554"/>
  <c r="K76" i="554" a="1"/>
  <c r="K76" i="554" s="1"/>
  <c r="M76" i="554" s="1"/>
  <c r="H76" i="554"/>
  <c r="V75" i="554"/>
  <c r="W75" i="554" s="1"/>
  <c r="N75" i="554"/>
  <c r="K75" i="554" a="1"/>
  <c r="K75" i="554" s="1"/>
  <c r="M75" i="554" s="1"/>
  <c r="J75" i="554" a="1"/>
  <c r="J75" i="554" s="1"/>
  <c r="H75" i="554"/>
  <c r="V74" i="554"/>
  <c r="W74" i="554" s="1"/>
  <c r="N74" i="554"/>
  <c r="K74" i="554"/>
  <c r="M74" i="554" s="1"/>
  <c r="K74" i="554" a="1"/>
  <c r="J74" i="554"/>
  <c r="J74" i="554" a="1"/>
  <c r="H74" i="554"/>
  <c r="V73" i="554"/>
  <c r="W73" i="554" s="1"/>
  <c r="N73" i="554"/>
  <c r="K73" i="554" a="1"/>
  <c r="K73" i="554" s="1"/>
  <c r="M73" i="554" s="1"/>
  <c r="J73" i="554" a="1"/>
  <c r="J73" i="554" s="1"/>
  <c r="H73" i="554"/>
  <c r="W72" i="554"/>
  <c r="V72" i="554"/>
  <c r="N72" i="554"/>
  <c r="K72" i="554" a="1"/>
  <c r="K72" i="554" s="1"/>
  <c r="M72" i="554" s="1"/>
  <c r="J72" i="554" a="1"/>
  <c r="J72" i="554" s="1"/>
  <c r="H72" i="554"/>
  <c r="H71" i="554"/>
  <c r="V70" i="554"/>
  <c r="W70" i="554" s="1"/>
  <c r="N70" i="554"/>
  <c r="K70" i="554"/>
  <c r="M70" i="554" s="1"/>
  <c r="K70" i="554" a="1"/>
  <c r="J70" i="554"/>
  <c r="J70" i="554" a="1"/>
  <c r="H70" i="554"/>
  <c r="V69" i="554"/>
  <c r="W69" i="554" s="1"/>
  <c r="N69" i="554"/>
  <c r="K69" i="554" a="1"/>
  <c r="K69" i="554" s="1"/>
  <c r="M69" i="554" s="1"/>
  <c r="J69" i="554" a="1"/>
  <c r="J69" i="554" s="1"/>
  <c r="H69" i="554"/>
  <c r="K68" i="554"/>
  <c r="K68" i="554" a="1"/>
  <c r="H68" i="554"/>
  <c r="K67" i="554" a="1"/>
  <c r="K67" i="554" s="1"/>
  <c r="H67" i="554"/>
  <c r="W66" i="554"/>
  <c r="V66" i="554"/>
  <c r="N66" i="554"/>
  <c r="K66" i="554"/>
  <c r="M66" i="554" s="1"/>
  <c r="K66" i="554" a="1"/>
  <c r="J66" i="554" a="1"/>
  <c r="J66" i="554" s="1"/>
  <c r="H66" i="554"/>
  <c r="V65" i="554"/>
  <c r="W65" i="554" s="1"/>
  <c r="N65" i="554"/>
  <c r="K65" i="554" a="1"/>
  <c r="K65" i="554" s="1"/>
  <c r="M65" i="554" s="1"/>
  <c r="J65" i="554" a="1"/>
  <c r="J65" i="554" s="1"/>
  <c r="H65" i="554"/>
  <c r="V64" i="554"/>
  <c r="W64" i="554" s="1"/>
  <c r="N64" i="554"/>
  <c r="K64" i="554"/>
  <c r="M64" i="554" s="1"/>
  <c r="K64" i="554" a="1"/>
  <c r="J64" i="554" a="1"/>
  <c r="J64" i="554" s="1"/>
  <c r="H64" i="554"/>
  <c r="V63" i="554"/>
  <c r="W63" i="554" s="1"/>
  <c r="N63" i="554"/>
  <c r="K63" i="554" a="1"/>
  <c r="K63" i="554" s="1"/>
  <c r="M63" i="554" s="1"/>
  <c r="J63" i="554" a="1"/>
  <c r="J63" i="554" s="1"/>
  <c r="H63" i="554"/>
  <c r="V62" i="554"/>
  <c r="W62" i="554" s="1"/>
  <c r="N62" i="554"/>
  <c r="K62" i="554"/>
  <c r="M62" i="554" s="1"/>
  <c r="K62" i="554" a="1"/>
  <c r="J62" i="554"/>
  <c r="J62" i="554" a="1"/>
  <c r="H62" i="554"/>
  <c r="V61" i="554"/>
  <c r="W61" i="554" s="1"/>
  <c r="N61" i="554"/>
  <c r="K61" i="554" a="1"/>
  <c r="K61" i="554" s="1"/>
  <c r="M61" i="554" s="1"/>
  <c r="J61" i="554" a="1"/>
  <c r="J61" i="554" s="1"/>
  <c r="H61" i="554"/>
  <c r="V60" i="554"/>
  <c r="W60" i="554" s="1"/>
  <c r="N60" i="554"/>
  <c r="K60" i="554"/>
  <c r="M60" i="554" s="1"/>
  <c r="K60" i="554" a="1"/>
  <c r="J60" i="554"/>
  <c r="J60" i="554" a="1"/>
  <c r="H60" i="554"/>
  <c r="V59" i="554"/>
  <c r="W59" i="554" s="1"/>
  <c r="N59" i="554"/>
  <c r="K59" i="554" a="1"/>
  <c r="K59" i="554" s="1"/>
  <c r="M59" i="554" s="1"/>
  <c r="J59" i="554" a="1"/>
  <c r="J59" i="554" s="1"/>
  <c r="H59" i="554"/>
  <c r="V58" i="554"/>
  <c r="W58" i="554" s="1"/>
  <c r="N58" i="554"/>
  <c r="K58" i="554"/>
  <c r="M58" i="554" s="1"/>
  <c r="K58" i="554" a="1"/>
  <c r="J58" i="554"/>
  <c r="J58" i="554" a="1"/>
  <c r="H58" i="554"/>
  <c r="V57" i="554"/>
  <c r="W57" i="554" s="1"/>
  <c r="N57" i="554"/>
  <c r="K57" i="554" a="1"/>
  <c r="K57" i="554" s="1"/>
  <c r="M57" i="554" s="1"/>
  <c r="J57" i="554" a="1"/>
  <c r="J57" i="554" s="1"/>
  <c r="H57" i="554"/>
  <c r="K56" i="554" a="1"/>
  <c r="K56" i="554" s="1"/>
  <c r="M56" i="554" s="1"/>
  <c r="H56" i="554"/>
  <c r="K55" i="554" a="1"/>
  <c r="K55" i="554" s="1"/>
  <c r="M55" i="554" s="1"/>
  <c r="H55" i="554"/>
  <c r="K54" i="554" a="1"/>
  <c r="K54" i="554" s="1"/>
  <c r="M54" i="554" s="1"/>
  <c r="H54" i="554"/>
  <c r="K53" i="554" a="1"/>
  <c r="K53" i="554" s="1"/>
  <c r="M53" i="554" s="1"/>
  <c r="H53" i="554"/>
  <c r="N52" i="554"/>
  <c r="K52" i="554" a="1"/>
  <c r="K52" i="554" s="1"/>
  <c r="M52" i="554" s="1"/>
  <c r="H52" i="554"/>
  <c r="N51" i="554"/>
  <c r="K51" i="554" a="1"/>
  <c r="K51" i="554" s="1"/>
  <c r="M51" i="554" s="1"/>
  <c r="H51" i="554"/>
  <c r="N50" i="554"/>
  <c r="K50" i="554"/>
  <c r="M50" i="554" s="1"/>
  <c r="K50" i="554" a="1"/>
  <c r="H50" i="554"/>
  <c r="N49" i="554"/>
  <c r="K49" i="554" a="1"/>
  <c r="K49" i="554" s="1"/>
  <c r="M49" i="554" s="1"/>
  <c r="H49" i="554"/>
  <c r="W48" i="554"/>
  <c r="V48" i="554"/>
  <c r="N48" i="554"/>
  <c r="K48" i="554" a="1"/>
  <c r="K48" i="554" s="1"/>
  <c r="M48" i="554" s="1"/>
  <c r="J48" i="554" a="1"/>
  <c r="J48" i="554" s="1"/>
  <c r="H48" i="554"/>
  <c r="V47" i="554"/>
  <c r="W47" i="554" s="1"/>
  <c r="N47" i="554"/>
  <c r="K47" i="554" a="1"/>
  <c r="K47" i="554" s="1"/>
  <c r="M47" i="554" s="1"/>
  <c r="J47" i="554" a="1"/>
  <c r="J47" i="554" s="1"/>
  <c r="H47" i="554"/>
  <c r="V46" i="554"/>
  <c r="W46" i="554" s="1"/>
  <c r="N46" i="554"/>
  <c r="K46" i="554" a="1"/>
  <c r="K46" i="554" s="1"/>
  <c r="M46" i="554" s="1"/>
  <c r="J46" i="554" a="1"/>
  <c r="J46" i="554" s="1"/>
  <c r="H46" i="554"/>
  <c r="V45" i="554"/>
  <c r="W45" i="554" s="1"/>
  <c r="N45" i="554"/>
  <c r="K45" i="554" a="1"/>
  <c r="K45" i="554" s="1"/>
  <c r="M45" i="554" s="1"/>
  <c r="J45" i="554" a="1"/>
  <c r="J45" i="554" s="1"/>
  <c r="H45" i="554"/>
  <c r="V44" i="554"/>
  <c r="W44" i="554" s="1"/>
  <c r="N44" i="554"/>
  <c r="K44" i="554" a="1"/>
  <c r="K44" i="554" s="1"/>
  <c r="M44" i="554" s="1"/>
  <c r="J44" i="554" a="1"/>
  <c r="J44" i="554" s="1"/>
  <c r="H44" i="554"/>
  <c r="V43" i="554"/>
  <c r="W43" i="554" s="1"/>
  <c r="N43" i="554"/>
  <c r="K43" i="554" a="1"/>
  <c r="K43" i="554" s="1"/>
  <c r="M43" i="554" s="1"/>
  <c r="J43" i="554" a="1"/>
  <c r="J43" i="554" s="1"/>
  <c r="H43" i="554"/>
  <c r="V42" i="554"/>
  <c r="W42" i="554" s="1"/>
  <c r="N42" i="554"/>
  <c r="K42" i="554" a="1"/>
  <c r="K42" i="554" s="1"/>
  <c r="M42" i="554" s="1"/>
  <c r="J42" i="554" a="1"/>
  <c r="J42" i="554" s="1"/>
  <c r="H42" i="554"/>
  <c r="V41" i="554"/>
  <c r="W41" i="554" s="1"/>
  <c r="N41" i="554"/>
  <c r="K41" i="554" a="1"/>
  <c r="K41" i="554" s="1"/>
  <c r="M41" i="554" s="1"/>
  <c r="J41" i="554" a="1"/>
  <c r="J41" i="554" s="1"/>
  <c r="H41" i="554"/>
  <c r="V40" i="554"/>
  <c r="W40" i="554" s="1"/>
  <c r="N40" i="554"/>
  <c r="K40" i="554" a="1"/>
  <c r="K40" i="554" s="1"/>
  <c r="M40" i="554" s="1"/>
  <c r="J40" i="554" a="1"/>
  <c r="J40" i="554" s="1"/>
  <c r="H40" i="554"/>
  <c r="V39" i="554"/>
  <c r="W39" i="554" s="1"/>
  <c r="N39" i="554"/>
  <c r="K39" i="554" a="1"/>
  <c r="K39" i="554" s="1"/>
  <c r="M39" i="554" s="1"/>
  <c r="J39" i="554" a="1"/>
  <c r="J39" i="554" s="1"/>
  <c r="H39" i="554"/>
  <c r="V38" i="554"/>
  <c r="W38" i="554" s="1"/>
  <c r="N38" i="554"/>
  <c r="K38" i="554" a="1"/>
  <c r="K38" i="554" s="1"/>
  <c r="M38" i="554" s="1"/>
  <c r="J38" i="554" a="1"/>
  <c r="J38" i="554" s="1"/>
  <c r="H38" i="554"/>
  <c r="V37" i="554"/>
  <c r="W37" i="554" s="1"/>
  <c r="N37" i="554"/>
  <c r="K37" i="554" a="1"/>
  <c r="K37" i="554" s="1"/>
  <c r="M37" i="554" s="1"/>
  <c r="J37" i="554" a="1"/>
  <c r="J37" i="554" s="1"/>
  <c r="H37" i="554"/>
  <c r="H36" i="554"/>
  <c r="H35" i="554"/>
  <c r="H34" i="554"/>
  <c r="V33" i="554"/>
  <c r="W33" i="554" s="1"/>
  <c r="N33" i="554"/>
  <c r="K33" i="554" a="1"/>
  <c r="K33" i="554" s="1"/>
  <c r="M33" i="554" s="1"/>
  <c r="J33" i="554" a="1"/>
  <c r="J33" i="554" s="1"/>
  <c r="H33" i="554"/>
  <c r="V32" i="554"/>
  <c r="W32" i="554" s="1"/>
  <c r="N32" i="554"/>
  <c r="K32" i="554" a="1"/>
  <c r="K32" i="554" s="1"/>
  <c r="M32" i="554" s="1"/>
  <c r="J32" i="554" a="1"/>
  <c r="J32" i="554" s="1"/>
  <c r="H32" i="554"/>
  <c r="V31" i="554"/>
  <c r="W31" i="554" s="1"/>
  <c r="N31" i="554"/>
  <c r="K31" i="554" a="1"/>
  <c r="K31" i="554" s="1"/>
  <c r="M31" i="554" s="1"/>
  <c r="J31" i="554" a="1"/>
  <c r="J31" i="554" s="1"/>
  <c r="H31" i="554"/>
  <c r="K30" i="554" a="1"/>
  <c r="K30" i="554" s="1"/>
  <c r="H30" i="554"/>
  <c r="V29" i="554"/>
  <c r="V86" i="554" s="1"/>
  <c r="W86" i="554" s="1"/>
  <c r="N29" i="554"/>
  <c r="K29" i="554" a="1"/>
  <c r="K29" i="554" s="1"/>
  <c r="J29" i="554" a="1"/>
  <c r="J29" i="554" s="1"/>
  <c r="H29" i="554"/>
  <c r="H86" i="554" s="1"/>
  <c r="AA28" i="554"/>
  <c r="AA164" i="554" s="1"/>
  <c r="Z28" i="554"/>
  <c r="Z164" i="554" s="1"/>
  <c r="Y28" i="554"/>
  <c r="Y164" i="554" s="1"/>
  <c r="X28" i="554"/>
  <c r="X164" i="554" s="1"/>
  <c r="U28" i="554"/>
  <c r="U164" i="554" s="1"/>
  <c r="T28" i="554"/>
  <c r="T164" i="554" s="1"/>
  <c r="S28" i="554"/>
  <c r="S164" i="554" s="1"/>
  <c r="R28" i="554"/>
  <c r="R164" i="554" s="1"/>
  <c r="Q28" i="554"/>
  <c r="Q164" i="554" s="1"/>
  <c r="P28" i="554"/>
  <c r="X167" i="554" s="1"/>
  <c r="O28" i="554"/>
  <c r="R166" i="554" s="1"/>
  <c r="I28" i="554"/>
  <c r="I164" i="554" s="1"/>
  <c r="B172" i="554" s="1"/>
  <c r="G28" i="554"/>
  <c r="C524" i="554" s="1"/>
  <c r="V27" i="554"/>
  <c r="W27" i="554" s="1"/>
  <c r="N27" i="554"/>
  <c r="K27" i="554" a="1"/>
  <c r="K27" i="554" s="1"/>
  <c r="M27" i="554" s="1"/>
  <c r="J27" i="554" a="1"/>
  <c r="J27" i="554" s="1"/>
  <c r="H27" i="554"/>
  <c r="V26" i="554"/>
  <c r="W26" i="554" s="1"/>
  <c r="N26" i="554"/>
  <c r="K26" i="554"/>
  <c r="M26" i="554" s="1"/>
  <c r="K26" i="554" a="1"/>
  <c r="J26" i="554"/>
  <c r="J26" i="554" a="1"/>
  <c r="H26" i="554"/>
  <c r="K25" i="554" a="1"/>
  <c r="K25" i="554" s="1"/>
  <c r="M25" i="554" s="1"/>
  <c r="J25" i="554" a="1"/>
  <c r="J25" i="554" s="1"/>
  <c r="H25" i="554"/>
  <c r="K24" i="554"/>
  <c r="M24" i="554" s="1"/>
  <c r="K24" i="554" a="1"/>
  <c r="J24" i="554"/>
  <c r="J24" i="554" a="1"/>
  <c r="H24" i="554"/>
  <c r="K23" i="554" a="1"/>
  <c r="K23" i="554" s="1"/>
  <c r="M23" i="554" s="1"/>
  <c r="J23" i="554" a="1"/>
  <c r="J23" i="554" s="1"/>
  <c r="H23" i="554"/>
  <c r="K22" i="554"/>
  <c r="M22" i="554" s="1"/>
  <c r="K22" i="554" a="1"/>
  <c r="J22" i="554"/>
  <c r="J22" i="554" a="1"/>
  <c r="H22" i="554"/>
  <c r="V21" i="554"/>
  <c r="W21" i="554" s="1"/>
  <c r="N21" i="554"/>
  <c r="K21" i="554" a="1"/>
  <c r="K21" i="554" s="1"/>
  <c r="M21" i="554" s="1"/>
  <c r="J21" i="554" a="1"/>
  <c r="J21" i="554" s="1"/>
  <c r="H21" i="554"/>
  <c r="W20" i="554"/>
  <c r="V20" i="554"/>
  <c r="N20" i="554"/>
  <c r="K20" i="554" a="1"/>
  <c r="K20" i="554" s="1"/>
  <c r="M20" i="554" s="1"/>
  <c r="J20" i="554" a="1"/>
  <c r="J20" i="554" s="1"/>
  <c r="H20" i="554"/>
  <c r="V19" i="554"/>
  <c r="W19" i="554" s="1"/>
  <c r="N19" i="554"/>
  <c r="K19" i="554" a="1"/>
  <c r="K19" i="554" s="1"/>
  <c r="M19" i="554" s="1"/>
  <c r="J19" i="554" a="1"/>
  <c r="J19" i="554" s="1"/>
  <c r="H19" i="554"/>
  <c r="N18" i="554"/>
  <c r="K18" i="554"/>
  <c r="M18" i="554" s="1"/>
  <c r="K18" i="554" a="1"/>
  <c r="J18" i="554"/>
  <c r="J18" i="554" a="1"/>
  <c r="H18" i="554"/>
  <c r="N17" i="554"/>
  <c r="K17" i="554" a="1"/>
  <c r="K17" i="554" s="1"/>
  <c r="M17" i="554" s="1"/>
  <c r="J17" i="554" a="1"/>
  <c r="J17" i="554" s="1"/>
  <c r="H17" i="554"/>
  <c r="V16" i="554"/>
  <c r="W16" i="554" s="1"/>
  <c r="N16" i="554"/>
  <c r="K16" i="554"/>
  <c r="M16" i="554" s="1"/>
  <c r="K16" i="554" a="1"/>
  <c r="J16" i="554"/>
  <c r="J16" i="554" a="1"/>
  <c r="H16" i="554"/>
  <c r="V15" i="554"/>
  <c r="W15" i="554" s="1"/>
  <c r="N15" i="554"/>
  <c r="K15" i="554" a="1"/>
  <c r="K15" i="554" s="1"/>
  <c r="M15" i="554" s="1"/>
  <c r="J15" i="554" a="1"/>
  <c r="J15" i="554" s="1"/>
  <c r="H15" i="554"/>
  <c r="N14" i="554"/>
  <c r="K14" i="554"/>
  <c r="M14" i="554" s="1"/>
  <c r="K14" i="554" a="1"/>
  <c r="H14" i="554"/>
  <c r="N13" i="554"/>
  <c r="K13" i="554" a="1"/>
  <c r="K13" i="554" s="1"/>
  <c r="M13" i="554" s="1"/>
  <c r="H13" i="554"/>
  <c r="W12" i="554"/>
  <c r="V12" i="554"/>
  <c r="N12" i="554"/>
  <c r="K12" i="554" a="1"/>
  <c r="K12" i="554" s="1"/>
  <c r="M12" i="554" s="1"/>
  <c r="J12" i="554" a="1"/>
  <c r="J12" i="554" s="1"/>
  <c r="H12" i="554"/>
  <c r="V11" i="554"/>
  <c r="W11" i="554" s="1"/>
  <c r="N11" i="554"/>
  <c r="K11" i="554" a="1"/>
  <c r="K11" i="554" s="1"/>
  <c r="M11" i="554" s="1"/>
  <c r="J11" i="554" a="1"/>
  <c r="J11" i="554" s="1"/>
  <c r="H11" i="554"/>
  <c r="V10" i="554"/>
  <c r="W10" i="554" s="1"/>
  <c r="N10" i="554"/>
  <c r="K10" i="554"/>
  <c r="M10" i="554" s="1"/>
  <c r="K10" i="554" a="1"/>
  <c r="J10" i="554"/>
  <c r="J10" i="554" a="1"/>
  <c r="H10" i="554"/>
  <c r="V9" i="554"/>
  <c r="W9" i="554" s="1"/>
  <c r="N9" i="554"/>
  <c r="K9" i="554" a="1"/>
  <c r="K9" i="554" s="1"/>
  <c r="M9" i="554" s="1"/>
  <c r="J9" i="554" a="1"/>
  <c r="J9" i="554" s="1"/>
  <c r="H9" i="554"/>
  <c r="W8" i="554"/>
  <c r="V8" i="554"/>
  <c r="N8" i="554"/>
  <c r="K8" i="554" a="1"/>
  <c r="K8" i="554" s="1"/>
  <c r="M8" i="554" s="1"/>
  <c r="J8" i="554" a="1"/>
  <c r="J8" i="554" s="1"/>
  <c r="H8" i="554"/>
  <c r="V7" i="554"/>
  <c r="V28" i="554" s="1"/>
  <c r="N7" i="554"/>
  <c r="K7" i="554" a="1"/>
  <c r="K7" i="554" s="1"/>
  <c r="J7" i="554" a="1"/>
  <c r="J7" i="554" s="1"/>
  <c r="H7" i="554"/>
  <c r="H28" i="554" s="1"/>
  <c r="H334" i="554" l="1"/>
  <c r="J292" i="554" a="1"/>
  <c r="J292" i="554" s="1"/>
  <c r="J257" i="554" a="1"/>
  <c r="J257" i="554" s="1"/>
  <c r="J308" i="554" a="1"/>
  <c r="J308" i="554" s="1"/>
  <c r="N370" i="554"/>
  <c r="K479" i="554"/>
  <c r="J479" i="554" a="1"/>
  <c r="J479" i="554" s="1"/>
  <c r="R512" i="554"/>
  <c r="V370" i="554"/>
  <c r="J370" i="554" a="1"/>
  <c r="J370" i="554" s="1"/>
  <c r="H428" i="554"/>
  <c r="H507" i="554" s="1"/>
  <c r="E514" i="554" s="1"/>
  <c r="V428" i="554"/>
  <c r="W428" i="554" s="1"/>
  <c r="J428" i="554" a="1"/>
  <c r="J428" i="554" s="1"/>
  <c r="R510" i="554"/>
  <c r="N463" i="554"/>
  <c r="W429" i="554"/>
  <c r="N479" i="554"/>
  <c r="K506" i="554"/>
  <c r="H308" i="554"/>
  <c r="M308" i="554"/>
  <c r="V308" i="554"/>
  <c r="W308" i="554" s="1"/>
  <c r="N292" i="554"/>
  <c r="V257" i="554"/>
  <c r="W257" i="554" s="1"/>
  <c r="N199" i="554"/>
  <c r="N335" i="554" s="1"/>
  <c r="B344" i="554" s="1"/>
  <c r="E344" i="554" s="1"/>
  <c r="H121" i="554"/>
  <c r="V121" i="554"/>
  <c r="W121" i="554" s="1"/>
  <c r="R168" i="554"/>
  <c r="N86" i="554"/>
  <c r="R171" i="554"/>
  <c r="R170" i="554"/>
  <c r="V163" i="554"/>
  <c r="V148" i="554"/>
  <c r="W148" i="554" s="1"/>
  <c r="J148" i="554" a="1"/>
  <c r="J148" i="554" s="1"/>
  <c r="N137" i="554"/>
  <c r="N121" i="554"/>
  <c r="N28" i="554"/>
  <c r="H164" i="554"/>
  <c r="E171" i="554" s="1"/>
  <c r="W163" i="554"/>
  <c r="J163" i="554" a="1"/>
  <c r="J163" i="554" s="1"/>
  <c r="W28" i="554"/>
  <c r="C520" i="554"/>
  <c r="Q525" i="554"/>
  <c r="K86" i="554"/>
  <c r="M29" i="554"/>
  <c r="M86" i="554" s="1"/>
  <c r="K525" i="554"/>
  <c r="K526" i="554"/>
  <c r="K148" i="554"/>
  <c r="K170" i="554"/>
  <c r="M166" i="554"/>
  <c r="M178" i="554"/>
  <c r="M199" i="554" s="1"/>
  <c r="K199" i="554"/>
  <c r="K28" i="554"/>
  <c r="M7" i="554"/>
  <c r="M28" i="554" s="1"/>
  <c r="K524" i="554"/>
  <c r="R173" i="554"/>
  <c r="T166" i="554" s="1" a="1"/>
  <c r="T166" i="554" s="1"/>
  <c r="K121" i="554"/>
  <c r="M87" i="554"/>
  <c r="M121" i="554" s="1"/>
  <c r="K137" i="554"/>
  <c r="M122" i="554"/>
  <c r="M137" i="554" s="1"/>
  <c r="K527" i="554"/>
  <c r="T169" i="554"/>
  <c r="K528" i="554"/>
  <c r="T170" i="554"/>
  <c r="K163" i="554"/>
  <c r="M149" i="554"/>
  <c r="M163" i="554" s="1"/>
  <c r="K529" i="554"/>
  <c r="T171" i="554"/>
  <c r="K257" i="554"/>
  <c r="M200" i="554"/>
  <c r="M257" i="554" s="1"/>
  <c r="C530" i="554"/>
  <c r="E524" i="554" s="1"/>
  <c r="V137" i="554"/>
  <c r="W137" i="554" s="1"/>
  <c r="W149" i="554"/>
  <c r="O164" i="554"/>
  <c r="E170" i="554"/>
  <c r="W178" i="554"/>
  <c r="W199" i="554" s="1"/>
  <c r="J199" i="554" a="1"/>
  <c r="J199" i="554" s="1"/>
  <c r="X338" i="554"/>
  <c r="P335" i="554"/>
  <c r="X339" i="554" s="1"/>
  <c r="X344" i="554" s="1"/>
  <c r="H257" i="554"/>
  <c r="H335" i="554" s="1"/>
  <c r="E342" i="554" s="1"/>
  <c r="W200" i="554"/>
  <c r="K292" i="554"/>
  <c r="M258" i="554"/>
  <c r="M292" i="554" s="1"/>
  <c r="K319" i="554"/>
  <c r="M309" i="554"/>
  <c r="M319" i="554" s="1"/>
  <c r="K334" i="554"/>
  <c r="M320" i="554"/>
  <c r="M334" i="554" s="1"/>
  <c r="W334" i="554"/>
  <c r="W7" i="554"/>
  <c r="J28" i="554" a="1"/>
  <c r="J28" i="554" s="1"/>
  <c r="W29" i="554"/>
  <c r="J86" i="554" a="1"/>
  <c r="J86" i="554" s="1"/>
  <c r="W87" i="554"/>
  <c r="J121" i="554" a="1"/>
  <c r="J121" i="554" s="1"/>
  <c r="J137" i="554" a="1"/>
  <c r="J137" i="554" s="1"/>
  <c r="M138" i="554"/>
  <c r="M148" i="554" s="1"/>
  <c r="G164" i="554"/>
  <c r="P164" i="554"/>
  <c r="X168" i="554" s="1"/>
  <c r="X173" i="554" s="1"/>
  <c r="J335" i="554" a="1"/>
  <c r="J335" i="554" s="1"/>
  <c r="M342" i="554" s="1"/>
  <c r="B342" i="554"/>
  <c r="O335" i="554"/>
  <c r="R337" i="554"/>
  <c r="V292" i="554"/>
  <c r="W292" i="554" s="1"/>
  <c r="K308" i="554"/>
  <c r="V334" i="554"/>
  <c r="R339" i="554"/>
  <c r="R340" i="554"/>
  <c r="W309" i="554"/>
  <c r="R341" i="554"/>
  <c r="R342" i="554"/>
  <c r="W370" i="554"/>
  <c r="K463" i="554"/>
  <c r="K337" i="554"/>
  <c r="K370" i="554"/>
  <c r="K507" i="554" s="1"/>
  <c r="E515" i="554" s="1"/>
  <c r="I515" i="554" s="1"/>
  <c r="M515" i="554" s="1"/>
  <c r="M429" i="554"/>
  <c r="M463" i="554" s="1"/>
  <c r="R511" i="554"/>
  <c r="M464" i="554"/>
  <c r="M479" i="554" s="1"/>
  <c r="W464" i="554"/>
  <c r="V479" i="554"/>
  <c r="W479" i="554" s="1"/>
  <c r="J507" i="554" a="1"/>
  <c r="J507" i="554" s="1"/>
  <c r="M514" i="554" s="1"/>
  <c r="B514" i="554"/>
  <c r="L507" i="554"/>
  <c r="I514" i="554" s="1"/>
  <c r="X509" i="554"/>
  <c r="O507" i="554"/>
  <c r="X510" i="554" s="1"/>
  <c r="R509" i="554"/>
  <c r="M371" i="554"/>
  <c r="M428" i="554" s="1"/>
  <c r="V490" i="554"/>
  <c r="W490" i="554" s="1"/>
  <c r="W506" i="554"/>
  <c r="V506" i="554"/>
  <c r="K509" i="554"/>
  <c r="R534" i="554"/>
  <c r="S534" i="554" a="1"/>
  <c r="S534" i="554" s="1"/>
  <c r="M480" i="554"/>
  <c r="M490" i="554" s="1"/>
  <c r="M491" i="554"/>
  <c r="M506" i="554" s="1"/>
  <c r="J536" i="554"/>
  <c r="Q533" i="554"/>
  <c r="R535" i="554"/>
  <c r="S535" i="554" a="1"/>
  <c r="S535" i="554" s="1"/>
  <c r="T533" i="554" a="1"/>
  <c r="T533" i="554" s="1"/>
  <c r="T534" i="554" a="1"/>
  <c r="T534" i="554" s="1"/>
  <c r="T535" i="554" a="1"/>
  <c r="T535" i="554" s="1"/>
  <c r="C536" i="554"/>
  <c r="T536" i="554" s="1" a="1"/>
  <c r="T536" i="554" s="1"/>
  <c r="J334" i="553" a="1"/>
  <c r="J334" i="553" s="1"/>
  <c r="J327" i="553" a="1"/>
  <c r="J327" i="553" s="1"/>
  <c r="J317" i="553" a="1"/>
  <c r="J317" i="553" s="1"/>
  <c r="J316" i="553" a="1"/>
  <c r="J316" i="553" s="1"/>
  <c r="J315" i="553" a="1"/>
  <c r="J315" i="553" s="1"/>
  <c r="J314" i="553" a="1"/>
  <c r="J314" i="553" s="1"/>
  <c r="M327" i="553"/>
  <c r="K327" i="553" a="1"/>
  <c r="K327" i="553" s="1"/>
  <c r="M317" i="553"/>
  <c r="M316" i="553"/>
  <c r="M315" i="553"/>
  <c r="M314" i="553"/>
  <c r="K317" i="553" a="1"/>
  <c r="K317" i="553" s="1"/>
  <c r="K316" i="553" a="1"/>
  <c r="K316" i="553" s="1"/>
  <c r="K315" i="553" a="1"/>
  <c r="K315" i="553" s="1"/>
  <c r="K314" i="553" a="1"/>
  <c r="K314" i="553" s="1"/>
  <c r="J293" i="553" a="1"/>
  <c r="J293" i="553" s="1"/>
  <c r="J279" i="553" a="1"/>
  <c r="J279" i="553" s="1"/>
  <c r="M238" i="553"/>
  <c r="K238" i="553" a="1"/>
  <c r="K238" i="553" s="1"/>
  <c r="J238" i="553" a="1"/>
  <c r="J238" i="553" s="1"/>
  <c r="J184" i="553" a="1"/>
  <c r="J184" i="553" s="1"/>
  <c r="I327" i="553"/>
  <c r="I212" i="553"/>
  <c r="I237" i="553"/>
  <c r="I238" i="553"/>
  <c r="I294" i="553"/>
  <c r="I184" i="553"/>
  <c r="I191" i="553"/>
  <c r="I198" i="553"/>
  <c r="I291" i="553"/>
  <c r="M507" i="554" l="1"/>
  <c r="N507" i="554"/>
  <c r="B516" i="554" s="1"/>
  <c r="E516" i="554" s="1"/>
  <c r="Z341" i="554"/>
  <c r="Z340" i="554"/>
  <c r="N164" i="554"/>
  <c r="B173" i="554" s="1"/>
  <c r="G519" i="554"/>
  <c r="K164" i="554"/>
  <c r="E172" i="554" s="1"/>
  <c r="I172" i="554" s="1"/>
  <c r="M172" i="554" s="1"/>
  <c r="E529" i="554"/>
  <c r="E528" i="554"/>
  <c r="E527" i="554"/>
  <c r="E525" i="554"/>
  <c r="E526" i="554"/>
  <c r="M509" i="554"/>
  <c r="K513" i="554"/>
  <c r="M513" i="554" s="1"/>
  <c r="M337" i="554"/>
  <c r="K341" i="554"/>
  <c r="M341" i="554" s="1"/>
  <c r="Z343" i="554"/>
  <c r="Z337" i="554" a="1"/>
  <c r="Z337" i="554" s="1"/>
  <c r="V507" i="554"/>
  <c r="Z342" i="554"/>
  <c r="R344" i="554"/>
  <c r="Z166" i="554" a="1"/>
  <c r="Z166" i="554" s="1"/>
  <c r="Z172" i="554"/>
  <c r="Q526" i="554"/>
  <c r="Z168" i="554"/>
  <c r="Z338" i="554"/>
  <c r="W335" i="554"/>
  <c r="Z170" i="554"/>
  <c r="Z169" i="554"/>
  <c r="K530" i="554"/>
  <c r="M529" i="554" s="1"/>
  <c r="T172" i="554"/>
  <c r="M164" i="554"/>
  <c r="K335" i="554"/>
  <c r="M170" i="554"/>
  <c r="T168" i="554"/>
  <c r="T167" i="554"/>
  <c r="Z167" i="554"/>
  <c r="W164" i="554"/>
  <c r="R533" i="554"/>
  <c r="R536" i="554" s="1"/>
  <c r="Q536" i="554"/>
  <c r="S536" i="554" s="1" a="1"/>
  <c r="S536" i="554" s="1"/>
  <c r="S533" i="554" a="1"/>
  <c r="S533" i="554" s="1"/>
  <c r="T509" i="554" a="1"/>
  <c r="T509" i="554" s="1"/>
  <c r="R516" i="554"/>
  <c r="T511" i="554" s="1"/>
  <c r="X516" i="554"/>
  <c r="T342" i="554"/>
  <c r="T339" i="554"/>
  <c r="B171" i="554"/>
  <c r="C519" i="554" s="1"/>
  <c r="J164" i="554" a="1"/>
  <c r="J164" i="554" s="1"/>
  <c r="M171" i="554" s="1"/>
  <c r="Z339" i="554"/>
  <c r="Z171" i="554"/>
  <c r="E530" i="554"/>
  <c r="M524" i="554" a="1"/>
  <c r="M524" i="554" s="1"/>
  <c r="V335" i="554"/>
  <c r="I344" i="554" s="1"/>
  <c r="M344" i="554" s="1" a="1"/>
  <c r="M344" i="554" s="1"/>
  <c r="M335" i="554"/>
  <c r="M526" i="554"/>
  <c r="M525" i="554"/>
  <c r="V164" i="554"/>
  <c r="I173" i="554" s="1"/>
  <c r="M67" i="553"/>
  <c r="J67" i="553" a="1"/>
  <c r="J67" i="553" s="1"/>
  <c r="J112" i="553" a="1"/>
  <c r="J112" i="553" s="1"/>
  <c r="J111" i="553" a="1"/>
  <c r="J111" i="553" s="1"/>
  <c r="J110" i="553" a="1"/>
  <c r="J110" i="553" s="1"/>
  <c r="J109" i="553" a="1"/>
  <c r="J109" i="553" s="1"/>
  <c r="J108" i="553" a="1"/>
  <c r="J108" i="553" s="1"/>
  <c r="M156" i="553"/>
  <c r="K156" i="553" a="1"/>
  <c r="K156" i="553" s="1"/>
  <c r="J156" i="553" a="1"/>
  <c r="J156" i="553" s="1"/>
  <c r="I156" i="553"/>
  <c r="I108" i="553"/>
  <c r="I123" i="553"/>
  <c r="I19" i="553"/>
  <c r="I120" i="553"/>
  <c r="I40" i="553"/>
  <c r="I27" i="553"/>
  <c r="I29" i="553"/>
  <c r="L164" i="554" l="1"/>
  <c r="I171" i="554" s="1"/>
  <c r="C521" i="554"/>
  <c r="G521" i="554" s="1"/>
  <c r="E173" i="554"/>
  <c r="O519" i="554" a="1"/>
  <c r="O519" i="554" s="1"/>
  <c r="Z515" i="554"/>
  <c r="Z512" i="554"/>
  <c r="Z511" i="554"/>
  <c r="Z514" i="554"/>
  <c r="Z513" i="554"/>
  <c r="M528" i="554"/>
  <c r="T343" i="554"/>
  <c r="T338" i="554"/>
  <c r="T340" i="554"/>
  <c r="M173" i="554" a="1"/>
  <c r="M173" i="554" s="1"/>
  <c r="Z509" i="554" a="1"/>
  <c r="Z509" i="554" s="1"/>
  <c r="T515" i="554"/>
  <c r="T512" i="554"/>
  <c r="T510" i="554"/>
  <c r="T513" i="554"/>
  <c r="T514" i="554"/>
  <c r="E343" i="554"/>
  <c r="L335" i="554"/>
  <c r="I342" i="554" s="1"/>
  <c r="M527" i="554"/>
  <c r="Q530" i="554"/>
  <c r="T337" i="554" a="1"/>
  <c r="T337" i="554" s="1"/>
  <c r="I516" i="554"/>
  <c r="M516" i="554" s="1" a="1"/>
  <c r="M516" i="554" s="1"/>
  <c r="W507" i="554"/>
  <c r="T341" i="554"/>
  <c r="Z510" i="554"/>
  <c r="D534" i="553"/>
  <c r="D535" i="553"/>
  <c r="D533" i="553"/>
  <c r="S527" i="554" l="1"/>
  <c r="S529" i="554"/>
  <c r="S524" i="554" a="1"/>
  <c r="S524" i="554" s="1"/>
  <c r="S528" i="554"/>
  <c r="S525" i="554"/>
  <c r="I343" i="554"/>
  <c r="M343" i="554" s="1"/>
  <c r="G520" i="554"/>
  <c r="K521" i="554"/>
  <c r="O521" i="554" s="1" a="1"/>
  <c r="O521" i="554" s="1"/>
  <c r="S526" i="554"/>
  <c r="K520" i="554" l="1"/>
  <c r="O520" i="554" s="1"/>
  <c r="K519" i="554"/>
  <c r="S530" i="554"/>
  <c r="G156" i="553"/>
  <c r="G294" i="553"/>
  <c r="G191" i="553"/>
  <c r="G112" i="551"/>
  <c r="G65" i="553"/>
  <c r="G187" i="553"/>
  <c r="G238" i="553"/>
  <c r="G293" i="553"/>
  <c r="G219" i="553"/>
  <c r="G327" i="553"/>
  <c r="G291" i="553"/>
  <c r="G316" i="553"/>
  <c r="G184" i="553"/>
  <c r="G237" i="553"/>
  <c r="G212" i="553"/>
  <c r="G200" i="553"/>
  <c r="G40" i="553"/>
  <c r="G27" i="553"/>
  <c r="G150" i="553" l="1"/>
  <c r="G108" i="553"/>
  <c r="G120" i="553"/>
  <c r="G123" i="553"/>
  <c r="G67" i="553"/>
  <c r="G29" i="553"/>
  <c r="G19" i="553"/>
  <c r="P536" i="553"/>
  <c r="O536" i="553"/>
  <c r="N536" i="553"/>
  <c r="M536" i="553"/>
  <c r="L536" i="553"/>
  <c r="K536" i="553"/>
  <c r="I536" i="553"/>
  <c r="H536" i="553"/>
  <c r="G536" i="553"/>
  <c r="F536" i="553"/>
  <c r="E536" i="553"/>
  <c r="D536" i="553"/>
  <c r="C535" i="553"/>
  <c r="C534" i="553"/>
  <c r="C533" i="553"/>
  <c r="G517" i="553"/>
  <c r="N517" i="553" s="1"/>
  <c r="X515" i="553"/>
  <c r="X514" i="553"/>
  <c r="X513" i="553"/>
  <c r="G513" i="553"/>
  <c r="C513" i="553"/>
  <c r="X512" i="553"/>
  <c r="I512" i="553"/>
  <c r="E512" i="553"/>
  <c r="K512" i="553" s="1"/>
  <c r="M512" i="553" s="1"/>
  <c r="X511" i="553"/>
  <c r="I511" i="553"/>
  <c r="E511" i="553"/>
  <c r="K511" i="553" s="1"/>
  <c r="M511" i="553" s="1"/>
  <c r="I510" i="553"/>
  <c r="E510" i="553"/>
  <c r="K510" i="553" s="1"/>
  <c r="M510" i="553" s="1"/>
  <c r="I509" i="553"/>
  <c r="I513" i="553" s="1"/>
  <c r="E509" i="553"/>
  <c r="K509" i="553" s="1"/>
  <c r="AA506" i="553"/>
  <c r="Z506" i="553"/>
  <c r="Y506" i="553"/>
  <c r="X506" i="553"/>
  <c r="U506" i="553"/>
  <c r="T506" i="553"/>
  <c r="S506" i="553"/>
  <c r="R506" i="553"/>
  <c r="Q506" i="553"/>
  <c r="P506" i="553"/>
  <c r="O506" i="553"/>
  <c r="I506" i="553"/>
  <c r="G506" i="553"/>
  <c r="J506" i="553" s="1" a="1"/>
  <c r="J506" i="553" s="1"/>
  <c r="H505" i="553"/>
  <c r="H504" i="553"/>
  <c r="H503" i="553"/>
  <c r="D502" i="553"/>
  <c r="H502" i="553" s="1"/>
  <c r="V501" i="553"/>
  <c r="W501" i="553" s="1"/>
  <c r="N501" i="553"/>
  <c r="K501" i="553" a="1"/>
  <c r="K501" i="553" s="1"/>
  <c r="M501" i="553" s="1"/>
  <c r="J501" i="553" a="1"/>
  <c r="J501" i="553" s="1"/>
  <c r="H501" i="553"/>
  <c r="H500" i="553"/>
  <c r="H499" i="553"/>
  <c r="V498" i="553"/>
  <c r="W498" i="553" s="1"/>
  <c r="N498" i="553"/>
  <c r="K498" i="553" a="1"/>
  <c r="K498" i="553" s="1"/>
  <c r="M498" i="553" s="1"/>
  <c r="J498" i="553" a="1"/>
  <c r="J498" i="553" s="1"/>
  <c r="H498" i="553"/>
  <c r="V497" i="553"/>
  <c r="W497" i="553" s="1"/>
  <c r="N497" i="553"/>
  <c r="K497" i="553"/>
  <c r="M497" i="553" s="1"/>
  <c r="K497" i="553" a="1"/>
  <c r="J497" i="553"/>
  <c r="J497" i="553" a="1"/>
  <c r="H497" i="553"/>
  <c r="H496" i="553"/>
  <c r="H495" i="553"/>
  <c r="V494" i="553"/>
  <c r="W494" i="553" s="1"/>
  <c r="N494" i="553"/>
  <c r="K494" i="553" a="1"/>
  <c r="K494" i="553" s="1"/>
  <c r="M494" i="553" s="1"/>
  <c r="J494" i="553" a="1"/>
  <c r="J494" i="553" s="1"/>
  <c r="H494" i="553"/>
  <c r="V493" i="553"/>
  <c r="W493" i="553" s="1"/>
  <c r="N493" i="553"/>
  <c r="K493" i="553" a="1"/>
  <c r="K493" i="553" s="1"/>
  <c r="M493" i="553" s="1"/>
  <c r="J493" i="553" a="1"/>
  <c r="J493" i="553" s="1"/>
  <c r="H493" i="553"/>
  <c r="V492" i="553"/>
  <c r="W492" i="553" s="1"/>
  <c r="N492" i="553"/>
  <c r="K492" i="553" a="1"/>
  <c r="K492" i="553" s="1"/>
  <c r="M492" i="553" s="1"/>
  <c r="J492" i="553" a="1"/>
  <c r="J492" i="553" s="1"/>
  <c r="H492" i="553"/>
  <c r="V491" i="553"/>
  <c r="W491" i="553" s="1"/>
  <c r="N491" i="553"/>
  <c r="N506" i="553" s="1"/>
  <c r="K491" i="553" a="1"/>
  <c r="K491" i="553" s="1"/>
  <c r="K506" i="553" s="1"/>
  <c r="J491" i="553" a="1"/>
  <c r="J491" i="553" s="1"/>
  <c r="H491" i="553"/>
  <c r="H506" i="553" s="1"/>
  <c r="AA490" i="553"/>
  <c r="Z490" i="553"/>
  <c r="Y490" i="553"/>
  <c r="X490" i="553"/>
  <c r="U490" i="553"/>
  <c r="T490" i="553"/>
  <c r="S490" i="553"/>
  <c r="Q490" i="553"/>
  <c r="P490" i="553"/>
  <c r="O490" i="553"/>
  <c r="R513" i="553" s="1"/>
  <c r="I490" i="553"/>
  <c r="G490" i="553"/>
  <c r="J490" i="553" s="1" a="1"/>
  <c r="J490" i="553" s="1"/>
  <c r="V489" i="553"/>
  <c r="W489" i="553" s="1"/>
  <c r="N489" i="553"/>
  <c r="K489" i="553" a="1"/>
  <c r="K489" i="553" s="1"/>
  <c r="M489" i="553" s="1"/>
  <c r="J489" i="553" a="1"/>
  <c r="J489" i="553" s="1"/>
  <c r="H489" i="553"/>
  <c r="H488" i="553"/>
  <c r="H487" i="553"/>
  <c r="H486" i="553"/>
  <c r="H485" i="553"/>
  <c r="W484" i="553"/>
  <c r="V484" i="553"/>
  <c r="N484" i="553"/>
  <c r="K484" i="553" a="1"/>
  <c r="K484" i="553" s="1"/>
  <c r="M484" i="553" s="1"/>
  <c r="J484" i="553" a="1"/>
  <c r="J484" i="553" s="1"/>
  <c r="H484" i="553"/>
  <c r="V483" i="553"/>
  <c r="W483" i="553" s="1"/>
  <c r="N483" i="553"/>
  <c r="K483" i="553" a="1"/>
  <c r="K483" i="553" s="1"/>
  <c r="M483" i="553" s="1"/>
  <c r="J483" i="553" a="1"/>
  <c r="J483" i="553" s="1"/>
  <c r="H483" i="553"/>
  <c r="V482" i="553"/>
  <c r="W482" i="553" s="1"/>
  <c r="N482" i="553"/>
  <c r="K482" i="553"/>
  <c r="M482" i="553" s="1"/>
  <c r="K482" i="553" a="1"/>
  <c r="J482" i="553"/>
  <c r="J482" i="553" a="1"/>
  <c r="H482" i="553"/>
  <c r="V481" i="553"/>
  <c r="W481" i="553" s="1"/>
  <c r="N481" i="553"/>
  <c r="K481" i="553" a="1"/>
  <c r="K481" i="553" s="1"/>
  <c r="M481" i="553" s="1"/>
  <c r="J481" i="553" a="1"/>
  <c r="J481" i="553" s="1"/>
  <c r="H481" i="553"/>
  <c r="W480" i="553"/>
  <c r="V480" i="553"/>
  <c r="N480" i="553"/>
  <c r="N490" i="553" s="1"/>
  <c r="K480" i="553" a="1"/>
  <c r="K480" i="553" s="1"/>
  <c r="K490" i="553" s="1"/>
  <c r="J480" i="553" a="1"/>
  <c r="J480" i="553" s="1"/>
  <c r="H480" i="553"/>
  <c r="H490" i="553" s="1"/>
  <c r="AA479" i="553"/>
  <c r="Z479" i="553"/>
  <c r="Y479" i="553"/>
  <c r="X479" i="553"/>
  <c r="U479" i="553"/>
  <c r="T479" i="553"/>
  <c r="S479" i="553"/>
  <c r="Q479" i="553"/>
  <c r="P479" i="553"/>
  <c r="O479" i="553"/>
  <c r="I479" i="553"/>
  <c r="G479" i="553"/>
  <c r="V478" i="553"/>
  <c r="W478" i="553" s="1"/>
  <c r="N478" i="553"/>
  <c r="K478" i="553" a="1"/>
  <c r="K478" i="553" s="1"/>
  <c r="M478" i="553" s="1"/>
  <c r="J478" i="553" a="1"/>
  <c r="J478" i="553" s="1"/>
  <c r="H478" i="553"/>
  <c r="V477" i="553"/>
  <c r="W477" i="553" s="1"/>
  <c r="N477" i="553"/>
  <c r="K477" i="553"/>
  <c r="M477" i="553" s="1"/>
  <c r="K477" i="553" a="1"/>
  <c r="J477" i="553"/>
  <c r="J477" i="553" a="1"/>
  <c r="H477" i="553"/>
  <c r="V476" i="553"/>
  <c r="W476" i="553" s="1"/>
  <c r="N476" i="553"/>
  <c r="K476" i="553" a="1"/>
  <c r="K476" i="553" s="1"/>
  <c r="M476" i="553" s="1"/>
  <c r="J476" i="553" a="1"/>
  <c r="J476" i="553" s="1"/>
  <c r="H476" i="553"/>
  <c r="V475" i="553"/>
  <c r="W475" i="553" s="1"/>
  <c r="N475" i="553"/>
  <c r="K475" i="553"/>
  <c r="M475" i="553" s="1"/>
  <c r="K475" i="553" a="1"/>
  <c r="J475" i="553"/>
  <c r="J475" i="553" a="1"/>
  <c r="H475" i="553"/>
  <c r="V474" i="553"/>
  <c r="W474" i="553" s="1"/>
  <c r="N474" i="553"/>
  <c r="K474" i="553" a="1"/>
  <c r="K474" i="553" s="1"/>
  <c r="M474" i="553" s="1"/>
  <c r="J474" i="553" a="1"/>
  <c r="J474" i="553" s="1"/>
  <c r="H474" i="553"/>
  <c r="W473" i="553"/>
  <c r="V473" i="553"/>
  <c r="N473" i="553"/>
  <c r="K473" i="553" a="1"/>
  <c r="K473" i="553" s="1"/>
  <c r="M473" i="553" s="1"/>
  <c r="J473" i="553" a="1"/>
  <c r="J473" i="553" s="1"/>
  <c r="H473" i="553"/>
  <c r="V472" i="553"/>
  <c r="W472" i="553" s="1"/>
  <c r="N472" i="553"/>
  <c r="K472" i="553" a="1"/>
  <c r="K472" i="553" s="1"/>
  <c r="M472" i="553" s="1"/>
  <c r="J472" i="553" a="1"/>
  <c r="J472" i="553" s="1"/>
  <c r="H472" i="553"/>
  <c r="V471" i="553"/>
  <c r="W471" i="553" s="1"/>
  <c r="N471" i="553"/>
  <c r="K471" i="553"/>
  <c r="M471" i="553" s="1"/>
  <c r="K471" i="553" a="1"/>
  <c r="J471" i="553"/>
  <c r="J471" i="553" a="1"/>
  <c r="H471" i="553"/>
  <c r="V470" i="553"/>
  <c r="W470" i="553" s="1"/>
  <c r="N470" i="553"/>
  <c r="K470" i="553" a="1"/>
  <c r="K470" i="553" s="1"/>
  <c r="M470" i="553" s="1"/>
  <c r="J470" i="553" a="1"/>
  <c r="J470" i="553" s="1"/>
  <c r="H470" i="553"/>
  <c r="W469" i="553"/>
  <c r="V469" i="553"/>
  <c r="N469" i="553"/>
  <c r="K469" i="553" a="1"/>
  <c r="K469" i="553" s="1"/>
  <c r="M469" i="553" s="1"/>
  <c r="J469" i="553" a="1"/>
  <c r="J469" i="553" s="1"/>
  <c r="H469" i="553"/>
  <c r="V468" i="553"/>
  <c r="W468" i="553" s="1"/>
  <c r="N468" i="553"/>
  <c r="K468" i="553" a="1"/>
  <c r="K468" i="553" s="1"/>
  <c r="M468" i="553" s="1"/>
  <c r="J468" i="553" a="1"/>
  <c r="J468" i="553" s="1"/>
  <c r="H468" i="553"/>
  <c r="V467" i="553"/>
  <c r="W467" i="553" s="1"/>
  <c r="N467" i="553"/>
  <c r="K467" i="553"/>
  <c r="M467" i="553" s="1"/>
  <c r="K467" i="553" a="1"/>
  <c r="J467" i="553"/>
  <c r="J467" i="553" a="1"/>
  <c r="H467" i="553"/>
  <c r="V466" i="553"/>
  <c r="W466" i="553" s="1"/>
  <c r="N466" i="553"/>
  <c r="K466" i="553" a="1"/>
  <c r="K466" i="553" s="1"/>
  <c r="M466" i="553" s="1"/>
  <c r="J466" i="553" a="1"/>
  <c r="J466" i="553" s="1"/>
  <c r="H466" i="553"/>
  <c r="W465" i="553"/>
  <c r="V465" i="553"/>
  <c r="N465" i="553"/>
  <c r="K465" i="553" a="1"/>
  <c r="K465" i="553" s="1"/>
  <c r="M465" i="553" s="1"/>
  <c r="J465" i="553" a="1"/>
  <c r="J465" i="553" s="1"/>
  <c r="H465" i="553"/>
  <c r="V464" i="553"/>
  <c r="N464" i="553"/>
  <c r="K464" i="553" a="1"/>
  <c r="K464" i="553" s="1"/>
  <c r="J464" i="553" a="1"/>
  <c r="J464" i="553" s="1"/>
  <c r="H464" i="553"/>
  <c r="H479" i="553" s="1"/>
  <c r="AA463" i="553"/>
  <c r="Z463" i="553"/>
  <c r="Y463" i="553"/>
  <c r="X463" i="553"/>
  <c r="U463" i="553"/>
  <c r="T463" i="553"/>
  <c r="S463" i="553"/>
  <c r="R463" i="553"/>
  <c r="Q463" i="553"/>
  <c r="P463" i="553"/>
  <c r="O463" i="553"/>
  <c r="I463" i="553"/>
  <c r="G463" i="553"/>
  <c r="V462" i="553"/>
  <c r="W462" i="553" s="1"/>
  <c r="N462" i="553"/>
  <c r="K462" i="553" a="1"/>
  <c r="K462" i="553" s="1"/>
  <c r="M462" i="553" s="1"/>
  <c r="J462" i="553" a="1"/>
  <c r="J462" i="553" s="1"/>
  <c r="H462" i="553"/>
  <c r="V461" i="553"/>
  <c r="W461" i="553" s="1"/>
  <c r="N461" i="553"/>
  <c r="K461" i="553"/>
  <c r="M461" i="553" s="1"/>
  <c r="K461" i="553" a="1"/>
  <c r="J461" i="553"/>
  <c r="J461" i="553" a="1"/>
  <c r="H461" i="553"/>
  <c r="V460" i="553"/>
  <c r="W460" i="553" s="1"/>
  <c r="N460" i="553"/>
  <c r="K460" i="553" a="1"/>
  <c r="K460" i="553" s="1"/>
  <c r="M460" i="553" s="1"/>
  <c r="J460" i="553" a="1"/>
  <c r="J460" i="553" s="1"/>
  <c r="H460" i="553"/>
  <c r="K459" i="553" a="1"/>
  <c r="K459" i="553" s="1"/>
  <c r="M459" i="553" s="1"/>
  <c r="H459" i="553"/>
  <c r="K458" i="553" a="1"/>
  <c r="K458" i="553" s="1"/>
  <c r="M458" i="553" s="1"/>
  <c r="H458" i="553"/>
  <c r="K457" i="553" a="1"/>
  <c r="K457" i="553" s="1"/>
  <c r="M457" i="553" s="1"/>
  <c r="H457" i="553"/>
  <c r="W456" i="553"/>
  <c r="V456" i="553"/>
  <c r="N456" i="553"/>
  <c r="K456" i="553" a="1"/>
  <c r="K456" i="553" s="1"/>
  <c r="M456" i="553" s="1"/>
  <c r="J456" i="553" a="1"/>
  <c r="J456" i="553" s="1"/>
  <c r="H456" i="553"/>
  <c r="V455" i="553"/>
  <c r="W455" i="553" s="1"/>
  <c r="N455" i="553"/>
  <c r="K455" i="553" a="1"/>
  <c r="K455" i="553" s="1"/>
  <c r="M455" i="553" s="1"/>
  <c r="J455" i="553" a="1"/>
  <c r="J455" i="553" s="1"/>
  <c r="H455" i="553"/>
  <c r="N454" i="553"/>
  <c r="K454" i="553"/>
  <c r="M454" i="553" s="1"/>
  <c r="K454" i="553" a="1"/>
  <c r="H454" i="553"/>
  <c r="N453" i="553"/>
  <c r="K453" i="553" a="1"/>
  <c r="K453" i="553" s="1"/>
  <c r="M453" i="553" s="1"/>
  <c r="H453" i="553"/>
  <c r="N452" i="553"/>
  <c r="K452" i="553" a="1"/>
  <c r="K452" i="553" s="1"/>
  <c r="M452" i="553" s="1"/>
  <c r="H452" i="553"/>
  <c r="N451" i="553"/>
  <c r="K451" i="553" a="1"/>
  <c r="K451" i="553" s="1"/>
  <c r="M451" i="553" s="1"/>
  <c r="H451" i="553"/>
  <c r="N450" i="553"/>
  <c r="K450" i="553"/>
  <c r="M450" i="553" s="1"/>
  <c r="K450" i="553" a="1"/>
  <c r="H450" i="553"/>
  <c r="N449" i="553"/>
  <c r="K449" i="553" a="1"/>
  <c r="K449" i="553" s="1"/>
  <c r="M449" i="553" s="1"/>
  <c r="H449" i="553"/>
  <c r="W448" i="553"/>
  <c r="V448" i="553"/>
  <c r="N448" i="553"/>
  <c r="K448" i="553" a="1"/>
  <c r="K448" i="553" s="1"/>
  <c r="M448" i="553" s="1"/>
  <c r="J448" i="553" a="1"/>
  <c r="J448" i="553" s="1"/>
  <c r="H448" i="553"/>
  <c r="V447" i="553"/>
  <c r="W447" i="553" s="1"/>
  <c r="N447" i="553"/>
  <c r="K447" i="553" a="1"/>
  <c r="K447" i="553" s="1"/>
  <c r="M447" i="553" s="1"/>
  <c r="J447" i="553" a="1"/>
  <c r="J447" i="553" s="1"/>
  <c r="H447" i="553"/>
  <c r="V446" i="553"/>
  <c r="W446" i="553" s="1"/>
  <c r="N446" i="553"/>
  <c r="K446" i="553"/>
  <c r="M446" i="553" s="1"/>
  <c r="K446" i="553" a="1"/>
  <c r="J446" i="553"/>
  <c r="J446" i="553" a="1"/>
  <c r="H446" i="553"/>
  <c r="V445" i="553"/>
  <c r="W445" i="553" s="1"/>
  <c r="N445" i="553"/>
  <c r="K445" i="553" a="1"/>
  <c r="K445" i="553" s="1"/>
  <c r="M445" i="553" s="1"/>
  <c r="J445" i="553" a="1"/>
  <c r="J445" i="553" s="1"/>
  <c r="H445" i="553"/>
  <c r="W444" i="553"/>
  <c r="V444" i="553"/>
  <c r="N444" i="553"/>
  <c r="K444" i="553" a="1"/>
  <c r="K444" i="553" s="1"/>
  <c r="M444" i="553" s="1"/>
  <c r="J444" i="553" a="1"/>
  <c r="J444" i="553" s="1"/>
  <c r="H444" i="553"/>
  <c r="V443" i="553"/>
  <c r="W443" i="553" s="1"/>
  <c r="N443" i="553"/>
  <c r="K443" i="553" a="1"/>
  <c r="K443" i="553" s="1"/>
  <c r="M443" i="553" s="1"/>
  <c r="J443" i="553" a="1"/>
  <c r="J443" i="553" s="1"/>
  <c r="H443" i="553"/>
  <c r="V442" i="553"/>
  <c r="W442" i="553" s="1"/>
  <c r="N442" i="553"/>
  <c r="K442" i="553"/>
  <c r="M442" i="553" s="1"/>
  <c r="K442" i="553" a="1"/>
  <c r="J442" i="553"/>
  <c r="J442" i="553" a="1"/>
  <c r="H442" i="553"/>
  <c r="V441" i="553"/>
  <c r="W441" i="553" s="1"/>
  <c r="N441" i="553"/>
  <c r="K441" i="553" a="1"/>
  <c r="K441" i="553" s="1"/>
  <c r="M441" i="553" s="1"/>
  <c r="J441" i="553" a="1"/>
  <c r="J441" i="553" s="1"/>
  <c r="H441" i="553"/>
  <c r="W440" i="553"/>
  <c r="V440" i="553"/>
  <c r="N440" i="553"/>
  <c r="K440" i="553" a="1"/>
  <c r="K440" i="553" s="1"/>
  <c r="M440" i="553" s="1"/>
  <c r="J440" i="553" a="1"/>
  <c r="J440" i="553" s="1"/>
  <c r="H440" i="553"/>
  <c r="V439" i="553"/>
  <c r="W439" i="553" s="1"/>
  <c r="N439" i="553"/>
  <c r="K439" i="553" a="1"/>
  <c r="K439" i="553" s="1"/>
  <c r="M439" i="553" s="1"/>
  <c r="J439" i="553" a="1"/>
  <c r="J439" i="553" s="1"/>
  <c r="H439" i="553"/>
  <c r="V438" i="553"/>
  <c r="W438" i="553" s="1"/>
  <c r="N438" i="553"/>
  <c r="K438" i="553"/>
  <c r="M438" i="553" s="1"/>
  <c r="K438" i="553" a="1"/>
  <c r="J438" i="553"/>
  <c r="J438" i="553" a="1"/>
  <c r="H438" i="553"/>
  <c r="V437" i="553"/>
  <c r="W437" i="553" s="1"/>
  <c r="N437" i="553"/>
  <c r="K437" i="553" a="1"/>
  <c r="K437" i="553" s="1"/>
  <c r="M437" i="553" s="1"/>
  <c r="J437" i="553" a="1"/>
  <c r="J437" i="553" s="1"/>
  <c r="H437" i="553"/>
  <c r="N436" i="553"/>
  <c r="K436" i="553" a="1"/>
  <c r="K436" i="553" s="1"/>
  <c r="M436" i="553" s="1"/>
  <c r="H436" i="553"/>
  <c r="V435" i="553"/>
  <c r="W435" i="553" s="1"/>
  <c r="N435" i="553"/>
  <c r="K435" i="553" a="1"/>
  <c r="K435" i="553" s="1"/>
  <c r="M435" i="553" s="1"/>
  <c r="J435" i="553" a="1"/>
  <c r="J435" i="553" s="1"/>
  <c r="H435" i="553"/>
  <c r="V434" i="553"/>
  <c r="W434" i="553" s="1"/>
  <c r="N434" i="553"/>
  <c r="K434" i="553"/>
  <c r="M434" i="553" s="1"/>
  <c r="K434" i="553" a="1"/>
  <c r="J434" i="553"/>
  <c r="J434" i="553" a="1"/>
  <c r="H434" i="553"/>
  <c r="V433" i="553"/>
  <c r="W433" i="553" s="1"/>
  <c r="N433" i="553"/>
  <c r="K433" i="553" a="1"/>
  <c r="K433" i="553" s="1"/>
  <c r="M433" i="553" s="1"/>
  <c r="J433" i="553" a="1"/>
  <c r="J433" i="553" s="1"/>
  <c r="H433" i="553"/>
  <c r="W432" i="553"/>
  <c r="V432" i="553"/>
  <c r="N432" i="553"/>
  <c r="K432" i="553" a="1"/>
  <c r="K432" i="553" s="1"/>
  <c r="M432" i="553" s="1"/>
  <c r="J432" i="553" a="1"/>
  <c r="J432" i="553" s="1"/>
  <c r="H432" i="553"/>
  <c r="V431" i="553"/>
  <c r="W431" i="553" s="1"/>
  <c r="N431" i="553"/>
  <c r="K431" i="553" a="1"/>
  <c r="K431" i="553" s="1"/>
  <c r="M431" i="553" s="1"/>
  <c r="J431" i="553" a="1"/>
  <c r="J431" i="553" s="1"/>
  <c r="H431" i="553"/>
  <c r="V430" i="553"/>
  <c r="W430" i="553" s="1"/>
  <c r="N430" i="553"/>
  <c r="K430" i="553"/>
  <c r="M430" i="553" s="1"/>
  <c r="K430" i="553" a="1"/>
  <c r="J430" i="553"/>
  <c r="J430" i="553" a="1"/>
  <c r="H430" i="553"/>
  <c r="V429" i="553"/>
  <c r="N429" i="553"/>
  <c r="K429" i="553" a="1"/>
  <c r="K429" i="553" s="1"/>
  <c r="J429" i="553" a="1"/>
  <c r="J429" i="553" s="1"/>
  <c r="H429" i="553"/>
  <c r="AA428" i="553"/>
  <c r="Z428" i="553"/>
  <c r="Y428" i="553"/>
  <c r="X428" i="553"/>
  <c r="U428" i="553"/>
  <c r="T428" i="553"/>
  <c r="S428" i="553"/>
  <c r="R428" i="553"/>
  <c r="Q428" i="553"/>
  <c r="P428" i="553"/>
  <c r="O428" i="553"/>
  <c r="R510" i="553" s="1"/>
  <c r="I428" i="553"/>
  <c r="G428" i="553"/>
  <c r="J428" i="553" s="1" a="1"/>
  <c r="J428" i="553" s="1"/>
  <c r="K427" i="553" a="1"/>
  <c r="K427" i="553" s="1"/>
  <c r="M427" i="553" s="1"/>
  <c r="H427" i="553"/>
  <c r="K426" i="553"/>
  <c r="M426" i="553" s="1"/>
  <c r="K426" i="553" a="1"/>
  <c r="H426" i="553"/>
  <c r="K425" i="553" a="1"/>
  <c r="K425" i="553" s="1"/>
  <c r="M425" i="553" s="1"/>
  <c r="H425" i="553"/>
  <c r="K424" i="553" a="1"/>
  <c r="K424" i="553" s="1"/>
  <c r="M424" i="553" s="1"/>
  <c r="H424" i="553"/>
  <c r="K423" i="553" a="1"/>
  <c r="K423" i="553" s="1"/>
  <c r="M423" i="553" s="1"/>
  <c r="H423" i="553"/>
  <c r="K422" i="553" a="1"/>
  <c r="K422" i="553" s="1"/>
  <c r="M422" i="553" s="1"/>
  <c r="H422" i="553"/>
  <c r="K421" i="553" a="1"/>
  <c r="K421" i="553" s="1"/>
  <c r="M421" i="553" s="1"/>
  <c r="H421" i="553"/>
  <c r="K420" i="553" a="1"/>
  <c r="K420" i="553" s="1"/>
  <c r="M420" i="553" s="1"/>
  <c r="H420" i="553"/>
  <c r="K419" i="553" a="1"/>
  <c r="K419" i="553" s="1"/>
  <c r="M419" i="553" s="1"/>
  <c r="H419" i="553"/>
  <c r="K418" i="553" a="1"/>
  <c r="K418" i="553" s="1"/>
  <c r="M418" i="553" s="1"/>
  <c r="H418" i="553"/>
  <c r="V417" i="553"/>
  <c r="W417" i="553" s="1"/>
  <c r="N417" i="553"/>
  <c r="K417" i="553"/>
  <c r="M417" i="553" s="1"/>
  <c r="K417" i="553" a="1"/>
  <c r="J417" i="553"/>
  <c r="J417" i="553" a="1"/>
  <c r="H417" i="553"/>
  <c r="V416" i="553"/>
  <c r="W416" i="553" s="1"/>
  <c r="N416" i="553"/>
  <c r="K416" i="553" a="1"/>
  <c r="K416" i="553" s="1"/>
  <c r="M416" i="553" s="1"/>
  <c r="J416" i="553" a="1"/>
  <c r="J416" i="553" s="1"/>
  <c r="H416" i="553"/>
  <c r="V415" i="553"/>
  <c r="W415" i="553" s="1"/>
  <c r="N415" i="553"/>
  <c r="K415" i="553"/>
  <c r="M415" i="553" s="1"/>
  <c r="K415" i="553" a="1"/>
  <c r="J415" i="553"/>
  <c r="J415" i="553" a="1"/>
  <c r="H415" i="553"/>
  <c r="V414" i="553"/>
  <c r="W414" i="553" s="1"/>
  <c r="N414" i="553"/>
  <c r="K414" i="553" a="1"/>
  <c r="K414" i="553" s="1"/>
  <c r="M414" i="553" s="1"/>
  <c r="J414" i="553" a="1"/>
  <c r="J414" i="553" s="1"/>
  <c r="H414" i="553"/>
  <c r="H413" i="553"/>
  <c r="V412" i="553"/>
  <c r="W412" i="553" s="1"/>
  <c r="N412" i="553"/>
  <c r="K412" i="553" a="1"/>
  <c r="K412" i="553" s="1"/>
  <c r="M412" i="553" s="1"/>
  <c r="J412" i="553" a="1"/>
  <c r="J412" i="553" s="1"/>
  <c r="H412" i="553"/>
  <c r="V411" i="553"/>
  <c r="W411" i="553" s="1"/>
  <c r="N411" i="553"/>
  <c r="K411" i="553"/>
  <c r="M411" i="553" s="1"/>
  <c r="K411" i="553" a="1"/>
  <c r="J411" i="553" a="1"/>
  <c r="J411" i="553" s="1"/>
  <c r="H411" i="553"/>
  <c r="H410" i="553"/>
  <c r="K409" i="553" a="1"/>
  <c r="K409" i="553" s="1"/>
  <c r="H409" i="553"/>
  <c r="V408" i="553"/>
  <c r="W408" i="553" s="1"/>
  <c r="N408" i="553"/>
  <c r="K408" i="553" a="1"/>
  <c r="K408" i="553" s="1"/>
  <c r="M408" i="553" s="1"/>
  <c r="J408" i="553" a="1"/>
  <c r="J408" i="553" s="1"/>
  <c r="H408" i="553"/>
  <c r="V407" i="553"/>
  <c r="W407" i="553" s="1"/>
  <c r="N407" i="553"/>
  <c r="K407" i="553"/>
  <c r="M407" i="553" s="1"/>
  <c r="K407" i="553" a="1"/>
  <c r="J407" i="553"/>
  <c r="J407" i="553" a="1"/>
  <c r="H407" i="553"/>
  <c r="V406" i="553"/>
  <c r="W406" i="553" s="1"/>
  <c r="N406" i="553"/>
  <c r="K406" i="553" a="1"/>
  <c r="K406" i="553" s="1"/>
  <c r="M406" i="553" s="1"/>
  <c r="J406" i="553" a="1"/>
  <c r="J406" i="553" s="1"/>
  <c r="H406" i="553"/>
  <c r="V405" i="553"/>
  <c r="W405" i="553" s="1"/>
  <c r="N405" i="553"/>
  <c r="K405" i="553" a="1"/>
  <c r="K405" i="553" s="1"/>
  <c r="M405" i="553" s="1"/>
  <c r="J405" i="553" a="1"/>
  <c r="J405" i="553" s="1"/>
  <c r="H405" i="553"/>
  <c r="V404" i="553"/>
  <c r="W404" i="553" s="1"/>
  <c r="N404" i="553"/>
  <c r="K404" i="553" a="1"/>
  <c r="K404" i="553" s="1"/>
  <c r="M404" i="553" s="1"/>
  <c r="J404" i="553" a="1"/>
  <c r="J404" i="553" s="1"/>
  <c r="H404" i="553"/>
  <c r="V403" i="553"/>
  <c r="W403" i="553" s="1"/>
  <c r="N403" i="553"/>
  <c r="K403" i="553"/>
  <c r="M403" i="553" s="1"/>
  <c r="K403" i="553" a="1"/>
  <c r="J403" i="553"/>
  <c r="J403" i="553" a="1"/>
  <c r="H403" i="553"/>
  <c r="V402" i="553"/>
  <c r="W402" i="553" s="1"/>
  <c r="N402" i="553"/>
  <c r="K402" i="553" a="1"/>
  <c r="K402" i="553" s="1"/>
  <c r="M402" i="553" s="1"/>
  <c r="J402" i="553" a="1"/>
  <c r="J402" i="553" s="1"/>
  <c r="H402" i="553"/>
  <c r="V401" i="553"/>
  <c r="W401" i="553" s="1"/>
  <c r="N401" i="553"/>
  <c r="K401" i="553" a="1"/>
  <c r="K401" i="553" s="1"/>
  <c r="M401" i="553" s="1"/>
  <c r="J401" i="553" a="1"/>
  <c r="J401" i="553" s="1"/>
  <c r="H401" i="553"/>
  <c r="V400" i="553"/>
  <c r="W400" i="553" s="1"/>
  <c r="N400" i="553"/>
  <c r="K400" i="553" a="1"/>
  <c r="K400" i="553" s="1"/>
  <c r="M400" i="553" s="1"/>
  <c r="J400" i="553" a="1"/>
  <c r="J400" i="553" s="1"/>
  <c r="H400" i="553"/>
  <c r="V399" i="553"/>
  <c r="W399" i="553" s="1"/>
  <c r="N399" i="553"/>
  <c r="K399" i="553"/>
  <c r="M399" i="553" s="1"/>
  <c r="K399" i="553" a="1"/>
  <c r="J399" i="553"/>
  <c r="J399" i="553" a="1"/>
  <c r="H399" i="553"/>
  <c r="K398" i="553" a="1"/>
  <c r="K398" i="553" s="1"/>
  <c r="M398" i="553" s="1"/>
  <c r="H398" i="553"/>
  <c r="K397" i="553" a="1"/>
  <c r="K397" i="553" s="1"/>
  <c r="M397" i="553" s="1"/>
  <c r="H397" i="553"/>
  <c r="K396" i="553" a="1"/>
  <c r="K396" i="553" s="1"/>
  <c r="M396" i="553" s="1"/>
  <c r="H396" i="553"/>
  <c r="K395" i="553" a="1"/>
  <c r="K395" i="553" s="1"/>
  <c r="M395" i="553" s="1"/>
  <c r="H395" i="553"/>
  <c r="N394" i="553"/>
  <c r="K394" i="553" a="1"/>
  <c r="K394" i="553" s="1"/>
  <c r="M394" i="553" s="1"/>
  <c r="H394" i="553"/>
  <c r="N393" i="553"/>
  <c r="K393" i="553" a="1"/>
  <c r="K393" i="553" s="1"/>
  <c r="M393" i="553" s="1"/>
  <c r="H393" i="553"/>
  <c r="N392" i="553"/>
  <c r="K392" i="553" a="1"/>
  <c r="K392" i="553" s="1"/>
  <c r="M392" i="553" s="1"/>
  <c r="H392" i="553"/>
  <c r="N391" i="553"/>
  <c r="K391" i="553" a="1"/>
  <c r="K391" i="553" s="1"/>
  <c r="M391" i="553" s="1"/>
  <c r="H391" i="553"/>
  <c r="V390" i="553"/>
  <c r="W390" i="553" s="1"/>
  <c r="N390" i="553"/>
  <c r="K390" i="553" a="1"/>
  <c r="K390" i="553" s="1"/>
  <c r="M390" i="553" s="1"/>
  <c r="J390" i="553" a="1"/>
  <c r="J390" i="553" s="1"/>
  <c r="H390" i="553"/>
  <c r="V389" i="553"/>
  <c r="W389" i="553" s="1"/>
  <c r="N389" i="553"/>
  <c r="K389" i="553"/>
  <c r="M389" i="553" s="1"/>
  <c r="K389" i="553" a="1"/>
  <c r="J389" i="553"/>
  <c r="J389" i="553" a="1"/>
  <c r="H389" i="553"/>
  <c r="V388" i="553"/>
  <c r="W388" i="553" s="1"/>
  <c r="N388" i="553"/>
  <c r="K388" i="553" a="1"/>
  <c r="K388" i="553" s="1"/>
  <c r="M388" i="553" s="1"/>
  <c r="J388" i="553" a="1"/>
  <c r="J388" i="553" s="1"/>
  <c r="H388" i="553"/>
  <c r="V387" i="553"/>
  <c r="W387" i="553" s="1"/>
  <c r="N387" i="553"/>
  <c r="K387" i="553" a="1"/>
  <c r="K387" i="553" s="1"/>
  <c r="M387" i="553" s="1"/>
  <c r="J387" i="553" a="1"/>
  <c r="J387" i="553" s="1"/>
  <c r="H387" i="553"/>
  <c r="V386" i="553"/>
  <c r="W386" i="553" s="1"/>
  <c r="N386" i="553"/>
  <c r="K386" i="553" a="1"/>
  <c r="K386" i="553" s="1"/>
  <c r="M386" i="553" s="1"/>
  <c r="J386" i="553" a="1"/>
  <c r="J386" i="553" s="1"/>
  <c r="H386" i="553"/>
  <c r="V385" i="553"/>
  <c r="W385" i="553" s="1"/>
  <c r="N385" i="553"/>
  <c r="K385" i="553"/>
  <c r="M385" i="553" s="1"/>
  <c r="K385" i="553" a="1"/>
  <c r="J385" i="553"/>
  <c r="J385" i="553" a="1"/>
  <c r="H385" i="553"/>
  <c r="V384" i="553"/>
  <c r="W384" i="553" s="1"/>
  <c r="N384" i="553"/>
  <c r="K384" i="553" a="1"/>
  <c r="K384" i="553" s="1"/>
  <c r="M384" i="553" s="1"/>
  <c r="J384" i="553" a="1"/>
  <c r="J384" i="553" s="1"/>
  <c r="H384" i="553"/>
  <c r="V383" i="553"/>
  <c r="W383" i="553" s="1"/>
  <c r="N383" i="553"/>
  <c r="K383" i="553" a="1"/>
  <c r="K383" i="553" s="1"/>
  <c r="M383" i="553" s="1"/>
  <c r="J383" i="553" a="1"/>
  <c r="J383" i="553" s="1"/>
  <c r="H383" i="553"/>
  <c r="V382" i="553"/>
  <c r="W382" i="553" s="1"/>
  <c r="N382" i="553"/>
  <c r="K382" i="553" a="1"/>
  <c r="K382" i="553" s="1"/>
  <c r="M382" i="553" s="1"/>
  <c r="J382" i="553" a="1"/>
  <c r="J382" i="553" s="1"/>
  <c r="H382" i="553"/>
  <c r="V381" i="553"/>
  <c r="W381" i="553" s="1"/>
  <c r="N381" i="553"/>
  <c r="K381" i="553"/>
  <c r="M381" i="553" s="1"/>
  <c r="K381" i="553" a="1"/>
  <c r="J381" i="553"/>
  <c r="J381" i="553" a="1"/>
  <c r="H381" i="553"/>
  <c r="V380" i="553"/>
  <c r="W380" i="553" s="1"/>
  <c r="N380" i="553"/>
  <c r="K380" i="553" a="1"/>
  <c r="K380" i="553" s="1"/>
  <c r="M380" i="553" s="1"/>
  <c r="J380" i="553" a="1"/>
  <c r="J380" i="553" s="1"/>
  <c r="H380" i="553"/>
  <c r="W379" i="553"/>
  <c r="V379" i="553"/>
  <c r="N379" i="553"/>
  <c r="K379" i="553" a="1"/>
  <c r="K379" i="553" s="1"/>
  <c r="M379" i="553" s="1"/>
  <c r="J379" i="553" a="1"/>
  <c r="J379" i="553" s="1"/>
  <c r="H379" i="553"/>
  <c r="K378" i="553"/>
  <c r="M378" i="553" s="1"/>
  <c r="K378" i="553" a="1"/>
  <c r="H378" i="553"/>
  <c r="K377" i="553" a="1"/>
  <c r="K377" i="553" s="1"/>
  <c r="M377" i="553" s="1"/>
  <c r="H377" i="553"/>
  <c r="K376" i="553" a="1"/>
  <c r="K376" i="553" s="1"/>
  <c r="M376" i="553" s="1"/>
  <c r="H376" i="553"/>
  <c r="W375" i="553"/>
  <c r="V375" i="553"/>
  <c r="N375" i="553"/>
  <c r="K375" i="553" a="1"/>
  <c r="K375" i="553" s="1"/>
  <c r="M375" i="553" s="1"/>
  <c r="J375" i="553" a="1"/>
  <c r="J375" i="553" s="1"/>
  <c r="H375" i="553"/>
  <c r="V374" i="553"/>
  <c r="W374" i="553" s="1"/>
  <c r="N374" i="553"/>
  <c r="K374" i="553" a="1"/>
  <c r="K374" i="553" s="1"/>
  <c r="M374" i="553" s="1"/>
  <c r="J374" i="553" a="1"/>
  <c r="J374" i="553" s="1"/>
  <c r="H374" i="553"/>
  <c r="V373" i="553"/>
  <c r="W373" i="553" s="1"/>
  <c r="N373" i="553"/>
  <c r="K373" i="553"/>
  <c r="M373" i="553" s="1"/>
  <c r="K373" i="553" a="1"/>
  <c r="J373" i="553"/>
  <c r="J373" i="553" a="1"/>
  <c r="H373" i="553"/>
  <c r="K372" i="553" a="1"/>
  <c r="K372" i="553" s="1"/>
  <c r="H372" i="553"/>
  <c r="V371" i="553"/>
  <c r="V428" i="553" s="1"/>
  <c r="W428" i="553" s="1"/>
  <c r="N371" i="553"/>
  <c r="N428" i="553" s="1"/>
  <c r="K371" i="553"/>
  <c r="K371" i="553" a="1"/>
  <c r="J371" i="553"/>
  <c r="J371" i="553" a="1"/>
  <c r="H371" i="553"/>
  <c r="H428" i="553" s="1"/>
  <c r="AA370" i="553"/>
  <c r="AA507" i="553" s="1"/>
  <c r="Z370" i="553"/>
  <c r="Z507" i="553" s="1"/>
  <c r="Y370" i="553"/>
  <c r="Y507" i="553" s="1"/>
  <c r="X370" i="553"/>
  <c r="X507" i="553" s="1"/>
  <c r="U370" i="553"/>
  <c r="U507" i="553" s="1"/>
  <c r="T370" i="553"/>
  <c r="T507" i="553" s="1"/>
  <c r="S370" i="553"/>
  <c r="S507" i="553" s="1"/>
  <c r="R370" i="553"/>
  <c r="R507" i="553" s="1"/>
  <c r="Q370" i="553"/>
  <c r="Q507" i="553" s="1"/>
  <c r="P370" i="553"/>
  <c r="P507" i="553" s="1"/>
  <c r="O370" i="553"/>
  <c r="I370" i="553"/>
  <c r="I507" i="553" s="1"/>
  <c r="B515" i="553" s="1"/>
  <c r="G370" i="553"/>
  <c r="G507" i="553" s="1"/>
  <c r="V369" i="553"/>
  <c r="W369" i="553" s="1"/>
  <c r="N369" i="553"/>
  <c r="K369" i="553" a="1"/>
  <c r="K369" i="553" s="1"/>
  <c r="M369" i="553" s="1"/>
  <c r="J369" i="553" a="1"/>
  <c r="J369" i="553" s="1"/>
  <c r="H369" i="553"/>
  <c r="V368" i="553"/>
  <c r="W368" i="553" s="1"/>
  <c r="N368" i="553"/>
  <c r="K368" i="553"/>
  <c r="M368" i="553" s="1"/>
  <c r="K368" i="553" a="1"/>
  <c r="J368" i="553"/>
  <c r="J368" i="553" a="1"/>
  <c r="H368" i="553"/>
  <c r="K367" i="553" a="1"/>
  <c r="K367" i="553" s="1"/>
  <c r="M367" i="553" s="1"/>
  <c r="H367" i="553"/>
  <c r="K366" i="553"/>
  <c r="M366" i="553" s="1"/>
  <c r="K366" i="553" a="1"/>
  <c r="H366" i="553"/>
  <c r="K365" i="553" a="1"/>
  <c r="K365" i="553" s="1"/>
  <c r="M365" i="553" s="1"/>
  <c r="H365" i="553"/>
  <c r="K364" i="553" a="1"/>
  <c r="K364" i="553" s="1"/>
  <c r="M364" i="553" s="1"/>
  <c r="H364" i="553"/>
  <c r="W363" i="553"/>
  <c r="V363" i="553"/>
  <c r="N363" i="553"/>
  <c r="K363" i="553" a="1"/>
  <c r="K363" i="553" s="1"/>
  <c r="M363" i="553" s="1"/>
  <c r="J363" i="553" a="1"/>
  <c r="J363" i="553" s="1"/>
  <c r="H363" i="553"/>
  <c r="V362" i="553"/>
  <c r="W362" i="553" s="1"/>
  <c r="N362" i="553"/>
  <c r="K362" i="553" a="1"/>
  <c r="K362" i="553" s="1"/>
  <c r="M362" i="553" s="1"/>
  <c r="J362" i="553" a="1"/>
  <c r="J362" i="553" s="1"/>
  <c r="H362" i="553"/>
  <c r="V361" i="553"/>
  <c r="W361" i="553" s="1"/>
  <c r="N361" i="553"/>
  <c r="K361" i="553"/>
  <c r="M361" i="553" s="1"/>
  <c r="K361" i="553" a="1"/>
  <c r="J361" i="553"/>
  <c r="J361" i="553" a="1"/>
  <c r="H361" i="553"/>
  <c r="H360" i="553"/>
  <c r="H359" i="553"/>
  <c r="V358" i="553"/>
  <c r="W358" i="553" s="1"/>
  <c r="N358" i="553"/>
  <c r="K358" i="553" a="1"/>
  <c r="K358" i="553" s="1"/>
  <c r="M358" i="553" s="1"/>
  <c r="J358" i="553" a="1"/>
  <c r="J358" i="553" s="1"/>
  <c r="H358" i="553"/>
  <c r="W357" i="553"/>
  <c r="V357" i="553"/>
  <c r="N357" i="553"/>
  <c r="K357" i="553" a="1"/>
  <c r="K357" i="553" s="1"/>
  <c r="M357" i="553" s="1"/>
  <c r="J357" i="553"/>
  <c r="J357" i="553" a="1"/>
  <c r="H357" i="553"/>
  <c r="K356" i="553" a="1"/>
  <c r="K356" i="553" s="1"/>
  <c r="M356" i="553" s="1"/>
  <c r="H356" i="553"/>
  <c r="K355" i="553" a="1"/>
  <c r="K355" i="553" s="1"/>
  <c r="M355" i="553" s="1"/>
  <c r="H355" i="553"/>
  <c r="V354" i="553"/>
  <c r="W354" i="553" s="1"/>
  <c r="N354" i="553"/>
  <c r="K354" i="553"/>
  <c r="M354" i="553" s="1"/>
  <c r="K354" i="553" a="1"/>
  <c r="J354" i="553" a="1"/>
  <c r="J354" i="553" s="1"/>
  <c r="H354" i="553"/>
  <c r="W353" i="553"/>
  <c r="V353" i="553"/>
  <c r="N353" i="553"/>
  <c r="K353" i="553" a="1"/>
  <c r="K353" i="553" s="1"/>
  <c r="M353" i="553" s="1"/>
  <c r="J353" i="553" a="1"/>
  <c r="J353" i="553" s="1"/>
  <c r="H353" i="553"/>
  <c r="V352" i="553"/>
  <c r="W352" i="553" s="1"/>
  <c r="N352" i="553"/>
  <c r="K352" i="553"/>
  <c r="M352" i="553" s="1"/>
  <c r="K352" i="553" a="1"/>
  <c r="J352" i="553" a="1"/>
  <c r="J352" i="553" s="1"/>
  <c r="H352" i="553"/>
  <c r="W351" i="553"/>
  <c r="V351" i="553"/>
  <c r="N351" i="553"/>
  <c r="K351" i="553" a="1"/>
  <c r="K351" i="553" s="1"/>
  <c r="M351" i="553" s="1"/>
  <c r="J351" i="553" a="1"/>
  <c r="J351" i="553" s="1"/>
  <c r="H351" i="553"/>
  <c r="V350" i="553"/>
  <c r="W350" i="553" s="1"/>
  <c r="N350" i="553"/>
  <c r="K350" i="553"/>
  <c r="M350" i="553" s="1"/>
  <c r="K350" i="553" a="1"/>
  <c r="J350" i="553" a="1"/>
  <c r="J350" i="553" s="1"/>
  <c r="H350" i="553"/>
  <c r="V349" i="553"/>
  <c r="V370" i="553" s="1"/>
  <c r="N349" i="553"/>
  <c r="K349" i="553" a="1"/>
  <c r="K349" i="553" s="1"/>
  <c r="J349" i="553" a="1"/>
  <c r="J349" i="553" s="1"/>
  <c r="H349" i="553"/>
  <c r="H370" i="553" s="1"/>
  <c r="X343" i="553"/>
  <c r="X342" i="553"/>
  <c r="X341" i="553"/>
  <c r="G341" i="553"/>
  <c r="C341" i="553"/>
  <c r="X340" i="553"/>
  <c r="I340" i="553"/>
  <c r="E340" i="553"/>
  <c r="K340" i="553" s="1"/>
  <c r="M340" i="553" s="1"/>
  <c r="I339" i="553"/>
  <c r="E339" i="553"/>
  <c r="K339" i="553" s="1"/>
  <c r="M339" i="553" s="1"/>
  <c r="I338" i="553"/>
  <c r="E338" i="553"/>
  <c r="K338" i="553" s="1"/>
  <c r="M338" i="553" s="1"/>
  <c r="X337" i="553"/>
  <c r="I337" i="553"/>
  <c r="I341" i="553" s="1"/>
  <c r="E337" i="553"/>
  <c r="E341" i="553" s="1"/>
  <c r="AA334" i="553"/>
  <c r="Z334" i="553"/>
  <c r="Y334" i="553"/>
  <c r="X334" i="553"/>
  <c r="U334" i="553"/>
  <c r="T334" i="553"/>
  <c r="S334" i="553"/>
  <c r="R334" i="553"/>
  <c r="Q334" i="553"/>
  <c r="P334" i="553"/>
  <c r="O334" i="553"/>
  <c r="I334" i="553"/>
  <c r="G334" i="553"/>
  <c r="K333" i="553" a="1"/>
  <c r="K333" i="553" s="1"/>
  <c r="H333" i="553"/>
  <c r="K332" i="553" a="1"/>
  <c r="K332" i="553" s="1"/>
  <c r="H332" i="553"/>
  <c r="K331" i="553"/>
  <c r="K331" i="553" a="1"/>
  <c r="H331" i="553"/>
  <c r="V330" i="553"/>
  <c r="W330" i="553" s="1"/>
  <c r="N330" i="553"/>
  <c r="K330" i="553" a="1"/>
  <c r="K330" i="553" s="1"/>
  <c r="H330" i="553"/>
  <c r="D330" i="553"/>
  <c r="H329" i="553"/>
  <c r="K328" i="553" a="1"/>
  <c r="K328" i="553" s="1"/>
  <c r="H328" i="553"/>
  <c r="H327" i="553"/>
  <c r="V326" i="553"/>
  <c r="W326" i="553" s="1"/>
  <c r="N326" i="553"/>
  <c r="K326" i="553" a="1"/>
  <c r="K326" i="553" s="1"/>
  <c r="M326" i="553" s="1"/>
  <c r="J326" i="553" a="1"/>
  <c r="J326" i="553" s="1"/>
  <c r="H326" i="553"/>
  <c r="V325" i="553"/>
  <c r="W325" i="553" s="1"/>
  <c r="N325" i="553"/>
  <c r="K325" i="553" a="1"/>
  <c r="K325" i="553" s="1"/>
  <c r="M325" i="553" s="1"/>
  <c r="J325" i="553" a="1"/>
  <c r="J325" i="553" s="1"/>
  <c r="H325" i="553"/>
  <c r="H324" i="553"/>
  <c r="V323" i="553"/>
  <c r="W323" i="553" s="1"/>
  <c r="N323" i="553"/>
  <c r="K323" i="553" a="1"/>
  <c r="K323" i="553" s="1"/>
  <c r="M323" i="553" s="1"/>
  <c r="J323" i="553" a="1"/>
  <c r="J323" i="553" s="1"/>
  <c r="H323" i="553"/>
  <c r="V322" i="553"/>
  <c r="W322" i="553" s="1"/>
  <c r="N322" i="553"/>
  <c r="K322" i="553" a="1"/>
  <c r="K322" i="553" s="1"/>
  <c r="M322" i="553" s="1"/>
  <c r="J322" i="553" a="1"/>
  <c r="J322" i="553" s="1"/>
  <c r="H322" i="553"/>
  <c r="V321" i="553"/>
  <c r="W321" i="553" s="1"/>
  <c r="N321" i="553"/>
  <c r="K321" i="553"/>
  <c r="M321" i="553" s="1"/>
  <c r="K321" i="553" a="1"/>
  <c r="J321" i="553"/>
  <c r="J321" i="553" a="1"/>
  <c r="H321" i="553"/>
  <c r="V320" i="553"/>
  <c r="V334" i="553" s="1"/>
  <c r="N320" i="553"/>
  <c r="K320" i="553" a="1"/>
  <c r="K320" i="553" s="1"/>
  <c r="J320" i="553" a="1"/>
  <c r="J320" i="553" s="1"/>
  <c r="H320" i="553"/>
  <c r="AA319" i="553"/>
  <c r="Z319" i="553"/>
  <c r="Y319" i="553"/>
  <c r="X319" i="553"/>
  <c r="U319" i="553"/>
  <c r="T319" i="553"/>
  <c r="S319" i="553"/>
  <c r="Q319" i="553"/>
  <c r="P319" i="553"/>
  <c r="O319" i="553"/>
  <c r="I319" i="553"/>
  <c r="G319" i="553"/>
  <c r="V318" i="553"/>
  <c r="W318" i="553" s="1"/>
  <c r="N318" i="553"/>
  <c r="K318" i="553"/>
  <c r="M318" i="553" s="1"/>
  <c r="K318" i="553" a="1"/>
  <c r="J318" i="553"/>
  <c r="J318" i="553" a="1"/>
  <c r="H318" i="553"/>
  <c r="H317" i="553"/>
  <c r="H316" i="553"/>
  <c r="H315" i="553"/>
  <c r="H314" i="553"/>
  <c r="V313" i="553"/>
  <c r="W313" i="553" s="1"/>
  <c r="N313" i="553"/>
  <c r="K313" i="553" a="1"/>
  <c r="K313" i="553" s="1"/>
  <c r="M313" i="553" s="1"/>
  <c r="J313" i="553" a="1"/>
  <c r="J313" i="553" s="1"/>
  <c r="H313" i="553"/>
  <c r="V312" i="553"/>
  <c r="W312" i="553" s="1"/>
  <c r="N312" i="553"/>
  <c r="K312" i="553" a="1"/>
  <c r="K312" i="553" s="1"/>
  <c r="M312" i="553" s="1"/>
  <c r="J312" i="553" a="1"/>
  <c r="J312" i="553" s="1"/>
  <c r="H312" i="553"/>
  <c r="V311" i="553"/>
  <c r="W311" i="553" s="1"/>
  <c r="N311" i="553"/>
  <c r="K311" i="553" a="1"/>
  <c r="K311" i="553" s="1"/>
  <c r="M311" i="553" s="1"/>
  <c r="J311" i="553" a="1"/>
  <c r="J311" i="553" s="1"/>
  <c r="H311" i="553"/>
  <c r="V310" i="553"/>
  <c r="W310" i="553" s="1"/>
  <c r="N310" i="553"/>
  <c r="K310" i="553"/>
  <c r="M310" i="553" s="1"/>
  <c r="K310" i="553" a="1"/>
  <c r="J310" i="553"/>
  <c r="J310" i="553" a="1"/>
  <c r="H310" i="553"/>
  <c r="V309" i="553"/>
  <c r="N309" i="553"/>
  <c r="N319" i="553" s="1"/>
  <c r="K309" i="553" a="1"/>
  <c r="K309" i="553" s="1"/>
  <c r="J309" i="553" a="1"/>
  <c r="J309" i="553" s="1"/>
  <c r="H309" i="553"/>
  <c r="AA308" i="553"/>
  <c r="Z308" i="553"/>
  <c r="Y308" i="553"/>
  <c r="X308" i="553"/>
  <c r="U308" i="553"/>
  <c r="T308" i="553"/>
  <c r="S308" i="553"/>
  <c r="Q308" i="553"/>
  <c r="P308" i="553"/>
  <c r="O308" i="553"/>
  <c r="I308" i="553"/>
  <c r="G308" i="553"/>
  <c r="V307" i="553"/>
  <c r="W307" i="553" s="1"/>
  <c r="N307" i="553"/>
  <c r="K307" i="553"/>
  <c r="M307" i="553" s="1"/>
  <c r="K307" i="553" a="1"/>
  <c r="J307" i="553"/>
  <c r="J307" i="553" a="1"/>
  <c r="H307" i="553"/>
  <c r="V306" i="553"/>
  <c r="W306" i="553" s="1"/>
  <c r="N306" i="553"/>
  <c r="K306" i="553" a="1"/>
  <c r="K306" i="553" s="1"/>
  <c r="M306" i="553" s="1"/>
  <c r="J306" i="553" a="1"/>
  <c r="J306" i="553" s="1"/>
  <c r="H306" i="553"/>
  <c r="W305" i="553"/>
  <c r="V305" i="553"/>
  <c r="N305" i="553"/>
  <c r="K305" i="553" a="1"/>
  <c r="K305" i="553" s="1"/>
  <c r="M305" i="553" s="1"/>
  <c r="J305" i="553" a="1"/>
  <c r="J305" i="553" s="1"/>
  <c r="H305" i="553"/>
  <c r="V304" i="553"/>
  <c r="W304" i="553" s="1"/>
  <c r="N304" i="553"/>
  <c r="K304" i="553" a="1"/>
  <c r="K304" i="553" s="1"/>
  <c r="M304" i="553" s="1"/>
  <c r="J304" i="553" a="1"/>
  <c r="J304" i="553" s="1"/>
  <c r="H304" i="553"/>
  <c r="V303" i="553"/>
  <c r="W303" i="553" s="1"/>
  <c r="N303" i="553"/>
  <c r="K303" i="553"/>
  <c r="M303" i="553" s="1"/>
  <c r="K303" i="553" a="1"/>
  <c r="J303" i="553"/>
  <c r="J303" i="553" a="1"/>
  <c r="H303" i="553"/>
  <c r="V302" i="553"/>
  <c r="W302" i="553" s="1"/>
  <c r="N302" i="553"/>
  <c r="K302" i="553" a="1"/>
  <c r="K302" i="553" s="1"/>
  <c r="M302" i="553" s="1"/>
  <c r="J302" i="553" a="1"/>
  <c r="J302" i="553" s="1"/>
  <c r="H302" i="553"/>
  <c r="W301" i="553"/>
  <c r="V301" i="553"/>
  <c r="N301" i="553"/>
  <c r="K301" i="553" a="1"/>
  <c r="K301" i="553" s="1"/>
  <c r="M301" i="553" s="1"/>
  <c r="J301" i="553" a="1"/>
  <c r="J301" i="553" s="1"/>
  <c r="H301" i="553"/>
  <c r="V300" i="553"/>
  <c r="W300" i="553" s="1"/>
  <c r="N300" i="553"/>
  <c r="K300" i="553" a="1"/>
  <c r="K300" i="553" s="1"/>
  <c r="M300" i="553" s="1"/>
  <c r="J300" i="553" a="1"/>
  <c r="J300" i="553" s="1"/>
  <c r="H300" i="553"/>
  <c r="V299" i="553"/>
  <c r="W299" i="553" s="1"/>
  <c r="N299" i="553"/>
  <c r="K299" i="553"/>
  <c r="M299" i="553" s="1"/>
  <c r="K299" i="553" a="1"/>
  <c r="J299" i="553"/>
  <c r="J299" i="553" a="1"/>
  <c r="H299" i="553"/>
  <c r="V298" i="553"/>
  <c r="W298" i="553" s="1"/>
  <c r="N298" i="553"/>
  <c r="K298" i="553" a="1"/>
  <c r="K298" i="553" s="1"/>
  <c r="M298" i="553" s="1"/>
  <c r="J298" i="553" a="1"/>
  <c r="J298" i="553" s="1"/>
  <c r="H298" i="553"/>
  <c r="W297" i="553"/>
  <c r="V297" i="553"/>
  <c r="N297" i="553"/>
  <c r="K297" i="553" a="1"/>
  <c r="K297" i="553" s="1"/>
  <c r="M297" i="553" s="1"/>
  <c r="J297" i="553" a="1"/>
  <c r="J297" i="553" s="1"/>
  <c r="H297" i="553"/>
  <c r="V296" i="553"/>
  <c r="W296" i="553" s="1"/>
  <c r="N296" i="553"/>
  <c r="K296" i="553" a="1"/>
  <c r="K296" i="553" s="1"/>
  <c r="M296" i="553" s="1"/>
  <c r="J296" i="553" a="1"/>
  <c r="J296" i="553" s="1"/>
  <c r="H296" i="553"/>
  <c r="V295" i="553"/>
  <c r="W295" i="553" s="1"/>
  <c r="N295" i="553"/>
  <c r="K295" i="553"/>
  <c r="M295" i="553" s="1"/>
  <c r="K295" i="553" a="1"/>
  <c r="J295" i="553"/>
  <c r="J295" i="553" a="1"/>
  <c r="H295" i="553"/>
  <c r="V294" i="553"/>
  <c r="W294" i="553" s="1"/>
  <c r="N294" i="553"/>
  <c r="K294" i="553" a="1"/>
  <c r="K294" i="553" s="1"/>
  <c r="M294" i="553" s="1"/>
  <c r="J294" i="553" a="1"/>
  <c r="J294" i="553" s="1"/>
  <c r="H294" i="553"/>
  <c r="W293" i="553"/>
  <c r="V293" i="553"/>
  <c r="N293" i="553"/>
  <c r="N308" i="553" s="1"/>
  <c r="K293" i="553" a="1"/>
  <c r="K293" i="553" s="1"/>
  <c r="H293" i="553"/>
  <c r="AA292" i="553"/>
  <c r="Z292" i="553"/>
  <c r="Y292" i="553"/>
  <c r="X292" i="553"/>
  <c r="U292" i="553"/>
  <c r="T292" i="553"/>
  <c r="S292" i="553"/>
  <c r="R292" i="553"/>
  <c r="Q292" i="553"/>
  <c r="P292" i="553"/>
  <c r="O292" i="553"/>
  <c r="R339" i="553" s="1"/>
  <c r="I292" i="553"/>
  <c r="G292" i="553"/>
  <c r="V291" i="553"/>
  <c r="W291" i="553" s="1"/>
  <c r="N291" i="553"/>
  <c r="K291" i="553" a="1"/>
  <c r="K291" i="553" s="1"/>
  <c r="M291" i="553" s="1"/>
  <c r="J291" i="553" a="1"/>
  <c r="J291" i="553" s="1"/>
  <c r="H291" i="553"/>
  <c r="W290" i="553"/>
  <c r="V290" i="553"/>
  <c r="N290" i="553"/>
  <c r="K290" i="553" a="1"/>
  <c r="K290" i="553" s="1"/>
  <c r="M290" i="553" s="1"/>
  <c r="J290" i="553" a="1"/>
  <c r="J290" i="553" s="1"/>
  <c r="H290" i="553"/>
  <c r="V289" i="553"/>
  <c r="W289" i="553" s="1"/>
  <c r="N289" i="553"/>
  <c r="K289" i="553" a="1"/>
  <c r="K289" i="553" s="1"/>
  <c r="M289" i="553" s="1"/>
  <c r="J289" i="553" a="1"/>
  <c r="J289" i="553" s="1"/>
  <c r="H289" i="553"/>
  <c r="H288" i="553"/>
  <c r="H287" i="553"/>
  <c r="H286" i="553"/>
  <c r="V285" i="553"/>
  <c r="W285" i="553" s="1"/>
  <c r="N285" i="553"/>
  <c r="K285" i="553" a="1"/>
  <c r="K285" i="553" s="1"/>
  <c r="M285" i="553" s="1"/>
  <c r="J285" i="553" a="1"/>
  <c r="J285" i="553" s="1"/>
  <c r="H285" i="553"/>
  <c r="V284" i="553"/>
  <c r="W284" i="553" s="1"/>
  <c r="N284" i="553"/>
  <c r="K284" i="553"/>
  <c r="M284" i="553" s="1"/>
  <c r="K284" i="553" a="1"/>
  <c r="J284" i="553"/>
  <c r="J284" i="553" a="1"/>
  <c r="H284" i="553"/>
  <c r="N283" i="553"/>
  <c r="K283" i="553" a="1"/>
  <c r="K283" i="553" s="1"/>
  <c r="M283" i="553" s="1"/>
  <c r="H283" i="553"/>
  <c r="N282" i="553"/>
  <c r="K282" i="553" a="1"/>
  <c r="K282" i="553" s="1"/>
  <c r="M282" i="553" s="1"/>
  <c r="H282" i="553"/>
  <c r="N281" i="553"/>
  <c r="K281" i="553" a="1"/>
  <c r="K281" i="553" s="1"/>
  <c r="M281" i="553" s="1"/>
  <c r="H281" i="553"/>
  <c r="N280" i="553"/>
  <c r="K280" i="553"/>
  <c r="M280" i="553" s="1"/>
  <c r="K280" i="553" a="1"/>
  <c r="H280" i="553"/>
  <c r="N279" i="553"/>
  <c r="K279" i="553" a="1"/>
  <c r="K279" i="553" s="1"/>
  <c r="M279" i="553" s="1"/>
  <c r="H279" i="553"/>
  <c r="N278" i="553"/>
  <c r="K278" i="553" a="1"/>
  <c r="K278" i="553" s="1"/>
  <c r="M278" i="553" s="1"/>
  <c r="H278" i="553"/>
  <c r="V277" i="553"/>
  <c r="W277" i="553" s="1"/>
  <c r="N277" i="553"/>
  <c r="K277" i="553" a="1"/>
  <c r="K277" i="553" s="1"/>
  <c r="M277" i="553" s="1"/>
  <c r="J277" i="553" a="1"/>
  <c r="J277" i="553" s="1"/>
  <c r="H277" i="553"/>
  <c r="V276" i="553"/>
  <c r="W276" i="553" s="1"/>
  <c r="N276" i="553"/>
  <c r="K276" i="553"/>
  <c r="M276" i="553" s="1"/>
  <c r="K276" i="553" a="1"/>
  <c r="J276" i="553"/>
  <c r="J276" i="553" a="1"/>
  <c r="H276" i="553"/>
  <c r="V275" i="553"/>
  <c r="W275" i="553" s="1"/>
  <c r="N275" i="553"/>
  <c r="K275" i="553" a="1"/>
  <c r="K275" i="553" s="1"/>
  <c r="M275" i="553" s="1"/>
  <c r="J275" i="553" a="1"/>
  <c r="J275" i="553" s="1"/>
  <c r="H275" i="553"/>
  <c r="W274" i="553"/>
  <c r="V274" i="553"/>
  <c r="N274" i="553"/>
  <c r="K274" i="553" a="1"/>
  <c r="K274" i="553" s="1"/>
  <c r="M274" i="553" s="1"/>
  <c r="J274" i="553" a="1"/>
  <c r="J274" i="553" s="1"/>
  <c r="H274" i="553"/>
  <c r="V273" i="553"/>
  <c r="W273" i="553" s="1"/>
  <c r="N273" i="553"/>
  <c r="K273" i="553" a="1"/>
  <c r="K273" i="553" s="1"/>
  <c r="M273" i="553" s="1"/>
  <c r="J273" i="553" a="1"/>
  <c r="J273" i="553" s="1"/>
  <c r="H273" i="553"/>
  <c r="V272" i="553"/>
  <c r="W272" i="553" s="1"/>
  <c r="N272" i="553"/>
  <c r="K272" i="553"/>
  <c r="M272" i="553" s="1"/>
  <c r="K272" i="553" a="1"/>
  <c r="J272" i="553"/>
  <c r="J272" i="553" a="1"/>
  <c r="H272" i="553"/>
  <c r="V271" i="553"/>
  <c r="W271" i="553" s="1"/>
  <c r="N271" i="553"/>
  <c r="K271" i="553" a="1"/>
  <c r="K271" i="553" s="1"/>
  <c r="M271" i="553" s="1"/>
  <c r="J271" i="553" a="1"/>
  <c r="J271" i="553" s="1"/>
  <c r="H271" i="553"/>
  <c r="W270" i="553"/>
  <c r="V270" i="553"/>
  <c r="N270" i="553"/>
  <c r="K270" i="553" a="1"/>
  <c r="K270" i="553" s="1"/>
  <c r="M270" i="553" s="1"/>
  <c r="J270" i="553" a="1"/>
  <c r="J270" i="553" s="1"/>
  <c r="H270" i="553"/>
  <c r="V269" i="553"/>
  <c r="W269" i="553" s="1"/>
  <c r="N269" i="553"/>
  <c r="K269" i="553" a="1"/>
  <c r="K269" i="553" s="1"/>
  <c r="M269" i="553" s="1"/>
  <c r="J269" i="553" a="1"/>
  <c r="J269" i="553" s="1"/>
  <c r="H269" i="553"/>
  <c r="V268" i="553"/>
  <c r="W268" i="553" s="1"/>
  <c r="N268" i="553"/>
  <c r="K268" i="553"/>
  <c r="M268" i="553" s="1"/>
  <c r="K268" i="553" a="1"/>
  <c r="J268" i="553"/>
  <c r="J268" i="553" a="1"/>
  <c r="H268" i="553"/>
  <c r="V267" i="553"/>
  <c r="W267" i="553" s="1"/>
  <c r="N267" i="553"/>
  <c r="K267" i="553" a="1"/>
  <c r="K267" i="553" s="1"/>
  <c r="M267" i="553" s="1"/>
  <c r="J267" i="553" a="1"/>
  <c r="J267" i="553" s="1"/>
  <c r="H267" i="553"/>
  <c r="W266" i="553"/>
  <c r="V266" i="553"/>
  <c r="N266" i="553"/>
  <c r="K266" i="553" a="1"/>
  <c r="K266" i="553" s="1"/>
  <c r="M266" i="553" s="1"/>
  <c r="J266" i="553" a="1"/>
  <c r="J266" i="553" s="1"/>
  <c r="H266" i="553"/>
  <c r="N265" i="553"/>
  <c r="K265" i="553" a="1"/>
  <c r="K265" i="553" s="1"/>
  <c r="M265" i="553" s="1"/>
  <c r="H265" i="553"/>
  <c r="V264" i="553"/>
  <c r="W264" i="553" s="1"/>
  <c r="N264" i="553"/>
  <c r="K264" i="553"/>
  <c r="M264" i="553" s="1"/>
  <c r="K264" i="553" a="1"/>
  <c r="J264" i="553"/>
  <c r="J264" i="553" a="1"/>
  <c r="H264" i="553"/>
  <c r="V263" i="553"/>
  <c r="W263" i="553" s="1"/>
  <c r="N263" i="553"/>
  <c r="K263" i="553" a="1"/>
  <c r="K263" i="553" s="1"/>
  <c r="M263" i="553" s="1"/>
  <c r="J263" i="553" a="1"/>
  <c r="J263" i="553" s="1"/>
  <c r="H263" i="553"/>
  <c r="W262" i="553"/>
  <c r="V262" i="553"/>
  <c r="N262" i="553"/>
  <c r="K262" i="553" a="1"/>
  <c r="K262" i="553" s="1"/>
  <c r="M262" i="553" s="1"/>
  <c r="J262" i="553" a="1"/>
  <c r="J262" i="553" s="1"/>
  <c r="H262" i="553"/>
  <c r="V261" i="553"/>
  <c r="W261" i="553" s="1"/>
  <c r="N261" i="553"/>
  <c r="K261" i="553" a="1"/>
  <c r="K261" i="553" s="1"/>
  <c r="M261" i="553" s="1"/>
  <c r="J261" i="553" a="1"/>
  <c r="J261" i="553" s="1"/>
  <c r="H261" i="553"/>
  <c r="V260" i="553"/>
  <c r="W260" i="553" s="1"/>
  <c r="N260" i="553"/>
  <c r="K260" i="553"/>
  <c r="M260" i="553" s="1"/>
  <c r="K260" i="553" a="1"/>
  <c r="J260" i="553"/>
  <c r="J260" i="553" a="1"/>
  <c r="H260" i="553"/>
  <c r="V259" i="553"/>
  <c r="W259" i="553" s="1"/>
  <c r="N259" i="553"/>
  <c r="K259" i="553" a="1"/>
  <c r="K259" i="553" s="1"/>
  <c r="M259" i="553" s="1"/>
  <c r="J259" i="553" a="1"/>
  <c r="J259" i="553" s="1"/>
  <c r="H259" i="553"/>
  <c r="W258" i="553"/>
  <c r="V258" i="553"/>
  <c r="N258" i="553"/>
  <c r="N292" i="553" s="1"/>
  <c r="K258" i="553" a="1"/>
  <c r="K258" i="553" s="1"/>
  <c r="J258" i="553" a="1"/>
  <c r="J258" i="553" s="1"/>
  <c r="H258" i="553"/>
  <c r="H292" i="553" s="1"/>
  <c r="AA257" i="553"/>
  <c r="Z257" i="553"/>
  <c r="Y257" i="553"/>
  <c r="X257" i="553"/>
  <c r="U257" i="553"/>
  <c r="T257" i="553"/>
  <c r="S257" i="553"/>
  <c r="R257" i="553"/>
  <c r="Q257" i="553"/>
  <c r="P257" i="553"/>
  <c r="O257" i="553"/>
  <c r="I257" i="553"/>
  <c r="G257" i="553"/>
  <c r="H256" i="553"/>
  <c r="H255" i="553"/>
  <c r="H254" i="553"/>
  <c r="H253" i="553"/>
  <c r="H252" i="553"/>
  <c r="H251" i="553"/>
  <c r="K250" i="553" a="1"/>
  <c r="K250" i="553" s="1"/>
  <c r="M250" i="553" s="1"/>
  <c r="H250" i="553"/>
  <c r="K249" i="553" a="1"/>
  <c r="K249" i="553" s="1"/>
  <c r="M249" i="553" s="1"/>
  <c r="H249" i="553"/>
  <c r="K248" i="553" a="1"/>
  <c r="K248" i="553" s="1"/>
  <c r="M248" i="553" s="1"/>
  <c r="H248" i="553"/>
  <c r="K247" i="553" a="1"/>
  <c r="K247" i="553" s="1"/>
  <c r="M247" i="553" s="1"/>
  <c r="H247" i="553"/>
  <c r="W246" i="553"/>
  <c r="V246" i="553"/>
  <c r="N246" i="553"/>
  <c r="K246" i="553" a="1"/>
  <c r="K246" i="553" s="1"/>
  <c r="M246" i="553" s="1"/>
  <c r="J246" i="553" a="1"/>
  <c r="J246" i="553" s="1"/>
  <c r="H246" i="553"/>
  <c r="V245" i="553"/>
  <c r="W245" i="553" s="1"/>
  <c r="N245" i="553"/>
  <c r="K245" i="553" a="1"/>
  <c r="K245" i="553" s="1"/>
  <c r="M245" i="553" s="1"/>
  <c r="J245" i="553" a="1"/>
  <c r="J245" i="553" s="1"/>
  <c r="H245" i="553"/>
  <c r="V244" i="553"/>
  <c r="W244" i="553" s="1"/>
  <c r="N244" i="553"/>
  <c r="K244" i="553"/>
  <c r="M244" i="553" s="1"/>
  <c r="K244" i="553" a="1"/>
  <c r="J244" i="553"/>
  <c r="J244" i="553" a="1"/>
  <c r="H244" i="553"/>
  <c r="V243" i="553"/>
  <c r="W243" i="553" s="1"/>
  <c r="N243" i="553"/>
  <c r="K243" i="553" a="1"/>
  <c r="K243" i="553" s="1"/>
  <c r="M243" i="553" s="1"/>
  <c r="J243" i="553" a="1"/>
  <c r="J243" i="553" s="1"/>
  <c r="H243" i="553"/>
  <c r="M242" i="553"/>
  <c r="H242" i="553"/>
  <c r="W241" i="553"/>
  <c r="V241" i="553"/>
  <c r="N241" i="553"/>
  <c r="K241" i="553" a="1"/>
  <c r="K241" i="553" s="1"/>
  <c r="M241" i="553" s="1"/>
  <c r="J241" i="553" a="1"/>
  <c r="J241" i="553" s="1"/>
  <c r="H241" i="553"/>
  <c r="V240" i="553"/>
  <c r="W240" i="553" s="1"/>
  <c r="N240" i="553"/>
  <c r="K240" i="553" a="1"/>
  <c r="K240" i="553" s="1"/>
  <c r="M240" i="553" s="1"/>
  <c r="J240" i="553" a="1"/>
  <c r="J240" i="553" s="1"/>
  <c r="H240" i="553"/>
  <c r="K239" i="553" a="1"/>
  <c r="K239" i="553" s="1"/>
  <c r="M239" i="553" s="1"/>
  <c r="H239" i="553"/>
  <c r="H238" i="553"/>
  <c r="V237" i="553"/>
  <c r="W237" i="553" s="1"/>
  <c r="N237" i="553"/>
  <c r="K237" i="553" a="1"/>
  <c r="K237" i="553" s="1"/>
  <c r="M237" i="553" s="1"/>
  <c r="J237" i="553" a="1"/>
  <c r="J237" i="553" s="1"/>
  <c r="H237" i="553"/>
  <c r="W236" i="553"/>
  <c r="V236" i="553"/>
  <c r="N236" i="553"/>
  <c r="K236" i="553" a="1"/>
  <c r="K236" i="553" s="1"/>
  <c r="M236" i="553" s="1"/>
  <c r="J236" i="553" a="1"/>
  <c r="J236" i="553" s="1"/>
  <c r="H236" i="553"/>
  <c r="V235" i="553"/>
  <c r="W235" i="553" s="1"/>
  <c r="N235" i="553"/>
  <c r="K235" i="553" a="1"/>
  <c r="K235" i="553" s="1"/>
  <c r="M235" i="553" s="1"/>
  <c r="J235" i="553" a="1"/>
  <c r="J235" i="553" s="1"/>
  <c r="H235" i="553"/>
  <c r="V234" i="553"/>
  <c r="W234" i="553" s="1"/>
  <c r="N234" i="553"/>
  <c r="K234" i="553"/>
  <c r="M234" i="553" s="1"/>
  <c r="K234" i="553" a="1"/>
  <c r="J234" i="553"/>
  <c r="J234" i="553" a="1"/>
  <c r="H234" i="553"/>
  <c r="V233" i="553"/>
  <c r="W233" i="553" s="1"/>
  <c r="N233" i="553"/>
  <c r="K233" i="553" a="1"/>
  <c r="K233" i="553" s="1"/>
  <c r="M233" i="553" s="1"/>
  <c r="J233" i="553" a="1"/>
  <c r="J233" i="553" s="1"/>
  <c r="H233" i="553"/>
  <c r="W232" i="553"/>
  <c r="V232" i="553"/>
  <c r="N232" i="553"/>
  <c r="K232" i="553" a="1"/>
  <c r="K232" i="553" s="1"/>
  <c r="M232" i="553" s="1"/>
  <c r="J232" i="553" a="1"/>
  <c r="J232" i="553" s="1"/>
  <c r="H232" i="553"/>
  <c r="V231" i="553"/>
  <c r="W231" i="553" s="1"/>
  <c r="N231" i="553"/>
  <c r="K231" i="553" a="1"/>
  <c r="K231" i="553" s="1"/>
  <c r="M231" i="553" s="1"/>
  <c r="J231" i="553" a="1"/>
  <c r="J231" i="553" s="1"/>
  <c r="H231" i="553"/>
  <c r="V230" i="553"/>
  <c r="W230" i="553" s="1"/>
  <c r="N230" i="553"/>
  <c r="K230" i="553"/>
  <c r="M230" i="553" s="1"/>
  <c r="K230" i="553" a="1"/>
  <c r="J230" i="553"/>
  <c r="J230" i="553" a="1"/>
  <c r="H230" i="553"/>
  <c r="V229" i="553"/>
  <c r="W229" i="553" s="1"/>
  <c r="N229" i="553"/>
  <c r="K229" i="553" a="1"/>
  <c r="K229" i="553" s="1"/>
  <c r="M229" i="553" s="1"/>
  <c r="J229" i="553" a="1"/>
  <c r="J229" i="553" s="1"/>
  <c r="H229" i="553"/>
  <c r="W228" i="553"/>
  <c r="V228" i="553"/>
  <c r="N228" i="553"/>
  <c r="K228" i="553" a="1"/>
  <c r="K228" i="553" s="1"/>
  <c r="M228" i="553" s="1"/>
  <c r="J228" i="553" a="1"/>
  <c r="J228" i="553" s="1"/>
  <c r="H228" i="553"/>
  <c r="N227" i="553"/>
  <c r="K227" i="553" a="1"/>
  <c r="K227" i="553" s="1"/>
  <c r="M227" i="553" s="1"/>
  <c r="H227" i="553"/>
  <c r="N226" i="553"/>
  <c r="K226" i="553"/>
  <c r="M226" i="553" s="1"/>
  <c r="K226" i="553" a="1"/>
  <c r="H226" i="553"/>
  <c r="N225" i="553"/>
  <c r="K225" i="553" a="1"/>
  <c r="K225" i="553" s="1"/>
  <c r="M225" i="553" s="1"/>
  <c r="H225" i="553"/>
  <c r="N224" i="553"/>
  <c r="K224" i="553" a="1"/>
  <c r="K224" i="553" s="1"/>
  <c r="M224" i="553" s="1"/>
  <c r="H224" i="553"/>
  <c r="N223" i="553"/>
  <c r="K223" i="553" a="1"/>
  <c r="K223" i="553" s="1"/>
  <c r="M223" i="553" s="1"/>
  <c r="H223" i="553"/>
  <c r="N222" i="553"/>
  <c r="K222" i="553"/>
  <c r="M222" i="553" s="1"/>
  <c r="K222" i="553" a="1"/>
  <c r="H222" i="553"/>
  <c r="N221" i="553"/>
  <c r="K221" i="553" a="1"/>
  <c r="K221" i="553" s="1"/>
  <c r="M221" i="553" s="1"/>
  <c r="H221" i="553"/>
  <c r="N220" i="553"/>
  <c r="K220" i="553" a="1"/>
  <c r="K220" i="553" s="1"/>
  <c r="M220" i="553" s="1"/>
  <c r="H220" i="553"/>
  <c r="V219" i="553"/>
  <c r="W219" i="553" s="1"/>
  <c r="N219" i="553"/>
  <c r="K219" i="553" a="1"/>
  <c r="K219" i="553" s="1"/>
  <c r="M219" i="553" s="1"/>
  <c r="J219" i="553" a="1"/>
  <c r="J219" i="553" s="1"/>
  <c r="H219" i="553"/>
  <c r="V218" i="553"/>
  <c r="W218" i="553" s="1"/>
  <c r="N218" i="553"/>
  <c r="K218" i="553"/>
  <c r="M218" i="553" s="1"/>
  <c r="K218" i="553" a="1"/>
  <c r="J218" i="553" a="1"/>
  <c r="J218" i="553" s="1"/>
  <c r="H218" i="553"/>
  <c r="V217" i="553"/>
  <c r="W217" i="553" s="1"/>
  <c r="N217" i="553"/>
  <c r="K217" i="553" a="1"/>
  <c r="K217" i="553" s="1"/>
  <c r="M217" i="553" s="1"/>
  <c r="J217" i="553" a="1"/>
  <c r="J217" i="553" s="1"/>
  <c r="H217" i="553"/>
  <c r="V216" i="553"/>
  <c r="W216" i="553" s="1"/>
  <c r="N216" i="553"/>
  <c r="K216" i="553" a="1"/>
  <c r="K216" i="553" s="1"/>
  <c r="M216" i="553" s="1"/>
  <c r="J216" i="553" a="1"/>
  <c r="J216" i="553" s="1"/>
  <c r="H216" i="553"/>
  <c r="V215" i="553"/>
  <c r="W215" i="553" s="1"/>
  <c r="N215" i="553"/>
  <c r="K215" i="553" a="1"/>
  <c r="K215" i="553" s="1"/>
  <c r="M215" i="553" s="1"/>
  <c r="J215" i="553" a="1"/>
  <c r="J215" i="553" s="1"/>
  <c r="H215" i="553"/>
  <c r="V214" i="553"/>
  <c r="W214" i="553" s="1"/>
  <c r="N214" i="553"/>
  <c r="K214" i="553"/>
  <c r="M214" i="553" s="1"/>
  <c r="K214" i="553" a="1"/>
  <c r="J214" i="553"/>
  <c r="J214" i="553" a="1"/>
  <c r="H214" i="553"/>
  <c r="V213" i="553"/>
  <c r="W213" i="553" s="1"/>
  <c r="N213" i="553"/>
  <c r="K213" i="553" a="1"/>
  <c r="K213" i="553" s="1"/>
  <c r="M213" i="553" s="1"/>
  <c r="J213" i="553" a="1"/>
  <c r="J213" i="553" s="1"/>
  <c r="H213" i="553"/>
  <c r="W212" i="553"/>
  <c r="V212" i="553"/>
  <c r="N212" i="553"/>
  <c r="K212" i="553" a="1"/>
  <c r="K212" i="553" s="1"/>
  <c r="M212" i="553" s="1"/>
  <c r="J212" i="553" a="1"/>
  <c r="J212" i="553" s="1"/>
  <c r="H212" i="553"/>
  <c r="V211" i="553"/>
  <c r="W211" i="553" s="1"/>
  <c r="N211" i="553"/>
  <c r="K211" i="553" a="1"/>
  <c r="K211" i="553" s="1"/>
  <c r="M211" i="553" s="1"/>
  <c r="J211" i="553" a="1"/>
  <c r="J211" i="553" s="1"/>
  <c r="H211" i="553"/>
  <c r="V210" i="553"/>
  <c r="W210" i="553" s="1"/>
  <c r="N210" i="553"/>
  <c r="K210" i="553"/>
  <c r="M210" i="553" s="1"/>
  <c r="K210" i="553" a="1"/>
  <c r="J210" i="553"/>
  <c r="J210" i="553" a="1"/>
  <c r="H210" i="553"/>
  <c r="V209" i="553"/>
  <c r="W209" i="553" s="1"/>
  <c r="N209" i="553"/>
  <c r="K209" i="553" a="1"/>
  <c r="K209" i="553" s="1"/>
  <c r="M209" i="553" s="1"/>
  <c r="J209" i="553" a="1"/>
  <c r="J209" i="553" s="1"/>
  <c r="H209" i="553"/>
  <c r="V208" i="553"/>
  <c r="W208" i="553" s="1"/>
  <c r="N208" i="553"/>
  <c r="K208" i="553" a="1"/>
  <c r="K208" i="553" s="1"/>
  <c r="M208" i="553" s="1"/>
  <c r="J208" i="553" a="1"/>
  <c r="J208" i="553" s="1"/>
  <c r="H208" i="553"/>
  <c r="H207" i="553"/>
  <c r="H206" i="553"/>
  <c r="H205" i="553"/>
  <c r="V204" i="553"/>
  <c r="W204" i="553" s="1"/>
  <c r="N204" i="553"/>
  <c r="K204" i="553" a="1"/>
  <c r="K204" i="553" s="1"/>
  <c r="M204" i="553" s="1"/>
  <c r="J204" i="553" a="1"/>
  <c r="J204" i="553" s="1"/>
  <c r="H204" i="553"/>
  <c r="V203" i="553"/>
  <c r="W203" i="553" s="1"/>
  <c r="N203" i="553"/>
  <c r="K203" i="553" a="1"/>
  <c r="K203" i="553" s="1"/>
  <c r="M203" i="553" s="1"/>
  <c r="J203" i="553" a="1"/>
  <c r="J203" i="553" s="1"/>
  <c r="H203" i="553"/>
  <c r="V202" i="553"/>
  <c r="W202" i="553" s="1"/>
  <c r="N202" i="553"/>
  <c r="K202" i="553"/>
  <c r="M202" i="553" s="1"/>
  <c r="K202" i="553" a="1"/>
  <c r="J202" i="553"/>
  <c r="J202" i="553" a="1"/>
  <c r="H202" i="553"/>
  <c r="H201" i="553"/>
  <c r="W200" i="553"/>
  <c r="V200" i="553"/>
  <c r="V257" i="553" s="1"/>
  <c r="W257" i="553" s="1"/>
  <c r="N200" i="553"/>
  <c r="N257" i="553" s="1"/>
  <c r="K200" i="553"/>
  <c r="M200" i="553" s="1"/>
  <c r="K200" i="553" a="1"/>
  <c r="J200" i="553" a="1"/>
  <c r="J200" i="553" s="1"/>
  <c r="H200" i="553"/>
  <c r="H257" i="553" s="1"/>
  <c r="AA199" i="553"/>
  <c r="AA335" i="553" s="1"/>
  <c r="Z199" i="553"/>
  <c r="Z335" i="553" s="1"/>
  <c r="Y199" i="553"/>
  <c r="Y335" i="553" s="1"/>
  <c r="X199" i="553"/>
  <c r="X335" i="553" s="1"/>
  <c r="U199" i="553"/>
  <c r="U335" i="553" s="1"/>
  <c r="T199" i="553"/>
  <c r="T335" i="553" s="1"/>
  <c r="S199" i="553"/>
  <c r="S335" i="553" s="1"/>
  <c r="R199" i="553"/>
  <c r="R335" i="553" s="1"/>
  <c r="Q199" i="553"/>
  <c r="Q335" i="553" s="1"/>
  <c r="P199" i="553"/>
  <c r="O199" i="553"/>
  <c r="I199" i="553"/>
  <c r="I335" i="553" s="1"/>
  <c r="B343" i="553" s="1"/>
  <c r="G199" i="553"/>
  <c r="G335" i="553" s="1"/>
  <c r="V198" i="553"/>
  <c r="W198" i="553" s="1"/>
  <c r="N198" i="553"/>
  <c r="K198" i="553" a="1"/>
  <c r="K198" i="553" s="1"/>
  <c r="M198" i="553" s="1"/>
  <c r="J198" i="553" a="1"/>
  <c r="J198" i="553" s="1"/>
  <c r="H198" i="553"/>
  <c r="V197" i="553"/>
  <c r="W197" i="553" s="1"/>
  <c r="N197" i="553"/>
  <c r="K197" i="553" a="1"/>
  <c r="K197" i="553" s="1"/>
  <c r="M197" i="553" s="1"/>
  <c r="J197" i="553" a="1"/>
  <c r="J197" i="553" s="1"/>
  <c r="H197" i="553"/>
  <c r="K196" i="553"/>
  <c r="M196" i="553" s="1"/>
  <c r="K196" i="553" a="1"/>
  <c r="H196" i="553"/>
  <c r="K195" i="553" a="1"/>
  <c r="K195" i="553" s="1"/>
  <c r="M195" i="553" s="1"/>
  <c r="H195" i="553"/>
  <c r="K194" i="553"/>
  <c r="M194" i="553" s="1"/>
  <c r="K194" i="553" a="1"/>
  <c r="H194" i="553"/>
  <c r="K193" i="553" a="1"/>
  <c r="K193" i="553" s="1"/>
  <c r="M193" i="553" s="1"/>
  <c r="H193" i="553"/>
  <c r="V192" i="553"/>
  <c r="W192" i="553" s="1"/>
  <c r="N192" i="553"/>
  <c r="K192" i="553" a="1"/>
  <c r="K192" i="553" s="1"/>
  <c r="M192" i="553" s="1"/>
  <c r="J192" i="553" a="1"/>
  <c r="J192" i="553" s="1"/>
  <c r="H192" i="553"/>
  <c r="V191" i="553"/>
  <c r="W191" i="553" s="1"/>
  <c r="N191" i="553"/>
  <c r="K191" i="553"/>
  <c r="M191" i="553" s="1"/>
  <c r="K191" i="553" a="1"/>
  <c r="J191" i="553" a="1"/>
  <c r="J191" i="553" s="1"/>
  <c r="H191" i="553"/>
  <c r="V190" i="553"/>
  <c r="W190" i="553" s="1"/>
  <c r="N190" i="553"/>
  <c r="K190" i="553" a="1"/>
  <c r="K190" i="553" s="1"/>
  <c r="M190" i="553" s="1"/>
  <c r="J190" i="553" a="1"/>
  <c r="J190" i="553" s="1"/>
  <c r="H190" i="553"/>
  <c r="N189" i="553"/>
  <c r="K189" i="553" a="1"/>
  <c r="K189" i="553" s="1"/>
  <c r="M189" i="553" s="1"/>
  <c r="J189" i="553" a="1"/>
  <c r="J189" i="553" s="1"/>
  <c r="H189" i="553"/>
  <c r="N188" i="553"/>
  <c r="K188" i="553" a="1"/>
  <c r="K188" i="553" s="1"/>
  <c r="M188" i="553" s="1"/>
  <c r="J188" i="553" a="1"/>
  <c r="J188" i="553" s="1"/>
  <c r="H188" i="553"/>
  <c r="V187" i="553"/>
  <c r="W187" i="553" s="1"/>
  <c r="N187" i="553"/>
  <c r="K187" i="553" a="1"/>
  <c r="K187" i="553" s="1"/>
  <c r="M187" i="553" s="1"/>
  <c r="J187" i="553" a="1"/>
  <c r="J187" i="553" s="1"/>
  <c r="H187" i="553"/>
  <c r="V186" i="553"/>
  <c r="W186" i="553" s="1"/>
  <c r="N186" i="553"/>
  <c r="K186" i="553" a="1"/>
  <c r="K186" i="553" s="1"/>
  <c r="M186" i="553" s="1"/>
  <c r="J186" i="553" a="1"/>
  <c r="J186" i="553" s="1"/>
  <c r="H186" i="553"/>
  <c r="N185" i="553"/>
  <c r="K185" i="553" a="1"/>
  <c r="K185" i="553" s="1"/>
  <c r="M185" i="553" s="1"/>
  <c r="H185" i="553"/>
  <c r="N184" i="553"/>
  <c r="K184" i="553" a="1"/>
  <c r="K184" i="553" s="1"/>
  <c r="M184" i="553" s="1"/>
  <c r="H184" i="553"/>
  <c r="W183" i="553"/>
  <c r="V183" i="553"/>
  <c r="N183" i="553"/>
  <c r="K183" i="553" a="1"/>
  <c r="K183" i="553" s="1"/>
  <c r="M183" i="553" s="1"/>
  <c r="J183" i="553" a="1"/>
  <c r="J183" i="553" s="1"/>
  <c r="H183" i="553"/>
  <c r="V182" i="553"/>
  <c r="W182" i="553" s="1"/>
  <c r="N182" i="553"/>
  <c r="K182" i="553" a="1"/>
  <c r="K182" i="553" s="1"/>
  <c r="M182" i="553" s="1"/>
  <c r="J182" i="553" a="1"/>
  <c r="J182" i="553" s="1"/>
  <c r="H182" i="553"/>
  <c r="V181" i="553"/>
  <c r="W181" i="553" s="1"/>
  <c r="N181" i="553"/>
  <c r="K181" i="553"/>
  <c r="M181" i="553" s="1"/>
  <c r="K181" i="553" a="1"/>
  <c r="J181" i="553"/>
  <c r="J181" i="553" a="1"/>
  <c r="H181" i="553"/>
  <c r="V180" i="553"/>
  <c r="W180" i="553" s="1"/>
  <c r="N180" i="553"/>
  <c r="K180" i="553" a="1"/>
  <c r="K180" i="553" s="1"/>
  <c r="M180" i="553" s="1"/>
  <c r="J180" i="553" a="1"/>
  <c r="J180" i="553" s="1"/>
  <c r="H180" i="553"/>
  <c r="W179" i="553"/>
  <c r="V179" i="553"/>
  <c r="N179" i="553"/>
  <c r="K179" i="553" a="1"/>
  <c r="K179" i="553" s="1"/>
  <c r="M179" i="553" s="1"/>
  <c r="J179" i="553" a="1"/>
  <c r="J179" i="553" s="1"/>
  <c r="H179" i="553"/>
  <c r="V178" i="553"/>
  <c r="V199" i="553" s="1"/>
  <c r="N178" i="553"/>
  <c r="K178" i="553" a="1"/>
  <c r="K178" i="553" s="1"/>
  <c r="J178" i="553" a="1"/>
  <c r="J178" i="553" s="1"/>
  <c r="H178" i="553"/>
  <c r="X171" i="553"/>
  <c r="Q529" i="553" s="1"/>
  <c r="X170" i="553"/>
  <c r="Q528" i="553" s="1"/>
  <c r="G170" i="553"/>
  <c r="C170" i="553"/>
  <c r="X169" i="553"/>
  <c r="Q527" i="553" s="1"/>
  <c r="I169" i="553"/>
  <c r="E169" i="553"/>
  <c r="K169" i="553" s="1"/>
  <c r="M169" i="553" s="1"/>
  <c r="I168" i="553"/>
  <c r="E168" i="553"/>
  <c r="K168" i="553" s="1"/>
  <c r="M168" i="553" s="1"/>
  <c r="I167" i="553"/>
  <c r="E167" i="553"/>
  <c r="K167" i="553" s="1"/>
  <c r="M167" i="553" s="1"/>
  <c r="X166" i="553"/>
  <c r="Q524" i="553" s="1"/>
  <c r="I166" i="553"/>
  <c r="I170" i="553" s="1"/>
  <c r="E166" i="553"/>
  <c r="E170" i="553" s="1"/>
  <c r="AA163" i="553"/>
  <c r="Z163" i="553"/>
  <c r="Y163" i="553"/>
  <c r="X163" i="553"/>
  <c r="U163" i="553"/>
  <c r="T163" i="553"/>
  <c r="S163" i="553"/>
  <c r="R163" i="553"/>
  <c r="Q163" i="553"/>
  <c r="P163" i="553"/>
  <c r="O163" i="553"/>
  <c r="I163" i="553"/>
  <c r="G163" i="553"/>
  <c r="C529" i="553" s="1"/>
  <c r="H162" i="553"/>
  <c r="H161" i="553"/>
  <c r="H160" i="553"/>
  <c r="V159" i="553"/>
  <c r="W159" i="553" s="1"/>
  <c r="N159" i="553"/>
  <c r="K159" i="553"/>
  <c r="K159" i="553" a="1"/>
  <c r="J159" i="553" a="1"/>
  <c r="J159" i="553" s="1"/>
  <c r="H159" i="553"/>
  <c r="D159" i="553"/>
  <c r="V158" i="553"/>
  <c r="W158" i="553" s="1"/>
  <c r="N158" i="553"/>
  <c r="K158" i="553" a="1"/>
  <c r="K158" i="553" s="1"/>
  <c r="M158" i="553" s="1"/>
  <c r="J158" i="553" a="1"/>
  <c r="J158" i="553" s="1"/>
  <c r="H158" i="553"/>
  <c r="H157" i="553"/>
  <c r="H156" i="553"/>
  <c r="V155" i="553"/>
  <c r="W155" i="553" s="1"/>
  <c r="N155" i="553"/>
  <c r="K155" i="553" a="1"/>
  <c r="K155" i="553" s="1"/>
  <c r="M155" i="553" s="1"/>
  <c r="J155" i="553" a="1"/>
  <c r="J155" i="553" s="1"/>
  <c r="H155" i="553"/>
  <c r="V154" i="553"/>
  <c r="W154" i="553" s="1"/>
  <c r="N154" i="553"/>
  <c r="K154" i="553" a="1"/>
  <c r="K154" i="553" s="1"/>
  <c r="M154" i="553" s="1"/>
  <c r="J154" i="553" a="1"/>
  <c r="J154" i="553" s="1"/>
  <c r="H154" i="553"/>
  <c r="H153" i="553"/>
  <c r="W152" i="553"/>
  <c r="V152" i="553"/>
  <c r="N152" i="553"/>
  <c r="K152" i="553" a="1"/>
  <c r="K152" i="553" s="1"/>
  <c r="M152" i="553" s="1"/>
  <c r="J152" i="553" a="1"/>
  <c r="J152" i="553" s="1"/>
  <c r="H152" i="553"/>
  <c r="V151" i="553"/>
  <c r="W151" i="553" s="1"/>
  <c r="N151" i="553"/>
  <c r="K151" i="553" a="1"/>
  <c r="K151" i="553" s="1"/>
  <c r="M151" i="553" s="1"/>
  <c r="J151" i="553" a="1"/>
  <c r="J151" i="553" s="1"/>
  <c r="H151" i="553"/>
  <c r="W150" i="553"/>
  <c r="V150" i="553"/>
  <c r="N150" i="553"/>
  <c r="K150" i="553"/>
  <c r="M150" i="553" s="1"/>
  <c r="K150" i="553" a="1"/>
  <c r="J150" i="553" a="1"/>
  <c r="J150" i="553" s="1"/>
  <c r="H150" i="553"/>
  <c r="V149" i="553"/>
  <c r="W149" i="553" s="1"/>
  <c r="N149" i="553"/>
  <c r="N163" i="553" s="1"/>
  <c r="K149" i="553" a="1"/>
  <c r="K149" i="553" s="1"/>
  <c r="J149" i="553" a="1"/>
  <c r="J149" i="553" s="1"/>
  <c r="H149" i="553"/>
  <c r="AA148" i="553"/>
  <c r="Z148" i="553"/>
  <c r="Y148" i="553"/>
  <c r="X148" i="553"/>
  <c r="U148" i="553"/>
  <c r="T148" i="553"/>
  <c r="S148" i="553"/>
  <c r="Q148" i="553"/>
  <c r="P148" i="553"/>
  <c r="O148" i="553"/>
  <c r="R170" i="553" s="1"/>
  <c r="I148" i="553"/>
  <c r="G148" i="553"/>
  <c r="C528" i="553" s="1"/>
  <c r="V147" i="553"/>
  <c r="W147" i="553" s="1"/>
  <c r="N147" i="553"/>
  <c r="K147" i="553" a="1"/>
  <c r="K147" i="553" s="1"/>
  <c r="M147" i="553" s="1"/>
  <c r="J147" i="553" a="1"/>
  <c r="J147" i="553" s="1"/>
  <c r="H147" i="553"/>
  <c r="K146" i="553" a="1"/>
  <c r="K146" i="553" s="1"/>
  <c r="H146" i="553"/>
  <c r="K145" i="553" a="1"/>
  <c r="K145" i="553" s="1"/>
  <c r="H145" i="553"/>
  <c r="K144" i="553" a="1"/>
  <c r="K144" i="553" s="1"/>
  <c r="H144" i="553"/>
  <c r="K143" i="553" a="1"/>
  <c r="K143" i="553" s="1"/>
  <c r="H143" i="553"/>
  <c r="V142" i="553"/>
  <c r="W142" i="553" s="1"/>
  <c r="N142" i="553"/>
  <c r="K142" i="553" a="1"/>
  <c r="K142" i="553" s="1"/>
  <c r="M142" i="553" s="1"/>
  <c r="J142" i="553" a="1"/>
  <c r="J142" i="553" s="1"/>
  <c r="H142" i="553"/>
  <c r="V141" i="553"/>
  <c r="W141" i="553" s="1"/>
  <c r="N141" i="553"/>
  <c r="K141" i="553"/>
  <c r="M141" i="553" s="1"/>
  <c r="K141" i="553" a="1"/>
  <c r="J141" i="553"/>
  <c r="J141" i="553" a="1"/>
  <c r="H141" i="553"/>
  <c r="V140" i="553"/>
  <c r="W140" i="553" s="1"/>
  <c r="N140" i="553"/>
  <c r="K140" i="553" a="1"/>
  <c r="K140" i="553" s="1"/>
  <c r="M140" i="553" s="1"/>
  <c r="J140" i="553" a="1"/>
  <c r="J140" i="553" s="1"/>
  <c r="H140" i="553"/>
  <c r="V139" i="553"/>
  <c r="W139" i="553" s="1"/>
  <c r="N139" i="553"/>
  <c r="K139" i="553"/>
  <c r="M139" i="553" s="1"/>
  <c r="K139" i="553" a="1"/>
  <c r="J139" i="553" a="1"/>
  <c r="J139" i="553" s="1"/>
  <c r="H139" i="553"/>
  <c r="V138" i="553"/>
  <c r="V148" i="553" s="1"/>
  <c r="W148" i="553" s="1"/>
  <c r="N138" i="553"/>
  <c r="N148" i="553" s="1"/>
  <c r="K138" i="553" a="1"/>
  <c r="K138" i="553" s="1"/>
  <c r="J138" i="553" a="1"/>
  <c r="J138" i="553" s="1"/>
  <c r="H138" i="553"/>
  <c r="H148" i="553" s="1"/>
  <c r="AA137" i="553"/>
  <c r="Z137" i="553"/>
  <c r="Y137" i="553"/>
  <c r="X137" i="553"/>
  <c r="U137" i="553"/>
  <c r="T137" i="553"/>
  <c r="S137" i="553"/>
  <c r="Q137" i="553"/>
  <c r="P137" i="553"/>
  <c r="O137" i="553"/>
  <c r="R169" i="553" s="1"/>
  <c r="I137" i="553"/>
  <c r="G137" i="553"/>
  <c r="C527" i="553" s="1"/>
  <c r="V136" i="553"/>
  <c r="W136" i="553" s="1"/>
  <c r="N136" i="553"/>
  <c r="K136" i="553" a="1"/>
  <c r="K136" i="553" s="1"/>
  <c r="M136" i="553" s="1"/>
  <c r="J136" i="553" a="1"/>
  <c r="J136" i="553" s="1"/>
  <c r="H136" i="553"/>
  <c r="V135" i="553"/>
  <c r="W135" i="553" s="1"/>
  <c r="N135" i="553"/>
  <c r="K135" i="553" a="1"/>
  <c r="K135" i="553" s="1"/>
  <c r="M135" i="553" s="1"/>
  <c r="J135" i="553" a="1"/>
  <c r="J135" i="553" s="1"/>
  <c r="H135" i="553"/>
  <c r="V134" i="553"/>
  <c r="W134" i="553" s="1"/>
  <c r="N134" i="553"/>
  <c r="K134" i="553" a="1"/>
  <c r="K134" i="553" s="1"/>
  <c r="M134" i="553" s="1"/>
  <c r="J134" i="553" a="1"/>
  <c r="J134" i="553" s="1"/>
  <c r="H134" i="553"/>
  <c r="V133" i="553"/>
  <c r="W133" i="553" s="1"/>
  <c r="N133" i="553"/>
  <c r="K133" i="553" a="1"/>
  <c r="K133" i="553" s="1"/>
  <c r="M133" i="553" s="1"/>
  <c r="J133" i="553" a="1"/>
  <c r="J133" i="553" s="1"/>
  <c r="H133" i="553"/>
  <c r="V132" i="553"/>
  <c r="W132" i="553" s="1"/>
  <c r="N132" i="553"/>
  <c r="K132" i="553" a="1"/>
  <c r="K132" i="553" s="1"/>
  <c r="M132" i="553" s="1"/>
  <c r="J132" i="553" a="1"/>
  <c r="J132" i="553" s="1"/>
  <c r="H132" i="553"/>
  <c r="V131" i="553"/>
  <c r="W131" i="553" s="1"/>
  <c r="N131" i="553"/>
  <c r="K131" i="553" a="1"/>
  <c r="K131" i="553" s="1"/>
  <c r="M131" i="553" s="1"/>
  <c r="J131" i="553" a="1"/>
  <c r="J131" i="553" s="1"/>
  <c r="H131" i="553"/>
  <c r="V130" i="553"/>
  <c r="W130" i="553" s="1"/>
  <c r="N130" i="553"/>
  <c r="K130" i="553" a="1"/>
  <c r="K130" i="553" s="1"/>
  <c r="M130" i="553" s="1"/>
  <c r="J130" i="553" a="1"/>
  <c r="J130" i="553" s="1"/>
  <c r="H130" i="553"/>
  <c r="V129" i="553"/>
  <c r="W129" i="553" s="1"/>
  <c r="N129" i="553"/>
  <c r="K129" i="553" a="1"/>
  <c r="K129" i="553" s="1"/>
  <c r="M129" i="553" s="1"/>
  <c r="J129" i="553" a="1"/>
  <c r="J129" i="553" s="1"/>
  <c r="H129" i="553"/>
  <c r="V128" i="553"/>
  <c r="W128" i="553" s="1"/>
  <c r="N128" i="553"/>
  <c r="K128" i="553" a="1"/>
  <c r="K128" i="553" s="1"/>
  <c r="M128" i="553" s="1"/>
  <c r="J128" i="553" a="1"/>
  <c r="J128" i="553" s="1"/>
  <c r="H128" i="553"/>
  <c r="V127" i="553"/>
  <c r="W127" i="553" s="1"/>
  <c r="N127" i="553"/>
  <c r="K127" i="553" a="1"/>
  <c r="K127" i="553" s="1"/>
  <c r="M127" i="553" s="1"/>
  <c r="J127" i="553" a="1"/>
  <c r="J127" i="553" s="1"/>
  <c r="H127" i="553"/>
  <c r="V126" i="553"/>
  <c r="W126" i="553" s="1"/>
  <c r="N126" i="553"/>
  <c r="K126" i="553"/>
  <c r="M126" i="553" s="1"/>
  <c r="K126" i="553" a="1"/>
  <c r="J126" i="553"/>
  <c r="J126" i="553" a="1"/>
  <c r="H126" i="553"/>
  <c r="V125" i="553"/>
  <c r="W125" i="553" s="1"/>
  <c r="N125" i="553"/>
  <c r="K125" i="553" a="1"/>
  <c r="K125" i="553" s="1"/>
  <c r="M125" i="553" s="1"/>
  <c r="J125" i="553" a="1"/>
  <c r="J125" i="553" s="1"/>
  <c r="H125" i="553"/>
  <c r="W124" i="553"/>
  <c r="V124" i="553"/>
  <c r="N124" i="553"/>
  <c r="K124" i="553" a="1"/>
  <c r="K124" i="553" s="1"/>
  <c r="M124" i="553" s="1"/>
  <c r="J124" i="553" a="1"/>
  <c r="J124" i="553" s="1"/>
  <c r="H124" i="553"/>
  <c r="V123" i="553"/>
  <c r="W123" i="553" s="1"/>
  <c r="N123" i="553"/>
  <c r="K123" i="553" a="1"/>
  <c r="K123" i="553" s="1"/>
  <c r="M123" i="553" s="1"/>
  <c r="J123" i="553" a="1"/>
  <c r="J123" i="553" s="1"/>
  <c r="H123" i="553"/>
  <c r="W122" i="553"/>
  <c r="V122" i="553"/>
  <c r="V137" i="553" s="1"/>
  <c r="W137" i="553" s="1"/>
  <c r="N122" i="553"/>
  <c r="K122" i="553" a="1"/>
  <c r="K122" i="553" s="1"/>
  <c r="M122" i="553" s="1"/>
  <c r="J122" i="553" a="1"/>
  <c r="J122" i="553" s="1"/>
  <c r="H122" i="553"/>
  <c r="H137" i="553" s="1"/>
  <c r="AA121" i="553"/>
  <c r="Z121" i="553"/>
  <c r="Y121" i="553"/>
  <c r="X121" i="553"/>
  <c r="U121" i="553"/>
  <c r="T121" i="553"/>
  <c r="S121" i="553"/>
  <c r="R121" i="553"/>
  <c r="Q121" i="553"/>
  <c r="P121" i="553"/>
  <c r="O121" i="553"/>
  <c r="R168" i="553" s="1"/>
  <c r="I121" i="553"/>
  <c r="G121" i="553"/>
  <c r="C526" i="553" s="1"/>
  <c r="V120" i="553"/>
  <c r="W120" i="553" s="1"/>
  <c r="N120" i="553"/>
  <c r="K120" i="553" a="1"/>
  <c r="K120" i="553" s="1"/>
  <c r="M120" i="553" s="1"/>
  <c r="J120" i="553" a="1"/>
  <c r="J120" i="553" s="1"/>
  <c r="H120" i="553"/>
  <c r="V119" i="553"/>
  <c r="W119" i="553" s="1"/>
  <c r="N119" i="553"/>
  <c r="K119" i="553" a="1"/>
  <c r="K119" i="553" s="1"/>
  <c r="M119" i="553" s="1"/>
  <c r="J119" i="553" a="1"/>
  <c r="J119" i="553" s="1"/>
  <c r="H119" i="553"/>
  <c r="V118" i="553"/>
  <c r="W118" i="553" s="1"/>
  <c r="N118" i="553"/>
  <c r="K118" i="553" a="1"/>
  <c r="K118" i="553" s="1"/>
  <c r="M118" i="553" s="1"/>
  <c r="J118" i="553" a="1"/>
  <c r="J118" i="553" s="1"/>
  <c r="H118" i="553"/>
  <c r="K117" i="553" a="1"/>
  <c r="K117" i="553" s="1"/>
  <c r="H117" i="553"/>
  <c r="K116" i="553" a="1"/>
  <c r="K116" i="553" s="1"/>
  <c r="H116" i="553"/>
  <c r="K115" i="553"/>
  <c r="K115" i="553" a="1"/>
  <c r="H115" i="553"/>
  <c r="V114" i="553"/>
  <c r="W114" i="553" s="1"/>
  <c r="N114" i="553"/>
  <c r="K114" i="553" a="1"/>
  <c r="K114" i="553" s="1"/>
  <c r="M114" i="553" s="1"/>
  <c r="J114" i="553" a="1"/>
  <c r="J114" i="553" s="1"/>
  <c r="H114" i="553"/>
  <c r="W113" i="553"/>
  <c r="V113" i="553"/>
  <c r="N113" i="553"/>
  <c r="K113" i="553" a="1"/>
  <c r="K113" i="553" s="1"/>
  <c r="M113" i="553" s="1"/>
  <c r="J113" i="553" a="1"/>
  <c r="J113" i="553" s="1"/>
  <c r="H113" i="553"/>
  <c r="N112" i="553"/>
  <c r="K112" i="553" a="1"/>
  <c r="K112" i="553" s="1"/>
  <c r="M112" i="553" s="1"/>
  <c r="H112" i="553"/>
  <c r="N111" i="553"/>
  <c r="K111" i="553" a="1"/>
  <c r="K111" i="553" s="1"/>
  <c r="M111" i="553" s="1"/>
  <c r="H111" i="553"/>
  <c r="N110" i="553"/>
  <c r="K110" i="553" a="1"/>
  <c r="K110" i="553" s="1"/>
  <c r="M110" i="553" s="1"/>
  <c r="H110" i="553"/>
  <c r="N109" i="553"/>
  <c r="K109" i="553" a="1"/>
  <c r="K109" i="553" s="1"/>
  <c r="M109" i="553" s="1"/>
  <c r="H109" i="553"/>
  <c r="N108" i="553"/>
  <c r="K108" i="553" a="1"/>
  <c r="K108" i="553" s="1"/>
  <c r="M108" i="553" s="1"/>
  <c r="H108" i="553"/>
  <c r="N107" i="553"/>
  <c r="K107" i="553" a="1"/>
  <c r="K107" i="553" s="1"/>
  <c r="M107" i="553" s="1"/>
  <c r="H107" i="553"/>
  <c r="V106" i="553"/>
  <c r="W106" i="553" s="1"/>
  <c r="N106" i="553"/>
  <c r="K106" i="553" a="1"/>
  <c r="K106" i="553" s="1"/>
  <c r="M106" i="553" s="1"/>
  <c r="J106" i="553" a="1"/>
  <c r="J106" i="553" s="1"/>
  <c r="H106" i="553"/>
  <c r="V105" i="553"/>
  <c r="W105" i="553" s="1"/>
  <c r="N105" i="553"/>
  <c r="K105" i="553" a="1"/>
  <c r="K105" i="553" s="1"/>
  <c r="M105" i="553" s="1"/>
  <c r="J105" i="553" a="1"/>
  <c r="J105" i="553" s="1"/>
  <c r="H105" i="553"/>
  <c r="V104" i="553"/>
  <c r="W104" i="553" s="1"/>
  <c r="N104" i="553"/>
  <c r="K104" i="553" a="1"/>
  <c r="K104" i="553" s="1"/>
  <c r="M104" i="553" s="1"/>
  <c r="J104" i="553" a="1"/>
  <c r="J104" i="553" s="1"/>
  <c r="H104" i="553"/>
  <c r="V103" i="553"/>
  <c r="W103" i="553" s="1"/>
  <c r="N103" i="553"/>
  <c r="K103" i="553"/>
  <c r="M103" i="553" s="1"/>
  <c r="K103" i="553" a="1"/>
  <c r="J103" i="553"/>
  <c r="J103" i="553" a="1"/>
  <c r="H103" i="553"/>
  <c r="V102" i="553"/>
  <c r="W102" i="553" s="1"/>
  <c r="N102" i="553"/>
  <c r="K102" i="553" a="1"/>
  <c r="K102" i="553" s="1"/>
  <c r="M102" i="553" s="1"/>
  <c r="J102" i="553" a="1"/>
  <c r="J102" i="553" s="1"/>
  <c r="H102" i="553"/>
  <c r="V101" i="553"/>
  <c r="W101" i="553" s="1"/>
  <c r="N101" i="553"/>
  <c r="K101" i="553"/>
  <c r="M101" i="553" s="1"/>
  <c r="K101" i="553" a="1"/>
  <c r="J101" i="553"/>
  <c r="J101" i="553" a="1"/>
  <c r="H101" i="553"/>
  <c r="V100" i="553"/>
  <c r="W100" i="553" s="1"/>
  <c r="N100" i="553"/>
  <c r="K100" i="553" a="1"/>
  <c r="K100" i="553" s="1"/>
  <c r="M100" i="553" s="1"/>
  <c r="J100" i="553" a="1"/>
  <c r="J100" i="553" s="1"/>
  <c r="H100" i="553"/>
  <c r="W99" i="553"/>
  <c r="V99" i="553"/>
  <c r="N99" i="553"/>
  <c r="K99" i="553" a="1"/>
  <c r="K99" i="553" s="1"/>
  <c r="M99" i="553" s="1"/>
  <c r="J99" i="553" a="1"/>
  <c r="J99" i="553" s="1"/>
  <c r="H99" i="553"/>
  <c r="V98" i="553"/>
  <c r="W98" i="553" s="1"/>
  <c r="N98" i="553"/>
  <c r="K98" i="553" a="1"/>
  <c r="K98" i="553" s="1"/>
  <c r="M98" i="553" s="1"/>
  <c r="J98" i="553" a="1"/>
  <c r="J98" i="553" s="1"/>
  <c r="H98" i="553"/>
  <c r="V97" i="553"/>
  <c r="W97" i="553" s="1"/>
  <c r="N97" i="553"/>
  <c r="K97" i="553"/>
  <c r="M97" i="553" s="1"/>
  <c r="K97" i="553" a="1"/>
  <c r="J97" i="553"/>
  <c r="J97" i="553" a="1"/>
  <c r="H97" i="553"/>
  <c r="V96" i="553"/>
  <c r="W96" i="553" s="1"/>
  <c r="N96" i="553"/>
  <c r="K96" i="553" a="1"/>
  <c r="K96" i="553" s="1"/>
  <c r="M96" i="553" s="1"/>
  <c r="J96" i="553" a="1"/>
  <c r="J96" i="553" s="1"/>
  <c r="H96" i="553"/>
  <c r="W95" i="553"/>
  <c r="V95" i="553"/>
  <c r="N95" i="553"/>
  <c r="K95" i="553" a="1"/>
  <c r="K95" i="553" s="1"/>
  <c r="M95" i="553" s="1"/>
  <c r="J95" i="553" a="1"/>
  <c r="J95" i="553" s="1"/>
  <c r="H95" i="553"/>
  <c r="K94" i="553"/>
  <c r="M94" i="553" s="1"/>
  <c r="K94" i="553" a="1"/>
  <c r="H94" i="553"/>
  <c r="V93" i="553"/>
  <c r="W93" i="553" s="1"/>
  <c r="N93" i="553"/>
  <c r="K93" i="553" a="1"/>
  <c r="K93" i="553" s="1"/>
  <c r="M93" i="553" s="1"/>
  <c r="J93" i="553" a="1"/>
  <c r="J93" i="553" s="1"/>
  <c r="H93" i="553"/>
  <c r="W92" i="553"/>
  <c r="V92" i="553"/>
  <c r="N92" i="553"/>
  <c r="K92" i="553" a="1"/>
  <c r="K92" i="553" s="1"/>
  <c r="M92" i="553" s="1"/>
  <c r="J92" i="553" a="1"/>
  <c r="J92" i="553" s="1"/>
  <c r="H92" i="553"/>
  <c r="V91" i="553"/>
  <c r="W91" i="553" s="1"/>
  <c r="N91" i="553"/>
  <c r="K91" i="553" a="1"/>
  <c r="K91" i="553" s="1"/>
  <c r="M91" i="553" s="1"/>
  <c r="J91" i="553" a="1"/>
  <c r="J91" i="553" s="1"/>
  <c r="H91" i="553"/>
  <c r="V90" i="553"/>
  <c r="W90" i="553" s="1"/>
  <c r="N90" i="553"/>
  <c r="K90" i="553"/>
  <c r="M90" i="553" s="1"/>
  <c r="K90" i="553" a="1"/>
  <c r="J90" i="553"/>
  <c r="J90" i="553" a="1"/>
  <c r="H90" i="553"/>
  <c r="V89" i="553"/>
  <c r="W89" i="553" s="1"/>
  <c r="N89" i="553"/>
  <c r="K89" i="553" a="1"/>
  <c r="K89" i="553" s="1"/>
  <c r="M89" i="553" s="1"/>
  <c r="J89" i="553" a="1"/>
  <c r="J89" i="553" s="1"/>
  <c r="H89" i="553"/>
  <c r="W88" i="553"/>
  <c r="V88" i="553"/>
  <c r="N88" i="553"/>
  <c r="K88" i="553" a="1"/>
  <c r="K88" i="553" s="1"/>
  <c r="M88" i="553" s="1"/>
  <c r="J88" i="553" a="1"/>
  <c r="J88" i="553" s="1"/>
  <c r="H88" i="553"/>
  <c r="V87" i="553"/>
  <c r="V121" i="553" s="1"/>
  <c r="W121" i="553" s="1"/>
  <c r="N87" i="553"/>
  <c r="K87" i="553" a="1"/>
  <c r="K87" i="553" s="1"/>
  <c r="J87" i="553" a="1"/>
  <c r="J87" i="553" s="1"/>
  <c r="H87" i="553"/>
  <c r="H121" i="553" s="1"/>
  <c r="AA86" i="553"/>
  <c r="Z86" i="553"/>
  <c r="Y86" i="553"/>
  <c r="X86" i="553"/>
  <c r="U86" i="553"/>
  <c r="T86" i="553"/>
  <c r="S86" i="553"/>
  <c r="R86" i="553"/>
  <c r="Q86" i="553"/>
  <c r="P86" i="553"/>
  <c r="O86" i="553"/>
  <c r="R167" i="553" s="1"/>
  <c r="I86" i="553"/>
  <c r="G86" i="553"/>
  <c r="C525" i="553" s="1"/>
  <c r="K85" i="553" a="1"/>
  <c r="K85" i="553" s="1"/>
  <c r="H85" i="553"/>
  <c r="K84" i="553"/>
  <c r="K84" i="553" a="1"/>
  <c r="H84" i="553"/>
  <c r="K83" i="553" a="1"/>
  <c r="K83" i="553" s="1"/>
  <c r="H83" i="553"/>
  <c r="K82" i="553" a="1"/>
  <c r="K82" i="553" s="1"/>
  <c r="H82" i="553"/>
  <c r="K81" i="553" a="1"/>
  <c r="K81" i="553" s="1"/>
  <c r="H81" i="553"/>
  <c r="K80" i="553" a="1"/>
  <c r="K80" i="553" s="1"/>
  <c r="H80" i="553"/>
  <c r="K79" i="553" a="1"/>
  <c r="K79" i="553" s="1"/>
  <c r="M79" i="553" s="1"/>
  <c r="H79" i="553"/>
  <c r="K78" i="553" a="1"/>
  <c r="K78" i="553" s="1"/>
  <c r="M78" i="553" s="1"/>
  <c r="H78" i="553"/>
  <c r="K77" i="553" a="1"/>
  <c r="K77" i="553" s="1"/>
  <c r="M77" i="553" s="1"/>
  <c r="H77" i="553"/>
  <c r="K76" i="553" a="1"/>
  <c r="K76" i="553" s="1"/>
  <c r="M76" i="553" s="1"/>
  <c r="H76" i="553"/>
  <c r="W75" i="553"/>
  <c r="V75" i="553"/>
  <c r="N75" i="553"/>
  <c r="K75" i="553" a="1"/>
  <c r="K75" i="553" s="1"/>
  <c r="M75" i="553" s="1"/>
  <c r="J75" i="553" a="1"/>
  <c r="J75" i="553" s="1"/>
  <c r="H75" i="553"/>
  <c r="V74" i="553"/>
  <c r="W74" i="553" s="1"/>
  <c r="N74" i="553"/>
  <c r="K74" i="553" a="1"/>
  <c r="K74" i="553" s="1"/>
  <c r="M74" i="553" s="1"/>
  <c r="J74" i="553" a="1"/>
  <c r="J74" i="553" s="1"/>
  <c r="H74" i="553"/>
  <c r="V73" i="553"/>
  <c r="W73" i="553" s="1"/>
  <c r="N73" i="553"/>
  <c r="K73" i="553"/>
  <c r="M73" i="553" s="1"/>
  <c r="K73" i="553" a="1"/>
  <c r="J73" i="553"/>
  <c r="J73" i="553" a="1"/>
  <c r="H73" i="553"/>
  <c r="V72" i="553"/>
  <c r="W72" i="553" s="1"/>
  <c r="N72" i="553"/>
  <c r="K72" i="553" a="1"/>
  <c r="K72" i="553" s="1"/>
  <c r="M72" i="553" s="1"/>
  <c r="J72" i="553" a="1"/>
  <c r="J72" i="553" s="1"/>
  <c r="H72" i="553"/>
  <c r="H71" i="553"/>
  <c r="V70" i="553"/>
  <c r="W70" i="553" s="1"/>
  <c r="N70" i="553"/>
  <c r="K70" i="553" a="1"/>
  <c r="K70" i="553" s="1"/>
  <c r="M70" i="553" s="1"/>
  <c r="J70" i="553" a="1"/>
  <c r="J70" i="553" s="1"/>
  <c r="H70" i="553"/>
  <c r="W69" i="553"/>
  <c r="V69" i="553"/>
  <c r="N69" i="553"/>
  <c r="K69" i="553" a="1"/>
  <c r="K69" i="553" s="1"/>
  <c r="M69" i="553" s="1"/>
  <c r="J69" i="553" a="1"/>
  <c r="J69" i="553" s="1"/>
  <c r="H69" i="553"/>
  <c r="K68" i="553" a="1"/>
  <c r="K68" i="553" s="1"/>
  <c r="H68" i="553"/>
  <c r="K67" i="553" a="1"/>
  <c r="K67" i="553" s="1"/>
  <c r="H67" i="553"/>
  <c r="V66" i="553"/>
  <c r="W66" i="553" s="1"/>
  <c r="N66" i="553"/>
  <c r="K66" i="553" a="1"/>
  <c r="K66" i="553" s="1"/>
  <c r="M66" i="553" s="1"/>
  <c r="J66" i="553" a="1"/>
  <c r="J66" i="553" s="1"/>
  <c r="H66" i="553"/>
  <c r="V65" i="553"/>
  <c r="W65" i="553" s="1"/>
  <c r="N65" i="553"/>
  <c r="K65" i="553" a="1"/>
  <c r="K65" i="553" s="1"/>
  <c r="M65" i="553" s="1"/>
  <c r="J65" i="553" a="1"/>
  <c r="J65" i="553" s="1"/>
  <c r="H65" i="553"/>
  <c r="V64" i="553"/>
  <c r="W64" i="553" s="1"/>
  <c r="N64" i="553"/>
  <c r="K64" i="553" a="1"/>
  <c r="K64" i="553" s="1"/>
  <c r="M64" i="553" s="1"/>
  <c r="J64" i="553" a="1"/>
  <c r="J64" i="553" s="1"/>
  <c r="H64" i="553"/>
  <c r="V63" i="553"/>
  <c r="W63" i="553" s="1"/>
  <c r="N63" i="553"/>
  <c r="K63" i="553" a="1"/>
  <c r="K63" i="553" s="1"/>
  <c r="M63" i="553" s="1"/>
  <c r="J63" i="553" a="1"/>
  <c r="J63" i="553" s="1"/>
  <c r="H63" i="553"/>
  <c r="V62" i="553"/>
  <c r="W62" i="553" s="1"/>
  <c r="N62" i="553"/>
  <c r="K62" i="553" a="1"/>
  <c r="K62" i="553" s="1"/>
  <c r="M62" i="553" s="1"/>
  <c r="J62" i="553" a="1"/>
  <c r="J62" i="553" s="1"/>
  <c r="H62" i="553"/>
  <c r="V61" i="553"/>
  <c r="W61" i="553" s="1"/>
  <c r="N61" i="553"/>
  <c r="K61" i="553" a="1"/>
  <c r="K61" i="553" s="1"/>
  <c r="M61" i="553" s="1"/>
  <c r="J61" i="553" a="1"/>
  <c r="J61" i="553" s="1"/>
  <c r="H61" i="553"/>
  <c r="V60" i="553"/>
  <c r="W60" i="553" s="1"/>
  <c r="N60" i="553"/>
  <c r="K60" i="553" a="1"/>
  <c r="K60" i="553" s="1"/>
  <c r="M60" i="553" s="1"/>
  <c r="J60" i="553" a="1"/>
  <c r="J60" i="553" s="1"/>
  <c r="H60" i="553"/>
  <c r="V59" i="553"/>
  <c r="W59" i="553" s="1"/>
  <c r="N59" i="553"/>
  <c r="K59" i="553" a="1"/>
  <c r="K59" i="553" s="1"/>
  <c r="M59" i="553" s="1"/>
  <c r="J59" i="553" a="1"/>
  <c r="J59" i="553" s="1"/>
  <c r="H59" i="553"/>
  <c r="V58" i="553"/>
  <c r="W58" i="553" s="1"/>
  <c r="N58" i="553"/>
  <c r="K58" i="553" a="1"/>
  <c r="K58" i="553" s="1"/>
  <c r="M58" i="553" s="1"/>
  <c r="J58" i="553" a="1"/>
  <c r="J58" i="553" s="1"/>
  <c r="H58" i="553"/>
  <c r="V57" i="553"/>
  <c r="W57" i="553" s="1"/>
  <c r="N57" i="553"/>
  <c r="K57" i="553" a="1"/>
  <c r="K57" i="553" s="1"/>
  <c r="M57" i="553" s="1"/>
  <c r="J57" i="553" a="1"/>
  <c r="J57" i="553" s="1"/>
  <c r="H57" i="553"/>
  <c r="K56" i="553" a="1"/>
  <c r="K56" i="553" s="1"/>
  <c r="M56" i="553" s="1"/>
  <c r="H56" i="553"/>
  <c r="K55" i="553"/>
  <c r="M55" i="553" s="1"/>
  <c r="K55" i="553" a="1"/>
  <c r="H55" i="553"/>
  <c r="K54" i="553" a="1"/>
  <c r="K54" i="553" s="1"/>
  <c r="M54" i="553" s="1"/>
  <c r="H54" i="553"/>
  <c r="K53" i="553" a="1"/>
  <c r="K53" i="553" s="1"/>
  <c r="M53" i="553" s="1"/>
  <c r="H53" i="553"/>
  <c r="N52" i="553"/>
  <c r="K52" i="553" a="1"/>
  <c r="K52" i="553" s="1"/>
  <c r="M52" i="553" s="1"/>
  <c r="H52" i="553"/>
  <c r="N51" i="553"/>
  <c r="K51" i="553" a="1"/>
  <c r="K51" i="553" s="1"/>
  <c r="M51" i="553" s="1"/>
  <c r="H51" i="553"/>
  <c r="N50" i="553"/>
  <c r="K50" i="553" a="1"/>
  <c r="K50" i="553" s="1"/>
  <c r="M50" i="553" s="1"/>
  <c r="H50" i="553"/>
  <c r="N49" i="553"/>
  <c r="K49" i="553" a="1"/>
  <c r="K49" i="553" s="1"/>
  <c r="M49" i="553" s="1"/>
  <c r="H49" i="553"/>
  <c r="V48" i="553"/>
  <c r="W48" i="553" s="1"/>
  <c r="N48" i="553"/>
  <c r="K48" i="553" a="1"/>
  <c r="K48" i="553" s="1"/>
  <c r="M48" i="553" s="1"/>
  <c r="J48" i="553" a="1"/>
  <c r="J48" i="553" s="1"/>
  <c r="H48" i="553"/>
  <c r="V47" i="553"/>
  <c r="W47" i="553" s="1"/>
  <c r="N47" i="553"/>
  <c r="K47" i="553" a="1"/>
  <c r="K47" i="553" s="1"/>
  <c r="M47" i="553" s="1"/>
  <c r="J47" i="553" a="1"/>
  <c r="J47" i="553" s="1"/>
  <c r="H47" i="553"/>
  <c r="V46" i="553"/>
  <c r="W46" i="553" s="1"/>
  <c r="N46" i="553"/>
  <c r="K46" i="553" a="1"/>
  <c r="K46" i="553" s="1"/>
  <c r="M46" i="553" s="1"/>
  <c r="J46" i="553" a="1"/>
  <c r="J46" i="553" s="1"/>
  <c r="H46" i="553"/>
  <c r="V45" i="553"/>
  <c r="W45" i="553" s="1"/>
  <c r="N45" i="553"/>
  <c r="K45" i="553"/>
  <c r="M45" i="553" s="1"/>
  <c r="K45" i="553" a="1"/>
  <c r="J45" i="553" a="1"/>
  <c r="J45" i="553" s="1"/>
  <c r="H45" i="553"/>
  <c r="W44" i="553"/>
  <c r="V44" i="553"/>
  <c r="N44" i="553"/>
  <c r="K44" i="553" a="1"/>
  <c r="K44" i="553" s="1"/>
  <c r="M44" i="553" s="1"/>
  <c r="J44" i="553" a="1"/>
  <c r="J44" i="553" s="1"/>
  <c r="H44" i="553"/>
  <c r="V43" i="553"/>
  <c r="W43" i="553" s="1"/>
  <c r="N43" i="553"/>
  <c r="K43" i="553"/>
  <c r="M43" i="553" s="1"/>
  <c r="K43" i="553" a="1"/>
  <c r="J43" i="553" a="1"/>
  <c r="J43" i="553" s="1"/>
  <c r="H43" i="553"/>
  <c r="W42" i="553"/>
  <c r="V42" i="553"/>
  <c r="N42" i="553"/>
  <c r="K42" i="553" a="1"/>
  <c r="K42" i="553" s="1"/>
  <c r="M42" i="553" s="1"/>
  <c r="J42" i="553" a="1"/>
  <c r="J42" i="553" s="1"/>
  <c r="H42" i="553"/>
  <c r="V41" i="553"/>
  <c r="W41" i="553" s="1"/>
  <c r="N41" i="553"/>
  <c r="K41" i="553"/>
  <c r="M41" i="553" s="1"/>
  <c r="K41" i="553" a="1"/>
  <c r="J41" i="553" a="1"/>
  <c r="J41" i="553" s="1"/>
  <c r="H41" i="553"/>
  <c r="W40" i="553"/>
  <c r="V40" i="553"/>
  <c r="N40" i="553"/>
  <c r="K40" i="553" a="1"/>
  <c r="K40" i="553" s="1"/>
  <c r="M40" i="553" s="1"/>
  <c r="J40" i="553" a="1"/>
  <c r="J40" i="553" s="1"/>
  <c r="H40" i="553"/>
  <c r="V39" i="553"/>
  <c r="W39" i="553" s="1"/>
  <c r="N39" i="553"/>
  <c r="K39" i="553" a="1"/>
  <c r="K39" i="553" s="1"/>
  <c r="M39" i="553" s="1"/>
  <c r="J39" i="553" a="1"/>
  <c r="J39" i="553" s="1"/>
  <c r="H39" i="553"/>
  <c r="W38" i="553"/>
  <c r="V38" i="553"/>
  <c r="N38" i="553"/>
  <c r="K38" i="553" a="1"/>
  <c r="K38" i="553" s="1"/>
  <c r="M38" i="553" s="1"/>
  <c r="J38" i="553" a="1"/>
  <c r="J38" i="553" s="1"/>
  <c r="H38" i="553"/>
  <c r="V37" i="553"/>
  <c r="W37" i="553" s="1"/>
  <c r="N37" i="553"/>
  <c r="K37" i="553" a="1"/>
  <c r="K37" i="553" s="1"/>
  <c r="M37" i="553" s="1"/>
  <c r="J37" i="553" a="1"/>
  <c r="J37" i="553" s="1"/>
  <c r="H37" i="553"/>
  <c r="H36" i="553"/>
  <c r="H35" i="553"/>
  <c r="H34" i="553"/>
  <c r="V33" i="553"/>
  <c r="W33" i="553" s="1"/>
  <c r="N33" i="553"/>
  <c r="K33" i="553" a="1"/>
  <c r="K33" i="553" s="1"/>
  <c r="M33" i="553" s="1"/>
  <c r="J33" i="553" a="1"/>
  <c r="J33" i="553" s="1"/>
  <c r="H33" i="553"/>
  <c r="V32" i="553"/>
  <c r="W32" i="553" s="1"/>
  <c r="N32" i="553"/>
  <c r="K32" i="553"/>
  <c r="M32" i="553" s="1"/>
  <c r="K32" i="553" a="1"/>
  <c r="J32" i="553"/>
  <c r="J32" i="553" a="1"/>
  <c r="H32" i="553"/>
  <c r="V31" i="553"/>
  <c r="W31" i="553" s="1"/>
  <c r="N31" i="553"/>
  <c r="K31" i="553" a="1"/>
  <c r="K31" i="553" s="1"/>
  <c r="M31" i="553" s="1"/>
  <c r="J31" i="553" a="1"/>
  <c r="J31" i="553" s="1"/>
  <c r="H31" i="553"/>
  <c r="K30" i="553"/>
  <c r="K30" i="553" a="1"/>
  <c r="H30" i="553"/>
  <c r="V29" i="553"/>
  <c r="V86" i="553" s="1"/>
  <c r="W86" i="553" s="1"/>
  <c r="N29" i="553"/>
  <c r="N86" i="553" s="1"/>
  <c r="K29" i="553" a="1"/>
  <c r="K29" i="553" s="1"/>
  <c r="J29" i="553" a="1"/>
  <c r="J29" i="553" s="1"/>
  <c r="H29" i="553"/>
  <c r="H86" i="553" s="1"/>
  <c r="AA28" i="553"/>
  <c r="AA164" i="553" s="1"/>
  <c r="Z28" i="553"/>
  <c r="Z164" i="553" s="1"/>
  <c r="Y28" i="553"/>
  <c r="Y164" i="553" s="1"/>
  <c r="X28" i="553"/>
  <c r="X164" i="553" s="1"/>
  <c r="U28" i="553"/>
  <c r="U164" i="553" s="1"/>
  <c r="T28" i="553"/>
  <c r="T164" i="553" s="1"/>
  <c r="S28" i="553"/>
  <c r="S164" i="553" s="1"/>
  <c r="R28" i="553"/>
  <c r="R164" i="553" s="1"/>
  <c r="Q28" i="553"/>
  <c r="Q164" i="553" s="1"/>
  <c r="P28" i="553"/>
  <c r="X167" i="553" s="1"/>
  <c r="O28" i="553"/>
  <c r="O164" i="553" s="1"/>
  <c r="I28" i="553"/>
  <c r="I164" i="553" s="1"/>
  <c r="B172" i="553" s="1"/>
  <c r="G28" i="553"/>
  <c r="C524" i="553" s="1"/>
  <c r="V27" i="553"/>
  <c r="W27" i="553" s="1"/>
  <c r="N27" i="553"/>
  <c r="K27" i="553" a="1"/>
  <c r="K27" i="553" s="1"/>
  <c r="M27" i="553" s="1"/>
  <c r="J27" i="553" a="1"/>
  <c r="J27" i="553" s="1"/>
  <c r="H27" i="553"/>
  <c r="V26" i="553"/>
  <c r="W26" i="553" s="1"/>
  <c r="N26" i="553"/>
  <c r="K26" i="553" a="1"/>
  <c r="K26" i="553" s="1"/>
  <c r="M26" i="553" s="1"/>
  <c r="J26" i="553" a="1"/>
  <c r="J26" i="553" s="1"/>
  <c r="H26" i="553"/>
  <c r="K25" i="553"/>
  <c r="M25" i="553" s="1"/>
  <c r="K25" i="553" a="1"/>
  <c r="J25" i="553"/>
  <c r="J25" i="553" a="1"/>
  <c r="H25" i="553"/>
  <c r="K24" i="553" a="1"/>
  <c r="K24" i="553" s="1"/>
  <c r="M24" i="553" s="1"/>
  <c r="J24" i="553" a="1"/>
  <c r="J24" i="553" s="1"/>
  <c r="H24" i="553"/>
  <c r="K23" i="553" a="1"/>
  <c r="K23" i="553" s="1"/>
  <c r="M23" i="553" s="1"/>
  <c r="J23" i="553" a="1"/>
  <c r="J23" i="553" s="1"/>
  <c r="H23" i="553"/>
  <c r="K22" i="553" a="1"/>
  <c r="K22" i="553" s="1"/>
  <c r="M22" i="553" s="1"/>
  <c r="J22" i="553" a="1"/>
  <c r="J22" i="553" s="1"/>
  <c r="H22" i="553"/>
  <c r="V21" i="553"/>
  <c r="W21" i="553" s="1"/>
  <c r="N21" i="553"/>
  <c r="K21" i="553" a="1"/>
  <c r="K21" i="553" s="1"/>
  <c r="M21" i="553" s="1"/>
  <c r="J21" i="553" a="1"/>
  <c r="J21" i="553" s="1"/>
  <c r="H21" i="553"/>
  <c r="V20" i="553"/>
  <c r="W20" i="553" s="1"/>
  <c r="N20" i="553"/>
  <c r="K20" i="553" a="1"/>
  <c r="K20" i="553" s="1"/>
  <c r="M20" i="553" s="1"/>
  <c r="J20" i="553" a="1"/>
  <c r="J20" i="553" s="1"/>
  <c r="H20" i="553"/>
  <c r="W19" i="553"/>
  <c r="V19" i="553"/>
  <c r="N19" i="553"/>
  <c r="K19" i="553" a="1"/>
  <c r="K19" i="553" s="1"/>
  <c r="M19" i="553" s="1"/>
  <c r="J19" i="553" a="1"/>
  <c r="J19" i="553" s="1"/>
  <c r="H19" i="553"/>
  <c r="N18" i="553"/>
  <c r="K18" i="553" a="1"/>
  <c r="K18" i="553" s="1"/>
  <c r="M18" i="553" s="1"/>
  <c r="J18" i="553" a="1"/>
  <c r="J18" i="553" s="1"/>
  <c r="H18" i="553"/>
  <c r="N17" i="553"/>
  <c r="K17" i="553" a="1"/>
  <c r="K17" i="553" s="1"/>
  <c r="M17" i="553" s="1"/>
  <c r="J17" i="553" a="1"/>
  <c r="J17" i="553" s="1"/>
  <c r="H17" i="553"/>
  <c r="V16" i="553"/>
  <c r="W16" i="553" s="1"/>
  <c r="N16" i="553"/>
  <c r="K16" i="553" a="1"/>
  <c r="K16" i="553" s="1"/>
  <c r="M16" i="553" s="1"/>
  <c r="J16" i="553" a="1"/>
  <c r="J16" i="553" s="1"/>
  <c r="H16" i="553"/>
  <c r="V15" i="553"/>
  <c r="W15" i="553" s="1"/>
  <c r="N15" i="553"/>
  <c r="K15" i="553"/>
  <c r="M15" i="553" s="1"/>
  <c r="K15" i="553" a="1"/>
  <c r="J15" i="553"/>
  <c r="J15" i="553" a="1"/>
  <c r="H15" i="553"/>
  <c r="N14" i="553"/>
  <c r="K14" i="553" a="1"/>
  <c r="K14" i="553" s="1"/>
  <c r="M14" i="553" s="1"/>
  <c r="H14" i="553"/>
  <c r="N13" i="553"/>
  <c r="K13" i="553" a="1"/>
  <c r="K13" i="553" s="1"/>
  <c r="M13" i="553" s="1"/>
  <c r="H13" i="553"/>
  <c r="V12" i="553"/>
  <c r="W12" i="553" s="1"/>
  <c r="N12" i="553"/>
  <c r="K12" i="553" a="1"/>
  <c r="K12" i="553" s="1"/>
  <c r="M12" i="553" s="1"/>
  <c r="J12" i="553" a="1"/>
  <c r="J12" i="553" s="1"/>
  <c r="H12" i="553"/>
  <c r="V11" i="553"/>
  <c r="W11" i="553" s="1"/>
  <c r="N11" i="553"/>
  <c r="K11" i="553"/>
  <c r="M11" i="553" s="1"/>
  <c r="K11" i="553" a="1"/>
  <c r="J11" i="553"/>
  <c r="J11" i="553" a="1"/>
  <c r="H11" i="553"/>
  <c r="V10" i="553"/>
  <c r="W10" i="553" s="1"/>
  <c r="N10" i="553"/>
  <c r="K10" i="553" a="1"/>
  <c r="K10" i="553" s="1"/>
  <c r="M10" i="553" s="1"/>
  <c r="J10" i="553" a="1"/>
  <c r="J10" i="553" s="1"/>
  <c r="H10" i="553"/>
  <c r="W9" i="553"/>
  <c r="V9" i="553"/>
  <c r="N9" i="553"/>
  <c r="K9" i="553" a="1"/>
  <c r="K9" i="553" s="1"/>
  <c r="M9" i="553" s="1"/>
  <c r="J9" i="553" a="1"/>
  <c r="J9" i="553" s="1"/>
  <c r="H9" i="553"/>
  <c r="V8" i="553"/>
  <c r="W8" i="553" s="1"/>
  <c r="N8" i="553"/>
  <c r="K8" i="553" a="1"/>
  <c r="K8" i="553" s="1"/>
  <c r="M8" i="553" s="1"/>
  <c r="J8" i="553" a="1"/>
  <c r="J8" i="553" s="1"/>
  <c r="H8" i="553"/>
  <c r="V7" i="553"/>
  <c r="V28" i="553" s="1"/>
  <c r="N7" i="553"/>
  <c r="N28" i="553" s="1"/>
  <c r="K7" i="553"/>
  <c r="M7" i="553" s="1"/>
  <c r="K7" i="553" a="1"/>
  <c r="J7" i="553"/>
  <c r="J7" i="553" a="1"/>
  <c r="H7" i="553"/>
  <c r="H28" i="553" s="1"/>
  <c r="J319" i="553" l="1" a="1"/>
  <c r="J319" i="553" s="1"/>
  <c r="J292" i="553" a="1"/>
  <c r="J292" i="553" s="1"/>
  <c r="J308" i="553" a="1"/>
  <c r="J308" i="553" s="1"/>
  <c r="J257" i="553" a="1"/>
  <c r="J257" i="553" s="1"/>
  <c r="J535" i="553"/>
  <c r="Q535" i="553" s="1"/>
  <c r="J534" i="553"/>
  <c r="Q534" i="553" s="1"/>
  <c r="J533" i="553"/>
  <c r="N370" i="553"/>
  <c r="W371" i="553"/>
  <c r="V463" i="553"/>
  <c r="W463" i="553" s="1"/>
  <c r="J463" i="553" a="1"/>
  <c r="J463" i="553" s="1"/>
  <c r="R511" i="553"/>
  <c r="N479" i="553"/>
  <c r="K428" i="553"/>
  <c r="K479" i="553"/>
  <c r="J479" i="553" a="1"/>
  <c r="J479" i="553" s="1"/>
  <c r="R512" i="553"/>
  <c r="R342" i="553"/>
  <c r="V319" i="553"/>
  <c r="H308" i="553"/>
  <c r="K308" i="553"/>
  <c r="V308" i="553"/>
  <c r="W308" i="553" s="1"/>
  <c r="V335" i="553"/>
  <c r="I344" i="553" s="1"/>
  <c r="V292" i="553"/>
  <c r="W292" i="553" s="1"/>
  <c r="K292" i="553"/>
  <c r="H319" i="553"/>
  <c r="W319" i="553"/>
  <c r="R171" i="553"/>
  <c r="J148" i="553" a="1"/>
  <c r="J148" i="553" s="1"/>
  <c r="M137" i="553"/>
  <c r="N137" i="553"/>
  <c r="N121" i="553"/>
  <c r="N164" i="553" s="1"/>
  <c r="B173" i="553" s="1"/>
  <c r="E173" i="553" s="1"/>
  <c r="W7" i="553"/>
  <c r="H163" i="553"/>
  <c r="H164" i="553" s="1"/>
  <c r="E171" i="553" s="1"/>
  <c r="J163" i="553" a="1"/>
  <c r="J163" i="553" s="1"/>
  <c r="J137" i="553" a="1"/>
  <c r="J137" i="553" s="1"/>
  <c r="M28" i="553"/>
  <c r="Q525" i="553"/>
  <c r="K525" i="553"/>
  <c r="K526" i="553"/>
  <c r="K199" i="553"/>
  <c r="M178" i="553"/>
  <c r="M199" i="553" s="1"/>
  <c r="W28" i="553"/>
  <c r="C520" i="553"/>
  <c r="M29" i="553"/>
  <c r="M86" i="553" s="1"/>
  <c r="K86" i="553"/>
  <c r="M87" i="553"/>
  <c r="M121" i="553" s="1"/>
  <c r="K121" i="553"/>
  <c r="K527" i="553"/>
  <c r="K148" i="553"/>
  <c r="M138" i="553"/>
  <c r="M148" i="553" s="1"/>
  <c r="K528" i="553"/>
  <c r="K163" i="553"/>
  <c r="M149" i="553"/>
  <c r="M163" i="553" s="1"/>
  <c r="K529" i="553"/>
  <c r="J28" i="553" a="1"/>
  <c r="J28" i="553" s="1"/>
  <c r="K28" i="553"/>
  <c r="W29" i="553"/>
  <c r="J86" i="553" a="1"/>
  <c r="J86" i="553" s="1"/>
  <c r="W87" i="553"/>
  <c r="J121" i="553" a="1"/>
  <c r="J121" i="553" s="1"/>
  <c r="K137" i="553"/>
  <c r="V163" i="553"/>
  <c r="W163" i="553" s="1"/>
  <c r="G164" i="553"/>
  <c r="P164" i="553"/>
  <c r="X168" i="553" s="1"/>
  <c r="X173" i="553" s="1"/>
  <c r="K166" i="553"/>
  <c r="R166" i="553"/>
  <c r="K319" i="553"/>
  <c r="M309" i="553"/>
  <c r="M319" i="553" s="1"/>
  <c r="K334" i="553"/>
  <c r="M320" i="553"/>
  <c r="M334" i="553" s="1"/>
  <c r="C530" i="553"/>
  <c r="E524" i="553" s="1"/>
  <c r="W138" i="553"/>
  <c r="H199" i="553"/>
  <c r="N199" i="553"/>
  <c r="W178" i="553"/>
  <c r="W199" i="553" s="1"/>
  <c r="M257" i="553"/>
  <c r="J199" i="553" a="1"/>
  <c r="J199" i="553" s="1"/>
  <c r="X338" i="553"/>
  <c r="P335" i="553"/>
  <c r="X339" i="553" s="1"/>
  <c r="X344" i="553" s="1"/>
  <c r="K257" i="553"/>
  <c r="M293" i="553"/>
  <c r="M308" i="553" s="1"/>
  <c r="R340" i="553"/>
  <c r="W309" i="553"/>
  <c r="R341" i="553"/>
  <c r="H334" i="553"/>
  <c r="N334" i="553"/>
  <c r="W320" i="553"/>
  <c r="W334" i="553" s="1"/>
  <c r="K463" i="553"/>
  <c r="M429" i="553"/>
  <c r="M463" i="553" s="1"/>
  <c r="J335" i="553" a="1"/>
  <c r="J335" i="553" s="1"/>
  <c r="M342" i="553" s="1"/>
  <c r="B342" i="553"/>
  <c r="M344" i="553" s="1" a="1"/>
  <c r="M344" i="553" s="1"/>
  <c r="O335" i="553"/>
  <c r="R337" i="553"/>
  <c r="R338" i="553"/>
  <c r="M258" i="553"/>
  <c r="M292" i="553" s="1"/>
  <c r="M349" i="553"/>
  <c r="M370" i="553" s="1"/>
  <c r="K370" i="553"/>
  <c r="K507" i="553" s="1"/>
  <c r="E515" i="553" s="1"/>
  <c r="K337" i="553"/>
  <c r="W349" i="553"/>
  <c r="W370" i="553" s="1"/>
  <c r="J370" i="553" a="1"/>
  <c r="J370" i="553" s="1"/>
  <c r="M464" i="553"/>
  <c r="M479" i="553" s="1"/>
  <c r="W464" i="553"/>
  <c r="V479" i="553"/>
  <c r="W479" i="553" s="1"/>
  <c r="B514" i="553"/>
  <c r="J507" i="553" a="1"/>
  <c r="J507" i="553" s="1"/>
  <c r="M514" i="553" s="1"/>
  <c r="I515" i="553"/>
  <c r="M515" i="553" s="1"/>
  <c r="R509" i="553"/>
  <c r="X509" i="553"/>
  <c r="O507" i="553"/>
  <c r="X510" i="553" s="1"/>
  <c r="M371" i="553"/>
  <c r="M428" i="553" s="1"/>
  <c r="H463" i="553"/>
  <c r="H507" i="553" s="1"/>
  <c r="E514" i="553" s="1"/>
  <c r="N463" i="553"/>
  <c r="N507" i="553" s="1"/>
  <c r="B516" i="553" s="1"/>
  <c r="E516" i="553" s="1"/>
  <c r="W429" i="553"/>
  <c r="V490" i="553"/>
  <c r="W490" i="553" s="1"/>
  <c r="W506" i="553"/>
  <c r="V506" i="553"/>
  <c r="R534" i="553"/>
  <c r="S534" i="553" a="1"/>
  <c r="S534" i="553" s="1"/>
  <c r="M480" i="553"/>
  <c r="M490" i="553" s="1"/>
  <c r="M491" i="553"/>
  <c r="M506" i="553" s="1"/>
  <c r="R514" i="553"/>
  <c r="K513" i="553"/>
  <c r="M509" i="553"/>
  <c r="J536" i="553"/>
  <c r="Q533" i="553"/>
  <c r="R535" i="553"/>
  <c r="S535" i="553" a="1"/>
  <c r="S535" i="553" s="1"/>
  <c r="E513" i="553"/>
  <c r="T533" i="553" a="1"/>
  <c r="T533" i="553" s="1"/>
  <c r="T534" i="553" a="1"/>
  <c r="T534" i="553" s="1"/>
  <c r="T535" i="553" a="1"/>
  <c r="T535" i="553" s="1"/>
  <c r="C536" i="553"/>
  <c r="T536" i="553" s="1" a="1"/>
  <c r="T536" i="553" s="1"/>
  <c r="L507" i="553" l="1"/>
  <c r="I514" i="553" s="1"/>
  <c r="Z341" i="553"/>
  <c r="Z340" i="553"/>
  <c r="Z343" i="553"/>
  <c r="Z170" i="553"/>
  <c r="Z169" i="553"/>
  <c r="Z171" i="553"/>
  <c r="M164" i="553"/>
  <c r="E528" i="553"/>
  <c r="E527" i="553"/>
  <c r="E525" i="553"/>
  <c r="E529" i="553"/>
  <c r="E526" i="553"/>
  <c r="M513" i="553"/>
  <c r="R516" i="553"/>
  <c r="T509" i="553" s="1" a="1"/>
  <c r="T509" i="553" s="1"/>
  <c r="V507" i="553"/>
  <c r="M507" i="553"/>
  <c r="R344" i="553"/>
  <c r="Z338" i="553"/>
  <c r="N335" i="553"/>
  <c r="B344" i="553" s="1"/>
  <c r="Z172" i="553"/>
  <c r="Z166" i="553" a="1"/>
  <c r="Z166" i="553" s="1"/>
  <c r="K524" i="553"/>
  <c r="R173" i="553"/>
  <c r="Q526" i="553"/>
  <c r="Z168" i="553"/>
  <c r="K164" i="553"/>
  <c r="E172" i="553" s="1"/>
  <c r="V164" i="553"/>
  <c r="I173" i="553" s="1"/>
  <c r="K335" i="553"/>
  <c r="R533" i="553"/>
  <c r="R536" i="553" s="1"/>
  <c r="Q536" i="553"/>
  <c r="S536" i="553" s="1" a="1"/>
  <c r="S536" i="553" s="1"/>
  <c r="S533" i="553" a="1"/>
  <c r="S533" i="553" s="1"/>
  <c r="T514" i="553"/>
  <c r="X516" i="553"/>
  <c r="Z510" i="553" s="1"/>
  <c r="M337" i="553"/>
  <c r="K341" i="553"/>
  <c r="M341" i="553" s="1"/>
  <c r="T338" i="553"/>
  <c r="Z342" i="553"/>
  <c r="Z337" i="553" a="1"/>
  <c r="Z337" i="553" s="1"/>
  <c r="T340" i="553"/>
  <c r="Z339" i="553"/>
  <c r="W335" i="553"/>
  <c r="H335" i="553"/>
  <c r="E342" i="553" s="1"/>
  <c r="G519" i="553" s="1"/>
  <c r="E530" i="553"/>
  <c r="M166" i="553"/>
  <c r="K170" i="553"/>
  <c r="M170" i="553" s="1"/>
  <c r="J164" i="553" a="1"/>
  <c r="J164" i="553" s="1"/>
  <c r="M171" i="553" s="1"/>
  <c r="B171" i="553"/>
  <c r="C519" i="553" s="1"/>
  <c r="W164" i="553"/>
  <c r="M335" i="553"/>
  <c r="Z167" i="553"/>
  <c r="M238" i="551"/>
  <c r="M201" i="551"/>
  <c r="K238" i="551" a="1"/>
  <c r="K238" i="551" s="1"/>
  <c r="K201" i="551" a="1"/>
  <c r="K201" i="551" s="1"/>
  <c r="J238" i="551" a="1"/>
  <c r="J238" i="551" s="1"/>
  <c r="J201" i="551" a="1"/>
  <c r="J201" i="551" s="1"/>
  <c r="Z509" i="553" l="1" a="1"/>
  <c r="Z509" i="553" s="1"/>
  <c r="E343" i="553"/>
  <c r="I343" i="553" s="1"/>
  <c r="M343" i="553" s="1"/>
  <c r="L335" i="553"/>
  <c r="I342" i="553" s="1"/>
  <c r="G520" i="553"/>
  <c r="K520" i="553" s="1"/>
  <c r="O520" i="553" s="1"/>
  <c r="I172" i="553"/>
  <c r="M172" i="553" s="1"/>
  <c r="Q530" i="553"/>
  <c r="K530" i="553"/>
  <c r="M524" i="553" s="1" a="1"/>
  <c r="M524" i="553" s="1"/>
  <c r="T172" i="553"/>
  <c r="T167" i="553"/>
  <c r="T168" i="553"/>
  <c r="T169" i="553"/>
  <c r="T170" i="553"/>
  <c r="T171" i="553"/>
  <c r="E344" i="553"/>
  <c r="C521" i="553"/>
  <c r="G521" i="553" s="1"/>
  <c r="T343" i="553"/>
  <c r="T339" i="553"/>
  <c r="T342" i="553"/>
  <c r="O519" i="553" a="1"/>
  <c r="O519" i="553" s="1"/>
  <c r="L164" i="553"/>
  <c r="I171" i="553" s="1"/>
  <c r="T341" i="553"/>
  <c r="Z515" i="553"/>
  <c r="Z512" i="553"/>
  <c r="Z513" i="553"/>
  <c r="Z514" i="553"/>
  <c r="Z511" i="553"/>
  <c r="M173" i="553" a="1"/>
  <c r="M173" i="553" s="1"/>
  <c r="T166" i="553" a="1"/>
  <c r="T166" i="553" s="1"/>
  <c r="T337" i="553" a="1"/>
  <c r="T337" i="553" s="1"/>
  <c r="I516" i="553"/>
  <c r="M516" i="553" s="1" a="1"/>
  <c r="M516" i="553" s="1"/>
  <c r="W507" i="553"/>
  <c r="T515" i="553"/>
  <c r="T511" i="553"/>
  <c r="T513" i="553"/>
  <c r="T510" i="553"/>
  <c r="T512" i="553"/>
  <c r="I187" i="551"/>
  <c r="I198" i="551"/>
  <c r="I191" i="551"/>
  <c r="I211" i="551"/>
  <c r="I307" i="551"/>
  <c r="I297" i="551"/>
  <c r="I291" i="551"/>
  <c r="M30" i="551"/>
  <c r="M116" i="551"/>
  <c r="M144" i="551"/>
  <c r="J144" i="551" a="1"/>
  <c r="J144" i="551" s="1"/>
  <c r="I126" i="551"/>
  <c r="I127" i="551"/>
  <c r="I40" i="551"/>
  <c r="J116" i="551" a="1"/>
  <c r="J116" i="551" s="1"/>
  <c r="J115" i="551" a="1"/>
  <c r="J115" i="551" s="1"/>
  <c r="J114" i="551" a="1"/>
  <c r="J114" i="551" s="1"/>
  <c r="J113" i="551" a="1"/>
  <c r="J113" i="551" s="1"/>
  <c r="J112" i="551" a="1"/>
  <c r="J112" i="551" s="1"/>
  <c r="J111" i="551" a="1"/>
  <c r="J111" i="551" s="1"/>
  <c r="J30" i="551" a="1"/>
  <c r="J30" i="551" s="1"/>
  <c r="J19" i="551" a="1"/>
  <c r="J19" i="551" s="1"/>
  <c r="I30" i="551"/>
  <c r="I32" i="551"/>
  <c r="I144" i="551"/>
  <c r="I20" i="551"/>
  <c r="I111" i="551"/>
  <c r="I116" i="551"/>
  <c r="I112" i="551"/>
  <c r="I19" i="551"/>
  <c r="I16" i="551"/>
  <c r="K519" i="553" l="1"/>
  <c r="K521" i="553"/>
  <c r="O521" i="553" s="1" a="1"/>
  <c r="O521" i="553" s="1"/>
  <c r="S527" i="553"/>
  <c r="S529" i="553"/>
  <c r="S528" i="553"/>
  <c r="S524" i="553" a="1"/>
  <c r="S524" i="553" s="1"/>
  <c r="S525" i="553"/>
  <c r="M526" i="553"/>
  <c r="M528" i="553"/>
  <c r="M527" i="553"/>
  <c r="M525" i="553"/>
  <c r="M529" i="553"/>
  <c r="S526" i="553"/>
  <c r="G187" i="551"/>
  <c r="S530" i="553" l="1"/>
  <c r="G307" i="551"/>
  <c r="G65" i="551"/>
  <c r="G238" i="551"/>
  <c r="D534" i="551"/>
  <c r="D535" i="551"/>
  <c r="D533" i="551"/>
  <c r="G201" i="551" l="1"/>
  <c r="G211" i="551"/>
  <c r="G291" i="551"/>
  <c r="G191" i="551" l="1"/>
  <c r="G198" i="551"/>
  <c r="G190" i="551"/>
  <c r="G40" i="551"/>
  <c r="G144" i="551"/>
  <c r="G16" i="551"/>
  <c r="G111" i="551"/>
  <c r="G126" i="551"/>
  <c r="G32" i="551"/>
  <c r="G20" i="551"/>
  <c r="G19" i="551"/>
  <c r="P536" i="551"/>
  <c r="O536" i="551"/>
  <c r="N536" i="551"/>
  <c r="M536" i="551"/>
  <c r="L536" i="551"/>
  <c r="K536" i="551"/>
  <c r="I536" i="551"/>
  <c r="H536" i="551"/>
  <c r="G536" i="551"/>
  <c r="F536" i="551"/>
  <c r="E536" i="551"/>
  <c r="D536" i="551"/>
  <c r="C535" i="551"/>
  <c r="J535" i="551" s="1"/>
  <c r="Q535" i="551" s="1"/>
  <c r="C534" i="551"/>
  <c r="J534" i="551" s="1"/>
  <c r="Q534" i="551" s="1"/>
  <c r="C533" i="551"/>
  <c r="J533" i="551" s="1"/>
  <c r="G517" i="551"/>
  <c r="N517" i="551" s="1"/>
  <c r="X515" i="551"/>
  <c r="X514" i="551"/>
  <c r="X513" i="551"/>
  <c r="G513" i="551"/>
  <c r="C513" i="551"/>
  <c r="X512" i="551"/>
  <c r="I512" i="551"/>
  <c r="E512" i="551"/>
  <c r="K512" i="551" s="1"/>
  <c r="M512" i="551" s="1"/>
  <c r="X511" i="551"/>
  <c r="I511" i="551"/>
  <c r="E511" i="551"/>
  <c r="K511" i="551" s="1"/>
  <c r="M511" i="551" s="1"/>
  <c r="I510" i="551"/>
  <c r="E510" i="551"/>
  <c r="K510" i="551" s="1"/>
  <c r="M510" i="551" s="1"/>
  <c r="I509" i="551"/>
  <c r="I513" i="551" s="1"/>
  <c r="E509" i="551"/>
  <c r="E513" i="551" s="1"/>
  <c r="AA506" i="551"/>
  <c r="Z506" i="551"/>
  <c r="Y506" i="551"/>
  <c r="X506" i="551"/>
  <c r="U506" i="551"/>
  <c r="T506" i="551"/>
  <c r="S506" i="551"/>
  <c r="R506" i="551"/>
  <c r="Q506" i="551"/>
  <c r="P506" i="551"/>
  <c r="R514" i="551" s="1"/>
  <c r="O506" i="551"/>
  <c r="I506" i="551"/>
  <c r="G506" i="551"/>
  <c r="J506" i="551" s="1" a="1"/>
  <c r="J506" i="551" s="1"/>
  <c r="H505" i="551"/>
  <c r="H504" i="551"/>
  <c r="H503" i="551"/>
  <c r="D502" i="551"/>
  <c r="H502" i="551" s="1"/>
  <c r="V501" i="551"/>
  <c r="W501" i="551" s="1"/>
  <c r="N501" i="551"/>
  <c r="K501" i="551" a="1"/>
  <c r="K501" i="551" s="1"/>
  <c r="M501" i="551" s="1"/>
  <c r="J501" i="551" a="1"/>
  <c r="J501" i="551" s="1"/>
  <c r="H501" i="551"/>
  <c r="H500" i="551"/>
  <c r="H499" i="551"/>
  <c r="V498" i="551"/>
  <c r="W498" i="551" s="1"/>
  <c r="N498" i="551"/>
  <c r="M498" i="551"/>
  <c r="K498" i="551" a="1"/>
  <c r="K498" i="551" s="1"/>
  <c r="J498" i="551" a="1"/>
  <c r="J498" i="551" s="1"/>
  <c r="H498" i="551"/>
  <c r="W497" i="551"/>
  <c r="V497" i="551"/>
  <c r="N497" i="551"/>
  <c r="K497" i="551" a="1"/>
  <c r="K497" i="551" s="1"/>
  <c r="M497" i="551" s="1"/>
  <c r="J497" i="551" a="1"/>
  <c r="J497" i="551" s="1"/>
  <c r="H497" i="551"/>
  <c r="H496" i="551"/>
  <c r="H495" i="551"/>
  <c r="V494" i="551"/>
  <c r="W494" i="551" s="1"/>
  <c r="N494" i="551"/>
  <c r="M494" i="551"/>
  <c r="K494" i="551" a="1"/>
  <c r="K494" i="551" s="1"/>
  <c r="J494" i="551" a="1"/>
  <c r="J494" i="551" s="1"/>
  <c r="H494" i="551"/>
  <c r="W493" i="551"/>
  <c r="V493" i="551"/>
  <c r="N493" i="551"/>
  <c r="K493" i="551" a="1"/>
  <c r="K493" i="551" s="1"/>
  <c r="M493" i="551" s="1"/>
  <c r="J493" i="551" a="1"/>
  <c r="J493" i="551" s="1"/>
  <c r="H493" i="551"/>
  <c r="V492" i="551"/>
  <c r="W492" i="551" s="1"/>
  <c r="N492" i="551"/>
  <c r="M492" i="551"/>
  <c r="K492" i="551" a="1"/>
  <c r="K492" i="551" s="1"/>
  <c r="J492" i="551" a="1"/>
  <c r="J492" i="551" s="1"/>
  <c r="H492" i="551"/>
  <c r="W491" i="551"/>
  <c r="V491" i="551"/>
  <c r="N491" i="551"/>
  <c r="N506" i="551" s="1"/>
  <c r="K491" i="551" a="1"/>
  <c r="K491" i="551" s="1"/>
  <c r="J491" i="551" a="1"/>
  <c r="J491" i="551" s="1"/>
  <c r="H491" i="551"/>
  <c r="AA490" i="551"/>
  <c r="Z490" i="551"/>
  <c r="Y490" i="551"/>
  <c r="X490" i="551"/>
  <c r="U490" i="551"/>
  <c r="T490" i="551"/>
  <c r="S490" i="551"/>
  <c r="Q490" i="551"/>
  <c r="P490" i="551"/>
  <c r="O490" i="551"/>
  <c r="R513" i="551" s="1"/>
  <c r="I490" i="551"/>
  <c r="G490" i="551"/>
  <c r="J490" i="551" s="1" a="1"/>
  <c r="J490" i="551" s="1"/>
  <c r="V489" i="551"/>
  <c r="W489" i="551" s="1"/>
  <c r="N489" i="551"/>
  <c r="K489" i="551" a="1"/>
  <c r="K489" i="551" s="1"/>
  <c r="M489" i="551" s="1"/>
  <c r="J489" i="551" a="1"/>
  <c r="J489" i="551" s="1"/>
  <c r="H489" i="551"/>
  <c r="H488" i="551"/>
  <c r="H487" i="551"/>
  <c r="H486" i="551"/>
  <c r="H485" i="551"/>
  <c r="W484" i="551"/>
  <c r="V484" i="551"/>
  <c r="N484" i="551"/>
  <c r="K484" i="551" a="1"/>
  <c r="K484" i="551" s="1"/>
  <c r="M484" i="551" s="1"/>
  <c r="J484" i="551" a="1"/>
  <c r="J484" i="551" s="1"/>
  <c r="H484" i="551"/>
  <c r="V483" i="551"/>
  <c r="W483" i="551" s="1"/>
  <c r="N483" i="551"/>
  <c r="K483" i="551" a="1"/>
  <c r="K483" i="551" s="1"/>
  <c r="M483" i="551" s="1"/>
  <c r="J483" i="551" a="1"/>
  <c r="J483" i="551" s="1"/>
  <c r="H483" i="551"/>
  <c r="V482" i="551"/>
  <c r="W482" i="551" s="1"/>
  <c r="N482" i="551"/>
  <c r="K482" i="551"/>
  <c r="M482" i="551" s="1"/>
  <c r="K482" i="551" a="1"/>
  <c r="J482" i="551"/>
  <c r="J482" i="551" a="1"/>
  <c r="H482" i="551"/>
  <c r="V481" i="551"/>
  <c r="W481" i="551" s="1"/>
  <c r="N481" i="551"/>
  <c r="K481" i="551" a="1"/>
  <c r="K481" i="551" s="1"/>
  <c r="M481" i="551" s="1"/>
  <c r="J481" i="551" a="1"/>
  <c r="J481" i="551" s="1"/>
  <c r="H481" i="551"/>
  <c r="W480" i="551"/>
  <c r="V480" i="551"/>
  <c r="V490" i="551" s="1"/>
  <c r="N480" i="551"/>
  <c r="N490" i="551" s="1"/>
  <c r="K480" i="551" a="1"/>
  <c r="K480" i="551" s="1"/>
  <c r="J480" i="551" a="1"/>
  <c r="J480" i="551" s="1"/>
  <c r="H480" i="551"/>
  <c r="AA479" i="551"/>
  <c r="Z479" i="551"/>
  <c r="Y479" i="551"/>
  <c r="X479" i="551"/>
  <c r="U479" i="551"/>
  <c r="T479" i="551"/>
  <c r="S479" i="551"/>
  <c r="Q479" i="551"/>
  <c r="P479" i="551"/>
  <c r="O479" i="551"/>
  <c r="I479" i="551"/>
  <c r="G479" i="551"/>
  <c r="V478" i="551"/>
  <c r="W478" i="551" s="1"/>
  <c r="N478" i="551"/>
  <c r="M478" i="551"/>
  <c r="K478" i="551" a="1"/>
  <c r="K478" i="551" s="1"/>
  <c r="J478" i="551" a="1"/>
  <c r="J478" i="551" s="1"/>
  <c r="H478" i="551"/>
  <c r="W477" i="551"/>
  <c r="V477" i="551"/>
  <c r="N477" i="551"/>
  <c r="K477" i="551" a="1"/>
  <c r="K477" i="551" s="1"/>
  <c r="M477" i="551" s="1"/>
  <c r="J477" i="551" a="1"/>
  <c r="J477" i="551" s="1"/>
  <c r="H477" i="551"/>
  <c r="V476" i="551"/>
  <c r="W476" i="551" s="1"/>
  <c r="N476" i="551"/>
  <c r="M476" i="551"/>
  <c r="K476" i="551" a="1"/>
  <c r="K476" i="551" s="1"/>
  <c r="J476" i="551" a="1"/>
  <c r="J476" i="551" s="1"/>
  <c r="H476" i="551"/>
  <c r="W475" i="551"/>
  <c r="V475" i="551"/>
  <c r="N475" i="551"/>
  <c r="K475" i="551" a="1"/>
  <c r="K475" i="551" s="1"/>
  <c r="M475" i="551" s="1"/>
  <c r="J475" i="551" a="1"/>
  <c r="J475" i="551" s="1"/>
  <c r="H475" i="551"/>
  <c r="V474" i="551"/>
  <c r="W474" i="551" s="1"/>
  <c r="N474" i="551"/>
  <c r="M474" i="551"/>
  <c r="K474" i="551" a="1"/>
  <c r="K474" i="551" s="1"/>
  <c r="J474" i="551" a="1"/>
  <c r="J474" i="551" s="1"/>
  <c r="H474" i="551"/>
  <c r="W473" i="551"/>
  <c r="V473" i="551"/>
  <c r="N473" i="551"/>
  <c r="K473" i="551" a="1"/>
  <c r="K473" i="551" s="1"/>
  <c r="M473" i="551" s="1"/>
  <c r="J473" i="551" a="1"/>
  <c r="J473" i="551" s="1"/>
  <c r="H473" i="551"/>
  <c r="V472" i="551"/>
  <c r="W472" i="551" s="1"/>
  <c r="N472" i="551"/>
  <c r="M472" i="551"/>
  <c r="K472" i="551" a="1"/>
  <c r="K472" i="551" s="1"/>
  <c r="J472" i="551" a="1"/>
  <c r="J472" i="551" s="1"/>
  <c r="H472" i="551"/>
  <c r="W471" i="551"/>
  <c r="V471" i="551"/>
  <c r="N471" i="551"/>
  <c r="K471" i="551" a="1"/>
  <c r="K471" i="551" s="1"/>
  <c r="M471" i="551" s="1"/>
  <c r="J471" i="551" a="1"/>
  <c r="J471" i="551" s="1"/>
  <c r="H471" i="551"/>
  <c r="V470" i="551"/>
  <c r="W470" i="551" s="1"/>
  <c r="N470" i="551"/>
  <c r="M470" i="551"/>
  <c r="K470" i="551" a="1"/>
  <c r="K470" i="551" s="1"/>
  <c r="J470" i="551" a="1"/>
  <c r="J470" i="551" s="1"/>
  <c r="H470" i="551"/>
  <c r="W469" i="551"/>
  <c r="V469" i="551"/>
  <c r="N469" i="551"/>
  <c r="K469" i="551" a="1"/>
  <c r="K469" i="551" s="1"/>
  <c r="M469" i="551" s="1"/>
  <c r="J469" i="551" a="1"/>
  <c r="J469" i="551" s="1"/>
  <c r="H469" i="551"/>
  <c r="V468" i="551"/>
  <c r="W468" i="551" s="1"/>
  <c r="N468" i="551"/>
  <c r="M468" i="551"/>
  <c r="K468" i="551" a="1"/>
  <c r="K468" i="551" s="1"/>
  <c r="J468" i="551" a="1"/>
  <c r="J468" i="551" s="1"/>
  <c r="H468" i="551"/>
  <c r="W467" i="551"/>
  <c r="V467" i="551"/>
  <c r="N467" i="551"/>
  <c r="K467" i="551" a="1"/>
  <c r="K467" i="551" s="1"/>
  <c r="M467" i="551" s="1"/>
  <c r="J467" i="551" a="1"/>
  <c r="J467" i="551" s="1"/>
  <c r="H467" i="551"/>
  <c r="V466" i="551"/>
  <c r="W466" i="551" s="1"/>
  <c r="N466" i="551"/>
  <c r="M466" i="551"/>
  <c r="K466" i="551" a="1"/>
  <c r="K466" i="551" s="1"/>
  <c r="J466" i="551" a="1"/>
  <c r="J466" i="551" s="1"/>
  <c r="H466" i="551"/>
  <c r="W465" i="551"/>
  <c r="V465" i="551"/>
  <c r="N465" i="551"/>
  <c r="K465" i="551" a="1"/>
  <c r="K465" i="551" s="1"/>
  <c r="M465" i="551" s="1"/>
  <c r="J465" i="551" a="1"/>
  <c r="J465" i="551" s="1"/>
  <c r="H465" i="551"/>
  <c r="V464" i="551"/>
  <c r="W464" i="551" s="1"/>
  <c r="N464" i="551"/>
  <c r="K464" i="551" a="1"/>
  <c r="K464" i="551" s="1"/>
  <c r="J464" i="551" a="1"/>
  <c r="J464" i="551" s="1"/>
  <c r="H464" i="551"/>
  <c r="H479" i="551" s="1"/>
  <c r="AA463" i="551"/>
  <c r="Z463" i="551"/>
  <c r="Y463" i="551"/>
  <c r="X463" i="551"/>
  <c r="U463" i="551"/>
  <c r="T463" i="551"/>
  <c r="S463" i="551"/>
  <c r="R463" i="551"/>
  <c r="Q463" i="551"/>
  <c r="P463" i="551"/>
  <c r="O463" i="551"/>
  <c r="I463" i="551"/>
  <c r="G463" i="551"/>
  <c r="V462" i="551"/>
  <c r="W462" i="551" s="1"/>
  <c r="N462" i="551"/>
  <c r="K462" i="551" a="1"/>
  <c r="K462" i="551" s="1"/>
  <c r="M462" i="551" s="1"/>
  <c r="J462" i="551" a="1"/>
  <c r="J462" i="551" s="1"/>
  <c r="H462" i="551"/>
  <c r="V461" i="551"/>
  <c r="W461" i="551" s="1"/>
  <c r="N461" i="551"/>
  <c r="K461" i="551"/>
  <c r="M461" i="551" s="1"/>
  <c r="K461" i="551" a="1"/>
  <c r="J461" i="551"/>
  <c r="J461" i="551" a="1"/>
  <c r="H461" i="551"/>
  <c r="V460" i="551"/>
  <c r="W460" i="551" s="1"/>
  <c r="N460" i="551"/>
  <c r="K460" i="551" a="1"/>
  <c r="K460" i="551" s="1"/>
  <c r="M460" i="551" s="1"/>
  <c r="J460" i="551" a="1"/>
  <c r="J460" i="551" s="1"/>
  <c r="H460" i="551"/>
  <c r="K459" i="551" a="1"/>
  <c r="K459" i="551" s="1"/>
  <c r="M459" i="551" s="1"/>
  <c r="H459" i="551"/>
  <c r="K458" i="551" a="1"/>
  <c r="K458" i="551" s="1"/>
  <c r="M458" i="551" s="1"/>
  <c r="H458" i="551"/>
  <c r="K457" i="551" a="1"/>
  <c r="K457" i="551" s="1"/>
  <c r="M457" i="551" s="1"/>
  <c r="H457" i="551"/>
  <c r="W456" i="551"/>
  <c r="V456" i="551"/>
  <c r="N456" i="551"/>
  <c r="K456" i="551" a="1"/>
  <c r="K456" i="551" s="1"/>
  <c r="M456" i="551" s="1"/>
  <c r="J456" i="551" a="1"/>
  <c r="J456" i="551" s="1"/>
  <c r="H456" i="551"/>
  <c r="V455" i="551"/>
  <c r="W455" i="551" s="1"/>
  <c r="N455" i="551"/>
  <c r="K455" i="551" a="1"/>
  <c r="K455" i="551" s="1"/>
  <c r="M455" i="551" s="1"/>
  <c r="J455" i="551" a="1"/>
  <c r="J455" i="551" s="1"/>
  <c r="H455" i="551"/>
  <c r="N454" i="551"/>
  <c r="K454" i="551"/>
  <c r="M454" i="551" s="1"/>
  <c r="K454" i="551" a="1"/>
  <c r="H454" i="551"/>
  <c r="N453" i="551"/>
  <c r="K453" i="551" a="1"/>
  <c r="K453" i="551" s="1"/>
  <c r="M453" i="551" s="1"/>
  <c r="H453" i="551"/>
  <c r="N452" i="551"/>
  <c r="K452" i="551" a="1"/>
  <c r="K452" i="551" s="1"/>
  <c r="M452" i="551" s="1"/>
  <c r="H452" i="551"/>
  <c r="N451" i="551"/>
  <c r="K451" i="551" a="1"/>
  <c r="K451" i="551" s="1"/>
  <c r="M451" i="551" s="1"/>
  <c r="H451" i="551"/>
  <c r="N450" i="551"/>
  <c r="K450" i="551"/>
  <c r="M450" i="551" s="1"/>
  <c r="K450" i="551" a="1"/>
  <c r="H450" i="551"/>
  <c r="N449" i="551"/>
  <c r="K449" i="551" a="1"/>
  <c r="K449" i="551" s="1"/>
  <c r="M449" i="551" s="1"/>
  <c r="H449" i="551"/>
  <c r="W448" i="551"/>
  <c r="V448" i="551"/>
  <c r="N448" i="551"/>
  <c r="K448" i="551" a="1"/>
  <c r="K448" i="551" s="1"/>
  <c r="M448" i="551" s="1"/>
  <c r="J448" i="551" a="1"/>
  <c r="J448" i="551" s="1"/>
  <c r="H448" i="551"/>
  <c r="V447" i="551"/>
  <c r="W447" i="551" s="1"/>
  <c r="N447" i="551"/>
  <c r="K447" i="551" a="1"/>
  <c r="K447" i="551" s="1"/>
  <c r="M447" i="551" s="1"/>
  <c r="J447" i="551" a="1"/>
  <c r="J447" i="551" s="1"/>
  <c r="H447" i="551"/>
  <c r="V446" i="551"/>
  <c r="W446" i="551" s="1"/>
  <c r="N446" i="551"/>
  <c r="K446" i="551"/>
  <c r="M446" i="551" s="1"/>
  <c r="K446" i="551" a="1"/>
  <c r="J446" i="551"/>
  <c r="J446" i="551" a="1"/>
  <c r="H446" i="551"/>
  <c r="V445" i="551"/>
  <c r="W445" i="551" s="1"/>
  <c r="N445" i="551"/>
  <c r="K445" i="551" a="1"/>
  <c r="K445" i="551" s="1"/>
  <c r="M445" i="551" s="1"/>
  <c r="J445" i="551" a="1"/>
  <c r="J445" i="551" s="1"/>
  <c r="H445" i="551"/>
  <c r="W444" i="551"/>
  <c r="V444" i="551"/>
  <c r="N444" i="551"/>
  <c r="K444" i="551" a="1"/>
  <c r="K444" i="551" s="1"/>
  <c r="M444" i="551" s="1"/>
  <c r="J444" i="551" a="1"/>
  <c r="J444" i="551" s="1"/>
  <c r="H444" i="551"/>
  <c r="V443" i="551"/>
  <c r="W443" i="551" s="1"/>
  <c r="N443" i="551"/>
  <c r="K443" i="551" a="1"/>
  <c r="K443" i="551" s="1"/>
  <c r="M443" i="551" s="1"/>
  <c r="J443" i="551" a="1"/>
  <c r="J443" i="551" s="1"/>
  <c r="H443" i="551"/>
  <c r="V442" i="551"/>
  <c r="W442" i="551" s="1"/>
  <c r="N442" i="551"/>
  <c r="K442" i="551"/>
  <c r="M442" i="551" s="1"/>
  <c r="K442" i="551" a="1"/>
  <c r="J442" i="551"/>
  <c r="J442" i="551" a="1"/>
  <c r="H442" i="551"/>
  <c r="V441" i="551"/>
  <c r="W441" i="551" s="1"/>
  <c r="N441" i="551"/>
  <c r="K441" i="551" a="1"/>
  <c r="K441" i="551" s="1"/>
  <c r="M441" i="551" s="1"/>
  <c r="J441" i="551" a="1"/>
  <c r="J441" i="551" s="1"/>
  <c r="H441" i="551"/>
  <c r="W440" i="551"/>
  <c r="V440" i="551"/>
  <c r="N440" i="551"/>
  <c r="K440" i="551" a="1"/>
  <c r="K440" i="551" s="1"/>
  <c r="M440" i="551" s="1"/>
  <c r="J440" i="551" a="1"/>
  <c r="J440" i="551" s="1"/>
  <c r="H440" i="551"/>
  <c r="V439" i="551"/>
  <c r="W439" i="551" s="1"/>
  <c r="N439" i="551"/>
  <c r="K439" i="551" a="1"/>
  <c r="K439" i="551" s="1"/>
  <c r="M439" i="551" s="1"/>
  <c r="J439" i="551" a="1"/>
  <c r="J439" i="551" s="1"/>
  <c r="H439" i="551"/>
  <c r="V438" i="551"/>
  <c r="W438" i="551" s="1"/>
  <c r="N438" i="551"/>
  <c r="K438" i="551"/>
  <c r="M438" i="551" s="1"/>
  <c r="K438" i="551" a="1"/>
  <c r="J438" i="551"/>
  <c r="J438" i="551" a="1"/>
  <c r="H438" i="551"/>
  <c r="V437" i="551"/>
  <c r="W437" i="551" s="1"/>
  <c r="N437" i="551"/>
  <c r="K437" i="551" a="1"/>
  <c r="K437" i="551" s="1"/>
  <c r="M437" i="551" s="1"/>
  <c r="J437" i="551" a="1"/>
  <c r="J437" i="551" s="1"/>
  <c r="H437" i="551"/>
  <c r="N436" i="551"/>
  <c r="K436" i="551" a="1"/>
  <c r="K436" i="551" s="1"/>
  <c r="M436" i="551" s="1"/>
  <c r="H436" i="551"/>
  <c r="V435" i="551"/>
  <c r="W435" i="551" s="1"/>
  <c r="N435" i="551"/>
  <c r="K435" i="551" a="1"/>
  <c r="K435" i="551" s="1"/>
  <c r="M435" i="551" s="1"/>
  <c r="J435" i="551" a="1"/>
  <c r="J435" i="551" s="1"/>
  <c r="H435" i="551"/>
  <c r="V434" i="551"/>
  <c r="W434" i="551" s="1"/>
  <c r="N434" i="551"/>
  <c r="K434" i="551"/>
  <c r="M434" i="551" s="1"/>
  <c r="K434" i="551" a="1"/>
  <c r="J434" i="551"/>
  <c r="J434" i="551" a="1"/>
  <c r="H434" i="551"/>
  <c r="V433" i="551"/>
  <c r="W433" i="551" s="1"/>
  <c r="N433" i="551"/>
  <c r="K433" i="551" a="1"/>
  <c r="K433" i="551" s="1"/>
  <c r="M433" i="551" s="1"/>
  <c r="J433" i="551" a="1"/>
  <c r="J433" i="551" s="1"/>
  <c r="H433" i="551"/>
  <c r="W432" i="551"/>
  <c r="V432" i="551"/>
  <c r="N432" i="551"/>
  <c r="K432" i="551" a="1"/>
  <c r="K432" i="551" s="1"/>
  <c r="M432" i="551" s="1"/>
  <c r="J432" i="551" a="1"/>
  <c r="J432" i="551" s="1"/>
  <c r="H432" i="551"/>
  <c r="V431" i="551"/>
  <c r="W431" i="551" s="1"/>
  <c r="N431" i="551"/>
  <c r="K431" i="551" a="1"/>
  <c r="K431" i="551" s="1"/>
  <c r="M431" i="551" s="1"/>
  <c r="J431" i="551" a="1"/>
  <c r="J431" i="551" s="1"/>
  <c r="H431" i="551"/>
  <c r="V430" i="551"/>
  <c r="W430" i="551" s="1"/>
  <c r="N430" i="551"/>
  <c r="K430" i="551"/>
  <c r="M430" i="551" s="1"/>
  <c r="K430" i="551" a="1"/>
  <c r="J430" i="551"/>
  <c r="J430" i="551" a="1"/>
  <c r="H430" i="551"/>
  <c r="V429" i="551"/>
  <c r="N429" i="551"/>
  <c r="N463" i="551" s="1"/>
  <c r="K429" i="551" a="1"/>
  <c r="K429" i="551" s="1"/>
  <c r="J429" i="551" a="1"/>
  <c r="J429" i="551" s="1"/>
  <c r="H429" i="551"/>
  <c r="AA428" i="551"/>
  <c r="Z428" i="551"/>
  <c r="Y428" i="551"/>
  <c r="X428" i="551"/>
  <c r="U428" i="551"/>
  <c r="T428" i="551"/>
  <c r="S428" i="551"/>
  <c r="R428" i="551"/>
  <c r="Q428" i="551"/>
  <c r="P428" i="551"/>
  <c r="O428" i="551"/>
  <c r="R510" i="551" s="1"/>
  <c r="I428" i="551"/>
  <c r="G428" i="551"/>
  <c r="J428" i="551" s="1" a="1"/>
  <c r="J428" i="551" s="1"/>
  <c r="K427" i="551" a="1"/>
  <c r="K427" i="551" s="1"/>
  <c r="M427" i="551" s="1"/>
  <c r="H427" i="551"/>
  <c r="K426" i="551"/>
  <c r="M426" i="551" s="1"/>
  <c r="K426" i="551" a="1"/>
  <c r="H426" i="551"/>
  <c r="K425" i="551" a="1"/>
  <c r="K425" i="551" s="1"/>
  <c r="M425" i="551" s="1"/>
  <c r="H425" i="551"/>
  <c r="K424" i="551"/>
  <c r="M424" i="551" s="1"/>
  <c r="K424" i="551" a="1"/>
  <c r="H424" i="551"/>
  <c r="K423" i="551" a="1"/>
  <c r="K423" i="551" s="1"/>
  <c r="M423" i="551" s="1"/>
  <c r="H423" i="551"/>
  <c r="K422" i="551"/>
  <c r="M422" i="551" s="1"/>
  <c r="K422" i="551" a="1"/>
  <c r="H422" i="551"/>
  <c r="K421" i="551" a="1"/>
  <c r="K421" i="551" s="1"/>
  <c r="M421" i="551" s="1"/>
  <c r="H421" i="551"/>
  <c r="K420" i="551"/>
  <c r="M420" i="551" s="1"/>
  <c r="K420" i="551" a="1"/>
  <c r="H420" i="551"/>
  <c r="K419" i="551" a="1"/>
  <c r="K419" i="551" s="1"/>
  <c r="M419" i="551" s="1"/>
  <c r="H419" i="551"/>
  <c r="K418" i="551"/>
  <c r="M418" i="551" s="1"/>
  <c r="K418" i="551" a="1"/>
  <c r="H418" i="551"/>
  <c r="V417" i="551"/>
  <c r="W417" i="551" s="1"/>
  <c r="N417" i="551"/>
  <c r="K417" i="551" a="1"/>
  <c r="K417" i="551" s="1"/>
  <c r="M417" i="551" s="1"/>
  <c r="J417" i="551" a="1"/>
  <c r="J417" i="551" s="1"/>
  <c r="H417" i="551"/>
  <c r="W416" i="551"/>
  <c r="V416" i="551"/>
  <c r="N416" i="551"/>
  <c r="K416" i="551" a="1"/>
  <c r="K416" i="551" s="1"/>
  <c r="M416" i="551" s="1"/>
  <c r="J416" i="551" a="1"/>
  <c r="J416" i="551" s="1"/>
  <c r="H416" i="551"/>
  <c r="V415" i="551"/>
  <c r="W415" i="551" s="1"/>
  <c r="N415" i="551"/>
  <c r="K415" i="551" a="1"/>
  <c r="K415" i="551" s="1"/>
  <c r="M415" i="551" s="1"/>
  <c r="J415" i="551" a="1"/>
  <c r="J415" i="551" s="1"/>
  <c r="H415" i="551"/>
  <c r="V414" i="551"/>
  <c r="W414" i="551" s="1"/>
  <c r="N414" i="551"/>
  <c r="K414" i="551"/>
  <c r="M414" i="551" s="1"/>
  <c r="K414" i="551" a="1"/>
  <c r="J414" i="551"/>
  <c r="J414" i="551" a="1"/>
  <c r="H414" i="551"/>
  <c r="H413" i="551"/>
  <c r="W412" i="551"/>
  <c r="V412" i="551"/>
  <c r="N412" i="551"/>
  <c r="K412" i="551" a="1"/>
  <c r="K412" i="551" s="1"/>
  <c r="M412" i="551" s="1"/>
  <c r="J412" i="551" a="1"/>
  <c r="J412" i="551" s="1"/>
  <c r="H412" i="551"/>
  <c r="V411" i="551"/>
  <c r="W411" i="551" s="1"/>
  <c r="N411" i="551"/>
  <c r="K411" i="551" a="1"/>
  <c r="K411" i="551" s="1"/>
  <c r="M411" i="551" s="1"/>
  <c r="J411" i="551" a="1"/>
  <c r="J411" i="551" s="1"/>
  <c r="H411" i="551"/>
  <c r="H410" i="551"/>
  <c r="K409" i="551" a="1"/>
  <c r="K409" i="551" s="1"/>
  <c r="H409" i="551"/>
  <c r="W408" i="551"/>
  <c r="V408" i="551"/>
  <c r="N408" i="551"/>
  <c r="K408" i="551" a="1"/>
  <c r="K408" i="551" s="1"/>
  <c r="M408" i="551" s="1"/>
  <c r="J408" i="551" a="1"/>
  <c r="J408" i="551" s="1"/>
  <c r="H408" i="551"/>
  <c r="V407" i="551"/>
  <c r="W407" i="551" s="1"/>
  <c r="N407" i="551"/>
  <c r="K407" i="551" a="1"/>
  <c r="K407" i="551" s="1"/>
  <c r="M407" i="551" s="1"/>
  <c r="J407" i="551" a="1"/>
  <c r="J407" i="551" s="1"/>
  <c r="H407" i="551"/>
  <c r="V406" i="551"/>
  <c r="W406" i="551" s="1"/>
  <c r="N406" i="551"/>
  <c r="K406" i="551"/>
  <c r="M406" i="551" s="1"/>
  <c r="K406" i="551" a="1"/>
  <c r="J406" i="551"/>
  <c r="J406" i="551" a="1"/>
  <c r="H406" i="551"/>
  <c r="V405" i="551"/>
  <c r="W405" i="551" s="1"/>
  <c r="N405" i="551"/>
  <c r="K405" i="551" a="1"/>
  <c r="K405" i="551" s="1"/>
  <c r="M405" i="551" s="1"/>
  <c r="J405" i="551" a="1"/>
  <c r="J405" i="551" s="1"/>
  <c r="H405" i="551"/>
  <c r="W404" i="551"/>
  <c r="V404" i="551"/>
  <c r="N404" i="551"/>
  <c r="K404" i="551" a="1"/>
  <c r="K404" i="551" s="1"/>
  <c r="M404" i="551" s="1"/>
  <c r="J404" i="551" a="1"/>
  <c r="J404" i="551" s="1"/>
  <c r="H404" i="551"/>
  <c r="V403" i="551"/>
  <c r="W403" i="551" s="1"/>
  <c r="N403" i="551"/>
  <c r="K403" i="551" a="1"/>
  <c r="K403" i="551" s="1"/>
  <c r="M403" i="551" s="1"/>
  <c r="J403" i="551" a="1"/>
  <c r="J403" i="551" s="1"/>
  <c r="H403" i="551"/>
  <c r="V402" i="551"/>
  <c r="W402" i="551" s="1"/>
  <c r="N402" i="551"/>
  <c r="K402" i="551"/>
  <c r="M402" i="551" s="1"/>
  <c r="K402" i="551" a="1"/>
  <c r="J402" i="551"/>
  <c r="J402" i="551" a="1"/>
  <c r="H402" i="551"/>
  <c r="V401" i="551"/>
  <c r="W401" i="551" s="1"/>
  <c r="N401" i="551"/>
  <c r="K401" i="551" a="1"/>
  <c r="K401" i="551" s="1"/>
  <c r="M401" i="551" s="1"/>
  <c r="J401" i="551" a="1"/>
  <c r="J401" i="551" s="1"/>
  <c r="H401" i="551"/>
  <c r="W400" i="551"/>
  <c r="V400" i="551"/>
  <c r="N400" i="551"/>
  <c r="K400" i="551" a="1"/>
  <c r="K400" i="551" s="1"/>
  <c r="M400" i="551" s="1"/>
  <c r="J400" i="551" a="1"/>
  <c r="J400" i="551" s="1"/>
  <c r="H400" i="551"/>
  <c r="V399" i="551"/>
  <c r="W399" i="551" s="1"/>
  <c r="N399" i="551"/>
  <c r="K399" i="551" a="1"/>
  <c r="K399" i="551" s="1"/>
  <c r="M399" i="551" s="1"/>
  <c r="J399" i="551" a="1"/>
  <c r="J399" i="551" s="1"/>
  <c r="H399" i="551"/>
  <c r="K398" i="551" a="1"/>
  <c r="K398" i="551" s="1"/>
  <c r="M398" i="551" s="1"/>
  <c r="H398" i="551"/>
  <c r="K397" i="551" a="1"/>
  <c r="K397" i="551" s="1"/>
  <c r="M397" i="551" s="1"/>
  <c r="H397" i="551"/>
  <c r="K396" i="551" a="1"/>
  <c r="K396" i="551" s="1"/>
  <c r="M396" i="551" s="1"/>
  <c r="H396" i="551"/>
  <c r="K395" i="551" a="1"/>
  <c r="K395" i="551" s="1"/>
  <c r="M395" i="551" s="1"/>
  <c r="H395" i="551"/>
  <c r="N394" i="551"/>
  <c r="K394" i="551"/>
  <c r="M394" i="551" s="1"/>
  <c r="K394" i="551" a="1"/>
  <c r="H394" i="551"/>
  <c r="N393" i="551"/>
  <c r="K393" i="551" a="1"/>
  <c r="K393" i="551" s="1"/>
  <c r="M393" i="551" s="1"/>
  <c r="H393" i="551"/>
  <c r="N392" i="551"/>
  <c r="K392" i="551" a="1"/>
  <c r="K392" i="551" s="1"/>
  <c r="M392" i="551" s="1"/>
  <c r="H392" i="551"/>
  <c r="N391" i="551"/>
  <c r="K391" i="551" a="1"/>
  <c r="K391" i="551" s="1"/>
  <c r="M391" i="551" s="1"/>
  <c r="H391" i="551"/>
  <c r="V390" i="551"/>
  <c r="W390" i="551" s="1"/>
  <c r="N390" i="551"/>
  <c r="K390" i="551"/>
  <c r="M390" i="551" s="1"/>
  <c r="K390" i="551" a="1"/>
  <c r="J390" i="551"/>
  <c r="J390" i="551" a="1"/>
  <c r="H390" i="551"/>
  <c r="V389" i="551"/>
  <c r="W389" i="551" s="1"/>
  <c r="N389" i="551"/>
  <c r="K389" i="551" a="1"/>
  <c r="K389" i="551" s="1"/>
  <c r="M389" i="551" s="1"/>
  <c r="J389" i="551" a="1"/>
  <c r="J389" i="551" s="1"/>
  <c r="H389" i="551"/>
  <c r="W388" i="551"/>
  <c r="V388" i="551"/>
  <c r="N388" i="551"/>
  <c r="K388" i="551" a="1"/>
  <c r="K388" i="551" s="1"/>
  <c r="M388" i="551" s="1"/>
  <c r="J388" i="551" a="1"/>
  <c r="J388" i="551" s="1"/>
  <c r="H388" i="551"/>
  <c r="V387" i="551"/>
  <c r="W387" i="551" s="1"/>
  <c r="N387" i="551"/>
  <c r="K387" i="551" a="1"/>
  <c r="K387" i="551" s="1"/>
  <c r="M387" i="551" s="1"/>
  <c r="J387" i="551" a="1"/>
  <c r="J387" i="551" s="1"/>
  <c r="H387" i="551"/>
  <c r="V386" i="551"/>
  <c r="W386" i="551" s="1"/>
  <c r="N386" i="551"/>
  <c r="K386" i="551"/>
  <c r="M386" i="551" s="1"/>
  <c r="K386" i="551" a="1"/>
  <c r="J386" i="551"/>
  <c r="J386" i="551" a="1"/>
  <c r="H386" i="551"/>
  <c r="V385" i="551"/>
  <c r="W385" i="551" s="1"/>
  <c r="N385" i="551"/>
  <c r="K385" i="551" a="1"/>
  <c r="K385" i="551" s="1"/>
  <c r="M385" i="551" s="1"/>
  <c r="J385" i="551" a="1"/>
  <c r="J385" i="551" s="1"/>
  <c r="H385" i="551"/>
  <c r="W384" i="551"/>
  <c r="V384" i="551"/>
  <c r="N384" i="551"/>
  <c r="K384" i="551" a="1"/>
  <c r="K384" i="551" s="1"/>
  <c r="M384" i="551" s="1"/>
  <c r="J384" i="551" a="1"/>
  <c r="J384" i="551" s="1"/>
  <c r="H384" i="551"/>
  <c r="V383" i="551"/>
  <c r="W383" i="551" s="1"/>
  <c r="N383" i="551"/>
  <c r="K383" i="551" a="1"/>
  <c r="K383" i="551" s="1"/>
  <c r="M383" i="551" s="1"/>
  <c r="J383" i="551" a="1"/>
  <c r="J383" i="551" s="1"/>
  <c r="H383" i="551"/>
  <c r="V382" i="551"/>
  <c r="W382" i="551" s="1"/>
  <c r="N382" i="551"/>
  <c r="K382" i="551"/>
  <c r="M382" i="551" s="1"/>
  <c r="K382" i="551" a="1"/>
  <c r="J382" i="551"/>
  <c r="J382" i="551" a="1"/>
  <c r="H382" i="551"/>
  <c r="V381" i="551"/>
  <c r="W381" i="551" s="1"/>
  <c r="N381" i="551"/>
  <c r="K381" i="551" a="1"/>
  <c r="K381" i="551" s="1"/>
  <c r="M381" i="551" s="1"/>
  <c r="J381" i="551" a="1"/>
  <c r="J381" i="551" s="1"/>
  <c r="H381" i="551"/>
  <c r="W380" i="551"/>
  <c r="V380" i="551"/>
  <c r="N380" i="551"/>
  <c r="K380" i="551" a="1"/>
  <c r="K380" i="551" s="1"/>
  <c r="M380" i="551" s="1"/>
  <c r="J380" i="551" a="1"/>
  <c r="J380" i="551" s="1"/>
  <c r="H380" i="551"/>
  <c r="V379" i="551"/>
  <c r="W379" i="551" s="1"/>
  <c r="N379" i="551"/>
  <c r="K379" i="551" a="1"/>
  <c r="K379" i="551" s="1"/>
  <c r="M379" i="551" s="1"/>
  <c r="J379" i="551" a="1"/>
  <c r="J379" i="551" s="1"/>
  <c r="H379" i="551"/>
  <c r="K378" i="551" a="1"/>
  <c r="K378" i="551" s="1"/>
  <c r="M378" i="551" s="1"/>
  <c r="H378" i="551"/>
  <c r="K377" i="551" a="1"/>
  <c r="K377" i="551" s="1"/>
  <c r="M377" i="551" s="1"/>
  <c r="H377" i="551"/>
  <c r="K376" i="551" a="1"/>
  <c r="K376" i="551" s="1"/>
  <c r="M376" i="551" s="1"/>
  <c r="H376" i="551"/>
  <c r="V375" i="551"/>
  <c r="W375" i="551" s="1"/>
  <c r="N375" i="551"/>
  <c r="K375" i="551" a="1"/>
  <c r="K375" i="551" s="1"/>
  <c r="M375" i="551" s="1"/>
  <c r="J375" i="551" a="1"/>
  <c r="J375" i="551" s="1"/>
  <c r="H375" i="551"/>
  <c r="W374" i="551"/>
  <c r="V374" i="551"/>
  <c r="N374" i="551"/>
  <c r="K374" i="551" a="1"/>
  <c r="K374" i="551" s="1"/>
  <c r="M374" i="551" s="1"/>
  <c r="J374" i="551" a="1"/>
  <c r="J374" i="551" s="1"/>
  <c r="H374" i="551"/>
  <c r="V373" i="551"/>
  <c r="W373" i="551" s="1"/>
  <c r="N373" i="551"/>
  <c r="K373" i="551" a="1"/>
  <c r="K373" i="551" s="1"/>
  <c r="M373" i="551" s="1"/>
  <c r="J373" i="551" a="1"/>
  <c r="J373" i="551" s="1"/>
  <c r="H373" i="551"/>
  <c r="K372" i="551" a="1"/>
  <c r="K372" i="551" s="1"/>
  <c r="H372" i="551"/>
  <c r="V371" i="551"/>
  <c r="N371" i="551"/>
  <c r="K371" i="551" a="1"/>
  <c r="K371" i="551" s="1"/>
  <c r="J371" i="551" a="1"/>
  <c r="J371" i="551" s="1"/>
  <c r="H371" i="551"/>
  <c r="AA370" i="551"/>
  <c r="AA507" i="551" s="1"/>
  <c r="Z370" i="551"/>
  <c r="Z507" i="551" s="1"/>
  <c r="Y370" i="551"/>
  <c r="Y507" i="551" s="1"/>
  <c r="X370" i="551"/>
  <c r="X507" i="551" s="1"/>
  <c r="U370" i="551"/>
  <c r="U507" i="551" s="1"/>
  <c r="T370" i="551"/>
  <c r="T507" i="551" s="1"/>
  <c r="S370" i="551"/>
  <c r="S507" i="551" s="1"/>
  <c r="R370" i="551"/>
  <c r="R507" i="551" s="1"/>
  <c r="Q370" i="551"/>
  <c r="Q507" i="551" s="1"/>
  <c r="P370" i="551"/>
  <c r="P507" i="551" s="1"/>
  <c r="O370" i="551"/>
  <c r="I370" i="551"/>
  <c r="I507" i="551" s="1"/>
  <c r="B515" i="551" s="1"/>
  <c r="G370" i="551"/>
  <c r="G507" i="551" s="1"/>
  <c r="V369" i="551"/>
  <c r="W369" i="551" s="1"/>
  <c r="N369" i="551"/>
  <c r="K369" i="551" a="1"/>
  <c r="K369" i="551" s="1"/>
  <c r="M369" i="551" s="1"/>
  <c r="J369" i="551" a="1"/>
  <c r="J369" i="551" s="1"/>
  <c r="H369" i="551"/>
  <c r="V368" i="551"/>
  <c r="W368" i="551" s="1"/>
  <c r="N368" i="551"/>
  <c r="K368" i="551"/>
  <c r="M368" i="551" s="1"/>
  <c r="K368" i="551" a="1"/>
  <c r="J368" i="551"/>
  <c r="J368" i="551" a="1"/>
  <c r="H368" i="551"/>
  <c r="K367" i="551" a="1"/>
  <c r="K367" i="551" s="1"/>
  <c r="M367" i="551" s="1"/>
  <c r="H367" i="551"/>
  <c r="K366" i="551" a="1"/>
  <c r="K366" i="551" s="1"/>
  <c r="M366" i="551" s="1"/>
  <c r="H366" i="551"/>
  <c r="K365" i="551" a="1"/>
  <c r="K365" i="551" s="1"/>
  <c r="M365" i="551" s="1"/>
  <c r="H365" i="551"/>
  <c r="K364" i="551" a="1"/>
  <c r="K364" i="551" s="1"/>
  <c r="M364" i="551" s="1"/>
  <c r="H364" i="551"/>
  <c r="V363" i="551"/>
  <c r="W363" i="551" s="1"/>
  <c r="N363" i="551"/>
  <c r="K363" i="551" a="1"/>
  <c r="K363" i="551" s="1"/>
  <c r="M363" i="551" s="1"/>
  <c r="J363" i="551" a="1"/>
  <c r="J363" i="551" s="1"/>
  <c r="H363" i="551"/>
  <c r="V362" i="551"/>
  <c r="W362" i="551" s="1"/>
  <c r="N362" i="551"/>
  <c r="K362" i="551" a="1"/>
  <c r="K362" i="551" s="1"/>
  <c r="M362" i="551" s="1"/>
  <c r="J362" i="551" a="1"/>
  <c r="J362" i="551" s="1"/>
  <c r="H362" i="551"/>
  <c r="V361" i="551"/>
  <c r="W361" i="551" s="1"/>
  <c r="N361" i="551"/>
  <c r="K361" i="551" a="1"/>
  <c r="K361" i="551" s="1"/>
  <c r="M361" i="551" s="1"/>
  <c r="J361" i="551" a="1"/>
  <c r="J361" i="551" s="1"/>
  <c r="H361" i="551"/>
  <c r="H360" i="551"/>
  <c r="H359" i="551"/>
  <c r="V358" i="551"/>
  <c r="W358" i="551" s="1"/>
  <c r="N358" i="551"/>
  <c r="K358" i="551"/>
  <c r="M358" i="551" s="1"/>
  <c r="K358" i="551" a="1"/>
  <c r="J358" i="551"/>
  <c r="J358" i="551" a="1"/>
  <c r="H358" i="551"/>
  <c r="V357" i="551"/>
  <c r="W357" i="551" s="1"/>
  <c r="N357" i="551"/>
  <c r="K357" i="551" a="1"/>
  <c r="K357" i="551" s="1"/>
  <c r="M357" i="551" s="1"/>
  <c r="J357" i="551" a="1"/>
  <c r="J357" i="551" s="1"/>
  <c r="H357" i="551"/>
  <c r="K356" i="551" a="1"/>
  <c r="K356" i="551" s="1"/>
  <c r="M356" i="551" s="1"/>
  <c r="H356" i="551"/>
  <c r="K355" i="551" a="1"/>
  <c r="K355" i="551" s="1"/>
  <c r="M355" i="551" s="1"/>
  <c r="H355" i="551"/>
  <c r="W354" i="551"/>
  <c r="V354" i="551"/>
  <c r="N354" i="551"/>
  <c r="K354" i="551" a="1"/>
  <c r="K354" i="551" s="1"/>
  <c r="M354" i="551" s="1"/>
  <c r="J354" i="551" a="1"/>
  <c r="J354" i="551" s="1"/>
  <c r="H354" i="551"/>
  <c r="V353" i="551"/>
  <c r="W353" i="551" s="1"/>
  <c r="N353" i="551"/>
  <c r="K353" i="551" a="1"/>
  <c r="K353" i="551" s="1"/>
  <c r="M353" i="551" s="1"/>
  <c r="J353" i="551" a="1"/>
  <c r="J353" i="551" s="1"/>
  <c r="H353" i="551"/>
  <c r="V352" i="551"/>
  <c r="W352" i="551" s="1"/>
  <c r="N352" i="551"/>
  <c r="K352" i="551"/>
  <c r="M352" i="551" s="1"/>
  <c r="K352" i="551" a="1"/>
  <c r="J352" i="551"/>
  <c r="J352" i="551" a="1"/>
  <c r="H352" i="551"/>
  <c r="V351" i="551"/>
  <c r="W351" i="551" s="1"/>
  <c r="N351" i="551"/>
  <c r="K351" i="551" a="1"/>
  <c r="K351" i="551" s="1"/>
  <c r="M351" i="551" s="1"/>
  <c r="J351" i="551" a="1"/>
  <c r="J351" i="551" s="1"/>
  <c r="H351" i="551"/>
  <c r="W350" i="551"/>
  <c r="V350" i="551"/>
  <c r="N350" i="551"/>
  <c r="K350" i="551" a="1"/>
  <c r="K350" i="551" s="1"/>
  <c r="M350" i="551" s="1"/>
  <c r="J350" i="551" a="1"/>
  <c r="J350" i="551" s="1"/>
  <c r="H350" i="551"/>
  <c r="V349" i="551"/>
  <c r="V370" i="551" s="1"/>
  <c r="N349" i="551"/>
  <c r="K349" i="551" a="1"/>
  <c r="K349" i="551" s="1"/>
  <c r="J349" i="551" a="1"/>
  <c r="J349" i="551" s="1"/>
  <c r="H349" i="551"/>
  <c r="H370" i="551" s="1"/>
  <c r="X343" i="551"/>
  <c r="X342" i="551"/>
  <c r="X341" i="551"/>
  <c r="G341" i="551"/>
  <c r="C341" i="551"/>
  <c r="X340" i="551"/>
  <c r="I340" i="551"/>
  <c r="E340" i="551"/>
  <c r="K340" i="551" s="1"/>
  <c r="M340" i="551" s="1"/>
  <c r="I339" i="551"/>
  <c r="E339" i="551"/>
  <c r="K339" i="551" s="1"/>
  <c r="M339" i="551" s="1"/>
  <c r="I338" i="551"/>
  <c r="E338" i="551"/>
  <c r="K338" i="551" s="1"/>
  <c r="M338" i="551" s="1"/>
  <c r="X337" i="551"/>
  <c r="I337" i="551"/>
  <c r="I341" i="551" s="1"/>
  <c r="E337" i="551"/>
  <c r="K337" i="551" s="1"/>
  <c r="AA334" i="551"/>
  <c r="Z334" i="551"/>
  <c r="Y334" i="551"/>
  <c r="X334" i="551"/>
  <c r="U334" i="551"/>
  <c r="T334" i="551"/>
  <c r="S334" i="551"/>
  <c r="R334" i="551"/>
  <c r="Q334" i="551"/>
  <c r="P334" i="551"/>
  <c r="O334" i="551"/>
  <c r="R342" i="551" s="1"/>
  <c r="I334" i="551"/>
  <c r="G334" i="551"/>
  <c r="K333" i="551" a="1"/>
  <c r="K333" i="551" s="1"/>
  <c r="H333" i="551"/>
  <c r="K332" i="551"/>
  <c r="K332" i="551" a="1"/>
  <c r="H332" i="551"/>
  <c r="K331" i="551" a="1"/>
  <c r="K331" i="551" s="1"/>
  <c r="H331" i="551"/>
  <c r="V330" i="551"/>
  <c r="W330" i="551" s="1"/>
  <c r="N330" i="551"/>
  <c r="K330" i="551" a="1"/>
  <c r="K330" i="551" s="1"/>
  <c r="D330" i="551"/>
  <c r="H330" i="551" s="1"/>
  <c r="H329" i="551"/>
  <c r="K328" i="551" a="1"/>
  <c r="K328" i="551" s="1"/>
  <c r="H328" i="551"/>
  <c r="H327" i="551"/>
  <c r="V326" i="551"/>
  <c r="W326" i="551" s="1"/>
  <c r="N326" i="551"/>
  <c r="K326" i="551" a="1"/>
  <c r="K326" i="551" s="1"/>
  <c r="M326" i="551" s="1"/>
  <c r="J326" i="551" a="1"/>
  <c r="J326" i="551" s="1"/>
  <c r="H326" i="551"/>
  <c r="V325" i="551"/>
  <c r="W325" i="551" s="1"/>
  <c r="N325" i="551"/>
  <c r="K325" i="551" a="1"/>
  <c r="K325" i="551" s="1"/>
  <c r="M325" i="551" s="1"/>
  <c r="J325" i="551" a="1"/>
  <c r="J325" i="551" s="1"/>
  <c r="H325" i="551"/>
  <c r="H324" i="551"/>
  <c r="V323" i="551"/>
  <c r="W323" i="551" s="1"/>
  <c r="N323" i="551"/>
  <c r="K323" i="551" a="1"/>
  <c r="K323" i="551" s="1"/>
  <c r="M323" i="551" s="1"/>
  <c r="J323" i="551" a="1"/>
  <c r="J323" i="551" s="1"/>
  <c r="H323" i="551"/>
  <c r="V322" i="551"/>
  <c r="W322" i="551" s="1"/>
  <c r="N322" i="551"/>
  <c r="K322" i="551"/>
  <c r="M322" i="551" s="1"/>
  <c r="K322" i="551" a="1"/>
  <c r="J322" i="551"/>
  <c r="J322" i="551" a="1"/>
  <c r="H322" i="551"/>
  <c r="V321" i="551"/>
  <c r="W321" i="551" s="1"/>
  <c r="N321" i="551"/>
  <c r="K321" i="551" a="1"/>
  <c r="K321" i="551" s="1"/>
  <c r="M321" i="551" s="1"/>
  <c r="J321" i="551" a="1"/>
  <c r="J321" i="551" s="1"/>
  <c r="H321" i="551"/>
  <c r="V320" i="551"/>
  <c r="V334" i="551" s="1"/>
  <c r="N320" i="551"/>
  <c r="N334" i="551" s="1"/>
  <c r="K320" i="551" a="1"/>
  <c r="K320" i="551" s="1"/>
  <c r="J320" i="551" a="1"/>
  <c r="J320" i="551" s="1"/>
  <c r="H320" i="551"/>
  <c r="H334" i="551" s="1"/>
  <c r="AA319" i="551"/>
  <c r="Z319" i="551"/>
  <c r="Y319" i="551"/>
  <c r="X319" i="551"/>
  <c r="U319" i="551"/>
  <c r="T319" i="551"/>
  <c r="S319" i="551"/>
  <c r="Q319" i="551"/>
  <c r="P319" i="551"/>
  <c r="O319" i="551"/>
  <c r="R341" i="551" s="1"/>
  <c r="I319" i="551"/>
  <c r="G319" i="551"/>
  <c r="J319" i="551" s="1" a="1"/>
  <c r="J319" i="551" s="1"/>
  <c r="V318" i="551"/>
  <c r="W318" i="551" s="1"/>
  <c r="N318" i="551"/>
  <c r="K318" i="551" a="1"/>
  <c r="K318" i="551" s="1"/>
  <c r="M318" i="551" s="1"/>
  <c r="J318" i="551" a="1"/>
  <c r="J318" i="551" s="1"/>
  <c r="H318" i="551"/>
  <c r="H317" i="551"/>
  <c r="H316" i="551"/>
  <c r="H315" i="551"/>
  <c r="H314" i="551"/>
  <c r="W313" i="551"/>
  <c r="V313" i="551"/>
  <c r="N313" i="551"/>
  <c r="K313" i="551" a="1"/>
  <c r="K313" i="551" s="1"/>
  <c r="M313" i="551" s="1"/>
  <c r="J313" i="551" a="1"/>
  <c r="J313" i="551" s="1"/>
  <c r="H313" i="551"/>
  <c r="V312" i="551"/>
  <c r="W312" i="551" s="1"/>
  <c r="N312" i="551"/>
  <c r="K312" i="551" a="1"/>
  <c r="K312" i="551" s="1"/>
  <c r="M312" i="551" s="1"/>
  <c r="J312" i="551" a="1"/>
  <c r="J312" i="551" s="1"/>
  <c r="H312" i="551"/>
  <c r="V311" i="551"/>
  <c r="W311" i="551" s="1"/>
  <c r="N311" i="551"/>
  <c r="K311" i="551"/>
  <c r="M311" i="551" s="1"/>
  <c r="K311" i="551" a="1"/>
  <c r="J311" i="551"/>
  <c r="J311" i="551" a="1"/>
  <c r="H311" i="551"/>
  <c r="V310" i="551"/>
  <c r="W310" i="551" s="1"/>
  <c r="N310" i="551"/>
  <c r="K310" i="551" a="1"/>
  <c r="K310" i="551" s="1"/>
  <c r="M310" i="551" s="1"/>
  <c r="J310" i="551" a="1"/>
  <c r="J310" i="551" s="1"/>
  <c r="H310" i="551"/>
  <c r="W309" i="551"/>
  <c r="V309" i="551"/>
  <c r="V319" i="551" s="1"/>
  <c r="W319" i="551" s="1"/>
  <c r="N309" i="551"/>
  <c r="N319" i="551" s="1"/>
  <c r="K309" i="551" a="1"/>
  <c r="K309" i="551" s="1"/>
  <c r="K319" i="551" s="1"/>
  <c r="J309" i="551" a="1"/>
  <c r="J309" i="551" s="1"/>
  <c r="H309" i="551"/>
  <c r="H319" i="551" s="1"/>
  <c r="AA308" i="551"/>
  <c r="Z308" i="551"/>
  <c r="Y308" i="551"/>
  <c r="X308" i="551"/>
  <c r="U308" i="551"/>
  <c r="T308" i="551"/>
  <c r="S308" i="551"/>
  <c r="Q308" i="551"/>
  <c r="P308" i="551"/>
  <c r="O308" i="551"/>
  <c r="R340" i="551" s="1"/>
  <c r="I308" i="551"/>
  <c r="G308" i="551"/>
  <c r="V307" i="551"/>
  <c r="W307" i="551" s="1"/>
  <c r="N307" i="551"/>
  <c r="K307" i="551" a="1"/>
  <c r="K307" i="551" s="1"/>
  <c r="M307" i="551" s="1"/>
  <c r="J307" i="551" a="1"/>
  <c r="J307" i="551" s="1"/>
  <c r="H307" i="551"/>
  <c r="W306" i="551"/>
  <c r="V306" i="551"/>
  <c r="N306" i="551"/>
  <c r="K306" i="551" a="1"/>
  <c r="K306" i="551" s="1"/>
  <c r="M306" i="551" s="1"/>
  <c r="J306" i="551" a="1"/>
  <c r="J306" i="551" s="1"/>
  <c r="H306" i="551"/>
  <c r="V305" i="551"/>
  <c r="W305" i="551" s="1"/>
  <c r="N305" i="551"/>
  <c r="K305" i="551" a="1"/>
  <c r="K305" i="551" s="1"/>
  <c r="M305" i="551" s="1"/>
  <c r="J305" i="551" a="1"/>
  <c r="J305" i="551" s="1"/>
  <c r="H305" i="551"/>
  <c r="V304" i="551"/>
  <c r="W304" i="551" s="1"/>
  <c r="N304" i="551"/>
  <c r="K304" i="551"/>
  <c r="M304" i="551" s="1"/>
  <c r="K304" i="551" a="1"/>
  <c r="J304" i="551"/>
  <c r="J304" i="551" a="1"/>
  <c r="H304" i="551"/>
  <c r="V303" i="551"/>
  <c r="W303" i="551" s="1"/>
  <c r="N303" i="551"/>
  <c r="K303" i="551" a="1"/>
  <c r="K303" i="551" s="1"/>
  <c r="M303" i="551" s="1"/>
  <c r="J303" i="551" a="1"/>
  <c r="J303" i="551" s="1"/>
  <c r="H303" i="551"/>
  <c r="V302" i="551"/>
  <c r="W302" i="551" s="1"/>
  <c r="N302" i="551"/>
  <c r="K302" i="551" a="1"/>
  <c r="K302" i="551" s="1"/>
  <c r="M302" i="551" s="1"/>
  <c r="J302" i="551" a="1"/>
  <c r="J302" i="551" s="1"/>
  <c r="H302" i="551"/>
  <c r="V301" i="551"/>
  <c r="W301" i="551" s="1"/>
  <c r="N301" i="551"/>
  <c r="K301" i="551"/>
  <c r="M301" i="551" s="1"/>
  <c r="K301" i="551" a="1"/>
  <c r="J301" i="551"/>
  <c r="J301" i="551" a="1"/>
  <c r="H301" i="551"/>
  <c r="V300" i="551"/>
  <c r="W300" i="551" s="1"/>
  <c r="N300" i="551"/>
  <c r="K300" i="551"/>
  <c r="M300" i="551" s="1"/>
  <c r="K300" i="551" a="1"/>
  <c r="J300" i="551"/>
  <c r="J300" i="551" a="1"/>
  <c r="H300" i="551"/>
  <c r="V299" i="551"/>
  <c r="W299" i="551" s="1"/>
  <c r="N299" i="551"/>
  <c r="K299" i="551" a="1"/>
  <c r="K299" i="551" s="1"/>
  <c r="M299" i="551" s="1"/>
  <c r="J299" i="551" a="1"/>
  <c r="J299" i="551" s="1"/>
  <c r="H299" i="551"/>
  <c r="W298" i="551"/>
  <c r="V298" i="551"/>
  <c r="N298" i="551"/>
  <c r="K298" i="551" a="1"/>
  <c r="K298" i="551" s="1"/>
  <c r="M298" i="551" s="1"/>
  <c r="J298" i="551" a="1"/>
  <c r="J298" i="551" s="1"/>
  <c r="H298" i="551"/>
  <c r="V297" i="551"/>
  <c r="W297" i="551" s="1"/>
  <c r="N297" i="551"/>
  <c r="K297" i="551" a="1"/>
  <c r="K297" i="551" s="1"/>
  <c r="M297" i="551" s="1"/>
  <c r="J297" i="551" a="1"/>
  <c r="J297" i="551" s="1"/>
  <c r="H297" i="551"/>
  <c r="V296" i="551"/>
  <c r="W296" i="551" s="1"/>
  <c r="N296" i="551"/>
  <c r="K296" i="551"/>
  <c r="M296" i="551" s="1"/>
  <c r="K296" i="551" a="1"/>
  <c r="J296" i="551"/>
  <c r="J296" i="551" a="1"/>
  <c r="H296" i="551"/>
  <c r="V295" i="551"/>
  <c r="W295" i="551" s="1"/>
  <c r="N295" i="551"/>
  <c r="K295" i="551" a="1"/>
  <c r="K295" i="551" s="1"/>
  <c r="M295" i="551" s="1"/>
  <c r="J295" i="551" a="1"/>
  <c r="J295" i="551" s="1"/>
  <c r="H295" i="551"/>
  <c r="W294" i="551"/>
  <c r="V294" i="551"/>
  <c r="N294" i="551"/>
  <c r="K294" i="551" a="1"/>
  <c r="K294" i="551" s="1"/>
  <c r="M294" i="551" s="1"/>
  <c r="J294" i="551" a="1"/>
  <c r="J294" i="551" s="1"/>
  <c r="H294" i="551"/>
  <c r="V293" i="551"/>
  <c r="W293" i="551" s="1"/>
  <c r="N293" i="551"/>
  <c r="N308" i="551" s="1"/>
  <c r="K293" i="551" a="1"/>
  <c r="K293" i="551" s="1"/>
  <c r="J293" i="551" a="1"/>
  <c r="J293" i="551" s="1"/>
  <c r="H293" i="551"/>
  <c r="AA292" i="551"/>
  <c r="Z292" i="551"/>
  <c r="Y292" i="551"/>
  <c r="X292" i="551"/>
  <c r="U292" i="551"/>
  <c r="T292" i="551"/>
  <c r="S292" i="551"/>
  <c r="R292" i="551"/>
  <c r="Q292" i="551"/>
  <c r="P292" i="551"/>
  <c r="O292" i="551"/>
  <c r="R339" i="551" s="1"/>
  <c r="I292" i="551"/>
  <c r="G292" i="551"/>
  <c r="V291" i="551"/>
  <c r="W291" i="551" s="1"/>
  <c r="N291" i="551"/>
  <c r="K291" i="551" a="1"/>
  <c r="K291" i="551" s="1"/>
  <c r="M291" i="551" s="1"/>
  <c r="J291" i="551" a="1"/>
  <c r="J291" i="551" s="1"/>
  <c r="H291" i="551"/>
  <c r="W290" i="551"/>
  <c r="V290" i="551"/>
  <c r="N290" i="551"/>
  <c r="K290" i="551" a="1"/>
  <c r="K290" i="551" s="1"/>
  <c r="M290" i="551" s="1"/>
  <c r="J290" i="551" a="1"/>
  <c r="J290" i="551" s="1"/>
  <c r="H290" i="551"/>
  <c r="V289" i="551"/>
  <c r="W289" i="551" s="1"/>
  <c r="N289" i="551"/>
  <c r="K289" i="551" a="1"/>
  <c r="K289" i="551" s="1"/>
  <c r="M289" i="551" s="1"/>
  <c r="J289" i="551" a="1"/>
  <c r="J289" i="551" s="1"/>
  <c r="H289" i="551"/>
  <c r="H288" i="551"/>
  <c r="H287" i="551"/>
  <c r="H286" i="551"/>
  <c r="V285" i="551"/>
  <c r="W285" i="551" s="1"/>
  <c r="N285" i="551"/>
  <c r="K285" i="551" a="1"/>
  <c r="K285" i="551" s="1"/>
  <c r="M285" i="551" s="1"/>
  <c r="J285" i="551" a="1"/>
  <c r="J285" i="551" s="1"/>
  <c r="H285" i="551"/>
  <c r="V284" i="551"/>
  <c r="W284" i="551" s="1"/>
  <c r="N284" i="551"/>
  <c r="K284" i="551"/>
  <c r="M284" i="551" s="1"/>
  <c r="K284" i="551" a="1"/>
  <c r="J284" i="551"/>
  <c r="J284" i="551" a="1"/>
  <c r="H284" i="551"/>
  <c r="N283" i="551"/>
  <c r="K283" i="551" a="1"/>
  <c r="K283" i="551" s="1"/>
  <c r="M283" i="551" s="1"/>
  <c r="H283" i="551"/>
  <c r="N282" i="551"/>
  <c r="K282" i="551" a="1"/>
  <c r="K282" i="551" s="1"/>
  <c r="M282" i="551" s="1"/>
  <c r="H282" i="551"/>
  <c r="N281" i="551"/>
  <c r="K281" i="551" a="1"/>
  <c r="K281" i="551" s="1"/>
  <c r="M281" i="551" s="1"/>
  <c r="H281" i="551"/>
  <c r="N280" i="551"/>
  <c r="K280" i="551"/>
  <c r="M280" i="551" s="1"/>
  <c r="K280" i="551" a="1"/>
  <c r="H280" i="551"/>
  <c r="N279" i="551"/>
  <c r="K279" i="551" a="1"/>
  <c r="K279" i="551" s="1"/>
  <c r="M279" i="551" s="1"/>
  <c r="H279" i="551"/>
  <c r="N278" i="551"/>
  <c r="K278" i="551" a="1"/>
  <c r="K278" i="551" s="1"/>
  <c r="M278" i="551" s="1"/>
  <c r="H278" i="551"/>
  <c r="V277" i="551"/>
  <c r="W277" i="551" s="1"/>
  <c r="N277" i="551"/>
  <c r="K277" i="551" a="1"/>
  <c r="K277" i="551" s="1"/>
  <c r="M277" i="551" s="1"/>
  <c r="J277" i="551" a="1"/>
  <c r="J277" i="551" s="1"/>
  <c r="H277" i="551"/>
  <c r="V276" i="551"/>
  <c r="W276" i="551" s="1"/>
  <c r="N276" i="551"/>
  <c r="K276" i="551"/>
  <c r="M276" i="551" s="1"/>
  <c r="K276" i="551" a="1"/>
  <c r="J276" i="551"/>
  <c r="J276" i="551" a="1"/>
  <c r="H276" i="551"/>
  <c r="V275" i="551"/>
  <c r="W275" i="551" s="1"/>
  <c r="N275" i="551"/>
  <c r="K275" i="551" a="1"/>
  <c r="K275" i="551" s="1"/>
  <c r="M275" i="551" s="1"/>
  <c r="J275" i="551" a="1"/>
  <c r="J275" i="551" s="1"/>
  <c r="H275" i="551"/>
  <c r="W274" i="551"/>
  <c r="V274" i="551"/>
  <c r="N274" i="551"/>
  <c r="K274" i="551" a="1"/>
  <c r="K274" i="551" s="1"/>
  <c r="M274" i="551" s="1"/>
  <c r="J274" i="551" a="1"/>
  <c r="J274" i="551" s="1"/>
  <c r="H274" i="551"/>
  <c r="V273" i="551"/>
  <c r="W273" i="551" s="1"/>
  <c r="N273" i="551"/>
  <c r="K273" i="551" a="1"/>
  <c r="K273" i="551" s="1"/>
  <c r="M273" i="551" s="1"/>
  <c r="J273" i="551" a="1"/>
  <c r="J273" i="551" s="1"/>
  <c r="H273" i="551"/>
  <c r="V272" i="551"/>
  <c r="W272" i="551" s="1"/>
  <c r="N272" i="551"/>
  <c r="K272" i="551"/>
  <c r="M272" i="551" s="1"/>
  <c r="K272" i="551" a="1"/>
  <c r="J272" i="551"/>
  <c r="J272" i="551" a="1"/>
  <c r="H272" i="551"/>
  <c r="V271" i="551"/>
  <c r="W271" i="551" s="1"/>
  <c r="N271" i="551"/>
  <c r="K271" i="551" a="1"/>
  <c r="K271" i="551" s="1"/>
  <c r="M271" i="551" s="1"/>
  <c r="J271" i="551" a="1"/>
  <c r="J271" i="551" s="1"/>
  <c r="H271" i="551"/>
  <c r="W270" i="551"/>
  <c r="V270" i="551"/>
  <c r="N270" i="551"/>
  <c r="K270" i="551" a="1"/>
  <c r="K270" i="551" s="1"/>
  <c r="M270" i="551" s="1"/>
  <c r="J270" i="551" a="1"/>
  <c r="J270" i="551" s="1"/>
  <c r="H270" i="551"/>
  <c r="V269" i="551"/>
  <c r="W269" i="551" s="1"/>
  <c r="N269" i="551"/>
  <c r="K269" i="551" a="1"/>
  <c r="K269" i="551" s="1"/>
  <c r="M269" i="551" s="1"/>
  <c r="J269" i="551" a="1"/>
  <c r="J269" i="551" s="1"/>
  <c r="H269" i="551"/>
  <c r="V268" i="551"/>
  <c r="W268" i="551" s="1"/>
  <c r="N268" i="551"/>
  <c r="K268" i="551"/>
  <c r="M268" i="551" s="1"/>
  <c r="K268" i="551" a="1"/>
  <c r="J268" i="551"/>
  <c r="J268" i="551" a="1"/>
  <c r="H268" i="551"/>
  <c r="V267" i="551"/>
  <c r="W267" i="551" s="1"/>
  <c r="N267" i="551"/>
  <c r="K267" i="551" a="1"/>
  <c r="K267" i="551" s="1"/>
  <c r="M267" i="551" s="1"/>
  <c r="J267" i="551" a="1"/>
  <c r="J267" i="551" s="1"/>
  <c r="H267" i="551"/>
  <c r="W266" i="551"/>
  <c r="V266" i="551"/>
  <c r="N266" i="551"/>
  <c r="K266" i="551" a="1"/>
  <c r="K266" i="551" s="1"/>
  <c r="M266" i="551" s="1"/>
  <c r="J266" i="551" a="1"/>
  <c r="J266" i="551" s="1"/>
  <c r="H266" i="551"/>
  <c r="N265" i="551"/>
  <c r="K265" i="551" a="1"/>
  <c r="K265" i="551" s="1"/>
  <c r="M265" i="551" s="1"/>
  <c r="H265" i="551"/>
  <c r="V264" i="551"/>
  <c r="W264" i="551" s="1"/>
  <c r="N264" i="551"/>
  <c r="K264" i="551"/>
  <c r="M264" i="551" s="1"/>
  <c r="K264" i="551" a="1"/>
  <c r="J264" i="551"/>
  <c r="J264" i="551" a="1"/>
  <c r="H264" i="551"/>
  <c r="V263" i="551"/>
  <c r="W263" i="551" s="1"/>
  <c r="N263" i="551"/>
  <c r="K263" i="551" a="1"/>
  <c r="K263" i="551" s="1"/>
  <c r="M263" i="551" s="1"/>
  <c r="J263" i="551" a="1"/>
  <c r="J263" i="551" s="1"/>
  <c r="H263" i="551"/>
  <c r="W262" i="551"/>
  <c r="V262" i="551"/>
  <c r="N262" i="551"/>
  <c r="K262" i="551" a="1"/>
  <c r="K262" i="551" s="1"/>
  <c r="M262" i="551" s="1"/>
  <c r="J262" i="551" a="1"/>
  <c r="J262" i="551" s="1"/>
  <c r="H262" i="551"/>
  <c r="V261" i="551"/>
  <c r="W261" i="551" s="1"/>
  <c r="N261" i="551"/>
  <c r="K261" i="551" a="1"/>
  <c r="K261" i="551" s="1"/>
  <c r="M261" i="551" s="1"/>
  <c r="J261" i="551" a="1"/>
  <c r="J261" i="551" s="1"/>
  <c r="H261" i="551"/>
  <c r="V260" i="551"/>
  <c r="W260" i="551" s="1"/>
  <c r="N260" i="551"/>
  <c r="K260" i="551"/>
  <c r="M260" i="551" s="1"/>
  <c r="K260" i="551" a="1"/>
  <c r="J260" i="551"/>
  <c r="J260" i="551" a="1"/>
  <c r="H260" i="551"/>
  <c r="V259" i="551"/>
  <c r="W259" i="551" s="1"/>
  <c r="N259" i="551"/>
  <c r="K259" i="551" a="1"/>
  <c r="K259" i="551" s="1"/>
  <c r="M259" i="551" s="1"/>
  <c r="J259" i="551" a="1"/>
  <c r="J259" i="551" s="1"/>
  <c r="H259" i="551"/>
  <c r="W258" i="551"/>
  <c r="V258" i="551"/>
  <c r="N258" i="551"/>
  <c r="N292" i="551" s="1"/>
  <c r="K258" i="551" a="1"/>
  <c r="K258" i="551" s="1"/>
  <c r="J258" i="551" a="1"/>
  <c r="J258" i="551" s="1"/>
  <c r="H258" i="551"/>
  <c r="AA257" i="551"/>
  <c r="Z257" i="551"/>
  <c r="Y257" i="551"/>
  <c r="X257" i="551"/>
  <c r="U257" i="551"/>
  <c r="T257" i="551"/>
  <c r="S257" i="551"/>
  <c r="R257" i="551"/>
  <c r="Q257" i="551"/>
  <c r="P257" i="551"/>
  <c r="O257" i="551"/>
  <c r="I257" i="551"/>
  <c r="G257" i="551"/>
  <c r="H256" i="551"/>
  <c r="H255" i="551"/>
  <c r="H254" i="551"/>
  <c r="H253" i="551"/>
  <c r="H252" i="551"/>
  <c r="H251" i="551"/>
  <c r="K250" i="551" a="1"/>
  <c r="K250" i="551" s="1"/>
  <c r="M250" i="551" s="1"/>
  <c r="H250" i="551"/>
  <c r="K249" i="551" a="1"/>
  <c r="K249" i="551" s="1"/>
  <c r="M249" i="551" s="1"/>
  <c r="H249" i="551"/>
  <c r="K248" i="551" a="1"/>
  <c r="K248" i="551" s="1"/>
  <c r="M248" i="551" s="1"/>
  <c r="H248" i="551"/>
  <c r="K247" i="551" a="1"/>
  <c r="K247" i="551" s="1"/>
  <c r="M247" i="551" s="1"/>
  <c r="H247" i="551"/>
  <c r="W246" i="551"/>
  <c r="V246" i="551"/>
  <c r="N246" i="551"/>
  <c r="K246" i="551" a="1"/>
  <c r="K246" i="551" s="1"/>
  <c r="M246" i="551" s="1"/>
  <c r="J246" i="551" a="1"/>
  <c r="J246" i="551" s="1"/>
  <c r="H246" i="551"/>
  <c r="V245" i="551"/>
  <c r="W245" i="551" s="1"/>
  <c r="N245" i="551"/>
  <c r="K245" i="551" a="1"/>
  <c r="K245" i="551" s="1"/>
  <c r="M245" i="551" s="1"/>
  <c r="J245" i="551" a="1"/>
  <c r="J245" i="551" s="1"/>
  <c r="H245" i="551"/>
  <c r="V244" i="551"/>
  <c r="W244" i="551" s="1"/>
  <c r="N244" i="551"/>
  <c r="K244" i="551"/>
  <c r="M244" i="551" s="1"/>
  <c r="K244" i="551" a="1"/>
  <c r="J244" i="551"/>
  <c r="J244" i="551" a="1"/>
  <c r="H244" i="551"/>
  <c r="V243" i="551"/>
  <c r="W243" i="551" s="1"/>
  <c r="N243" i="551"/>
  <c r="K243" i="551" a="1"/>
  <c r="K243" i="551" s="1"/>
  <c r="M243" i="551" s="1"/>
  <c r="J243" i="551" a="1"/>
  <c r="J243" i="551" s="1"/>
  <c r="H243" i="551"/>
  <c r="M242" i="551"/>
  <c r="H242" i="551"/>
  <c r="W241" i="551"/>
  <c r="V241" i="551"/>
  <c r="N241" i="551"/>
  <c r="K241" i="551" a="1"/>
  <c r="K241" i="551" s="1"/>
  <c r="M241" i="551" s="1"/>
  <c r="J241" i="551" a="1"/>
  <c r="J241" i="551" s="1"/>
  <c r="H241" i="551"/>
  <c r="V240" i="551"/>
  <c r="W240" i="551" s="1"/>
  <c r="N240" i="551"/>
  <c r="K240" i="551" a="1"/>
  <c r="K240" i="551" s="1"/>
  <c r="M240" i="551" s="1"/>
  <c r="J240" i="551" a="1"/>
  <c r="J240" i="551" s="1"/>
  <c r="H240" i="551"/>
  <c r="K239" i="551" a="1"/>
  <c r="K239" i="551" s="1"/>
  <c r="M239" i="551" s="1"/>
  <c r="H239" i="551"/>
  <c r="H238" i="551"/>
  <c r="V237" i="551"/>
  <c r="W237" i="551" s="1"/>
  <c r="N237" i="551"/>
  <c r="K237" i="551" a="1"/>
  <c r="K237" i="551" s="1"/>
  <c r="M237" i="551" s="1"/>
  <c r="J237" i="551" a="1"/>
  <c r="J237" i="551" s="1"/>
  <c r="H237" i="551"/>
  <c r="W236" i="551"/>
  <c r="V236" i="551"/>
  <c r="N236" i="551"/>
  <c r="K236" i="551" a="1"/>
  <c r="K236" i="551" s="1"/>
  <c r="M236" i="551" s="1"/>
  <c r="J236" i="551" a="1"/>
  <c r="J236" i="551" s="1"/>
  <c r="H236" i="551"/>
  <c r="V235" i="551"/>
  <c r="W235" i="551" s="1"/>
  <c r="N235" i="551"/>
  <c r="K235" i="551" a="1"/>
  <c r="K235" i="551" s="1"/>
  <c r="M235" i="551" s="1"/>
  <c r="J235" i="551" a="1"/>
  <c r="J235" i="551" s="1"/>
  <c r="H235" i="551"/>
  <c r="V234" i="551"/>
  <c r="W234" i="551" s="1"/>
  <c r="N234" i="551"/>
  <c r="K234" i="551" a="1"/>
  <c r="K234" i="551" s="1"/>
  <c r="M234" i="551" s="1"/>
  <c r="J234" i="551" a="1"/>
  <c r="J234" i="551" s="1"/>
  <c r="H234" i="551"/>
  <c r="V233" i="551"/>
  <c r="W233" i="551" s="1"/>
  <c r="N233" i="551"/>
  <c r="K233" i="551" a="1"/>
  <c r="K233" i="551" s="1"/>
  <c r="M233" i="551" s="1"/>
  <c r="J233" i="551" a="1"/>
  <c r="J233" i="551" s="1"/>
  <c r="H233" i="551"/>
  <c r="V232" i="551"/>
  <c r="W232" i="551" s="1"/>
  <c r="N232" i="551"/>
  <c r="K232" i="551"/>
  <c r="M232" i="551" s="1"/>
  <c r="K232" i="551" a="1"/>
  <c r="J232" i="551"/>
  <c r="J232" i="551" a="1"/>
  <c r="H232" i="551"/>
  <c r="V231" i="551"/>
  <c r="W231" i="551" s="1"/>
  <c r="N231" i="551"/>
  <c r="K231" i="551" a="1"/>
  <c r="K231" i="551" s="1"/>
  <c r="M231" i="551" s="1"/>
  <c r="J231" i="551" a="1"/>
  <c r="J231" i="551" s="1"/>
  <c r="H231" i="551"/>
  <c r="W230" i="551"/>
  <c r="V230" i="551"/>
  <c r="N230" i="551"/>
  <c r="K230" i="551" a="1"/>
  <c r="K230" i="551" s="1"/>
  <c r="M230" i="551" s="1"/>
  <c r="J230" i="551" a="1"/>
  <c r="J230" i="551" s="1"/>
  <c r="H230" i="551"/>
  <c r="V229" i="551"/>
  <c r="W229" i="551" s="1"/>
  <c r="N229" i="551"/>
  <c r="K229" i="551" a="1"/>
  <c r="K229" i="551" s="1"/>
  <c r="M229" i="551" s="1"/>
  <c r="J229" i="551" a="1"/>
  <c r="J229" i="551" s="1"/>
  <c r="H229" i="551"/>
  <c r="V228" i="551"/>
  <c r="W228" i="551" s="1"/>
  <c r="N228" i="551"/>
  <c r="K228" i="551"/>
  <c r="M228" i="551" s="1"/>
  <c r="K228" i="551" a="1"/>
  <c r="J228" i="551"/>
  <c r="J228" i="551" a="1"/>
  <c r="H228" i="551"/>
  <c r="N227" i="551"/>
  <c r="K227" i="551" a="1"/>
  <c r="K227" i="551" s="1"/>
  <c r="M227" i="551" s="1"/>
  <c r="H227" i="551"/>
  <c r="N226" i="551"/>
  <c r="K226" i="551" a="1"/>
  <c r="K226" i="551" s="1"/>
  <c r="M226" i="551" s="1"/>
  <c r="H226" i="551"/>
  <c r="N225" i="551"/>
  <c r="K225" i="551" a="1"/>
  <c r="K225" i="551" s="1"/>
  <c r="M225" i="551" s="1"/>
  <c r="H225" i="551"/>
  <c r="N224" i="551"/>
  <c r="K224" i="551"/>
  <c r="M224" i="551" s="1"/>
  <c r="K224" i="551" a="1"/>
  <c r="H224" i="551"/>
  <c r="N223" i="551"/>
  <c r="K223" i="551" a="1"/>
  <c r="K223" i="551" s="1"/>
  <c r="M223" i="551" s="1"/>
  <c r="H223" i="551"/>
  <c r="N222" i="551"/>
  <c r="K222" i="551" a="1"/>
  <c r="K222" i="551" s="1"/>
  <c r="M222" i="551" s="1"/>
  <c r="H222" i="551"/>
  <c r="N221" i="551"/>
  <c r="K221" i="551" a="1"/>
  <c r="K221" i="551" s="1"/>
  <c r="M221" i="551" s="1"/>
  <c r="H221" i="551"/>
  <c r="N220" i="551"/>
  <c r="K220" i="551"/>
  <c r="M220" i="551" s="1"/>
  <c r="K220" i="551" a="1"/>
  <c r="H220" i="551"/>
  <c r="V219" i="551"/>
  <c r="W219" i="551" s="1"/>
  <c r="N219" i="551"/>
  <c r="K219" i="551" a="1"/>
  <c r="K219" i="551" s="1"/>
  <c r="M219" i="551" s="1"/>
  <c r="J219" i="551" a="1"/>
  <c r="J219" i="551" s="1"/>
  <c r="H219" i="551"/>
  <c r="V218" i="551"/>
  <c r="W218" i="551" s="1"/>
  <c r="N218" i="551"/>
  <c r="K218" i="551" a="1"/>
  <c r="K218" i="551" s="1"/>
  <c r="M218" i="551" s="1"/>
  <c r="J218" i="551" a="1"/>
  <c r="J218" i="551" s="1"/>
  <c r="H218" i="551"/>
  <c r="V217" i="551"/>
  <c r="W217" i="551" s="1"/>
  <c r="N217" i="551"/>
  <c r="K217" i="551" a="1"/>
  <c r="K217" i="551" s="1"/>
  <c r="M217" i="551" s="1"/>
  <c r="J217" i="551" a="1"/>
  <c r="J217" i="551" s="1"/>
  <c r="H217" i="551"/>
  <c r="V216" i="551"/>
  <c r="W216" i="551" s="1"/>
  <c r="N216" i="551"/>
  <c r="K216" i="551"/>
  <c r="M216" i="551" s="1"/>
  <c r="K216" i="551" a="1"/>
  <c r="J216" i="551"/>
  <c r="J216" i="551" a="1"/>
  <c r="H216" i="551"/>
  <c r="V215" i="551"/>
  <c r="W215" i="551" s="1"/>
  <c r="N215" i="551"/>
  <c r="K215" i="551" a="1"/>
  <c r="K215" i="551" s="1"/>
  <c r="M215" i="551" s="1"/>
  <c r="J215" i="551" a="1"/>
  <c r="J215" i="551" s="1"/>
  <c r="H215" i="551"/>
  <c r="V214" i="551"/>
  <c r="W214" i="551" s="1"/>
  <c r="N214" i="551"/>
  <c r="K214" i="551" a="1"/>
  <c r="K214" i="551" s="1"/>
  <c r="M214" i="551" s="1"/>
  <c r="J214" i="551" a="1"/>
  <c r="J214" i="551" s="1"/>
  <c r="H214" i="551"/>
  <c r="V213" i="551"/>
  <c r="W213" i="551" s="1"/>
  <c r="N213" i="551"/>
  <c r="K213" i="551" a="1"/>
  <c r="K213" i="551" s="1"/>
  <c r="M213" i="551" s="1"/>
  <c r="J213" i="551" a="1"/>
  <c r="J213" i="551" s="1"/>
  <c r="H213" i="551"/>
  <c r="V212" i="551"/>
  <c r="W212" i="551" s="1"/>
  <c r="N212" i="551"/>
  <c r="K212" i="551"/>
  <c r="M212" i="551" s="1"/>
  <c r="K212" i="551" a="1"/>
  <c r="J212" i="551"/>
  <c r="J212" i="551" a="1"/>
  <c r="H212" i="551"/>
  <c r="V211" i="551"/>
  <c r="W211" i="551" s="1"/>
  <c r="N211" i="551"/>
  <c r="K211" i="551" a="1"/>
  <c r="K211" i="551" s="1"/>
  <c r="M211" i="551" s="1"/>
  <c r="J211" i="551" a="1"/>
  <c r="J211" i="551" s="1"/>
  <c r="H211" i="551"/>
  <c r="V210" i="551"/>
  <c r="W210" i="551" s="1"/>
  <c r="N210" i="551"/>
  <c r="K210" i="551" a="1"/>
  <c r="K210" i="551" s="1"/>
  <c r="M210" i="551" s="1"/>
  <c r="J210" i="551" a="1"/>
  <c r="J210" i="551" s="1"/>
  <c r="H210" i="551"/>
  <c r="V209" i="551"/>
  <c r="W209" i="551" s="1"/>
  <c r="N209" i="551"/>
  <c r="K209" i="551" a="1"/>
  <c r="K209" i="551" s="1"/>
  <c r="M209" i="551" s="1"/>
  <c r="J209" i="551" a="1"/>
  <c r="J209" i="551" s="1"/>
  <c r="H209" i="551"/>
  <c r="V208" i="551"/>
  <c r="W208" i="551" s="1"/>
  <c r="N208" i="551"/>
  <c r="K208" i="551"/>
  <c r="M208" i="551" s="1"/>
  <c r="K208" i="551" a="1"/>
  <c r="J208" i="551"/>
  <c r="J208" i="551" a="1"/>
  <c r="H208" i="551"/>
  <c r="H207" i="551"/>
  <c r="H206" i="551"/>
  <c r="H205" i="551"/>
  <c r="W204" i="551"/>
  <c r="V204" i="551"/>
  <c r="N204" i="551"/>
  <c r="K204" i="551" a="1"/>
  <c r="K204" i="551" s="1"/>
  <c r="M204" i="551" s="1"/>
  <c r="J204" i="551" a="1"/>
  <c r="J204" i="551" s="1"/>
  <c r="H204" i="551"/>
  <c r="V203" i="551"/>
  <c r="W203" i="551" s="1"/>
  <c r="N203" i="551"/>
  <c r="K203" i="551" a="1"/>
  <c r="K203" i="551" s="1"/>
  <c r="M203" i="551" s="1"/>
  <c r="J203" i="551" a="1"/>
  <c r="J203" i="551" s="1"/>
  <c r="H203" i="551"/>
  <c r="V202" i="551"/>
  <c r="W202" i="551" s="1"/>
  <c r="N202" i="551"/>
  <c r="K202" i="551"/>
  <c r="M202" i="551" s="1"/>
  <c r="K202" i="551" a="1"/>
  <c r="J202" i="551"/>
  <c r="J202" i="551" a="1"/>
  <c r="H202" i="551"/>
  <c r="H201" i="551"/>
  <c r="V200" i="551"/>
  <c r="V257" i="551" s="1"/>
  <c r="W257" i="551" s="1"/>
  <c r="N200" i="551"/>
  <c r="N257" i="551" s="1"/>
  <c r="K200" i="551" a="1"/>
  <c r="K200" i="551" s="1"/>
  <c r="M200" i="551" s="1"/>
  <c r="J200" i="551" a="1"/>
  <c r="J200" i="551" s="1"/>
  <c r="H200" i="551"/>
  <c r="H257" i="551" s="1"/>
  <c r="AA199" i="551"/>
  <c r="AA335" i="551" s="1"/>
  <c r="Z199" i="551"/>
  <c r="Z335" i="551" s="1"/>
  <c r="Y199" i="551"/>
  <c r="Y335" i="551" s="1"/>
  <c r="X199" i="551"/>
  <c r="X335" i="551" s="1"/>
  <c r="U199" i="551"/>
  <c r="U335" i="551" s="1"/>
  <c r="T199" i="551"/>
  <c r="T335" i="551" s="1"/>
  <c r="S199" i="551"/>
  <c r="S335" i="551" s="1"/>
  <c r="R199" i="551"/>
  <c r="R335" i="551" s="1"/>
  <c r="Q199" i="551"/>
  <c r="Q335" i="551" s="1"/>
  <c r="P199" i="551"/>
  <c r="O199" i="551"/>
  <c r="I199" i="551"/>
  <c r="I335" i="551" s="1"/>
  <c r="B343" i="551" s="1"/>
  <c r="G199" i="551"/>
  <c r="G335" i="551" s="1"/>
  <c r="W198" i="551"/>
  <c r="V198" i="551"/>
  <c r="N198" i="551"/>
  <c r="K198" i="551"/>
  <c r="M198" i="551" s="1"/>
  <c r="K198" i="551" a="1"/>
  <c r="J198" i="551" a="1"/>
  <c r="J198" i="551" s="1"/>
  <c r="H198" i="551"/>
  <c r="V197" i="551"/>
  <c r="W197" i="551" s="1"/>
  <c r="N197" i="551"/>
  <c r="K197" i="551" a="1"/>
  <c r="K197" i="551" s="1"/>
  <c r="M197" i="551" s="1"/>
  <c r="J197" i="551" a="1"/>
  <c r="J197" i="551" s="1"/>
  <c r="H197" i="551"/>
  <c r="K196" i="551" a="1"/>
  <c r="K196" i="551" s="1"/>
  <c r="M196" i="551" s="1"/>
  <c r="H196" i="551"/>
  <c r="K195" i="551" a="1"/>
  <c r="K195" i="551" s="1"/>
  <c r="M195" i="551" s="1"/>
  <c r="H195" i="551"/>
  <c r="K194" i="551" a="1"/>
  <c r="K194" i="551" s="1"/>
  <c r="M194" i="551" s="1"/>
  <c r="H194" i="551"/>
  <c r="K193" i="551" a="1"/>
  <c r="K193" i="551" s="1"/>
  <c r="M193" i="551" s="1"/>
  <c r="H193" i="551"/>
  <c r="W192" i="551"/>
  <c r="V192" i="551"/>
  <c r="N192" i="551"/>
  <c r="K192" i="551" a="1"/>
  <c r="K192" i="551" s="1"/>
  <c r="M192" i="551" s="1"/>
  <c r="J192" i="551" a="1"/>
  <c r="J192" i="551" s="1"/>
  <c r="H192" i="551"/>
  <c r="V191" i="551"/>
  <c r="W191" i="551" s="1"/>
  <c r="N191" i="551"/>
  <c r="K191" i="551" a="1"/>
  <c r="K191" i="551" s="1"/>
  <c r="M191" i="551" s="1"/>
  <c r="J191" i="551" a="1"/>
  <c r="J191" i="551" s="1"/>
  <c r="H191" i="551"/>
  <c r="W190" i="551"/>
  <c r="V190" i="551"/>
  <c r="N190" i="551"/>
  <c r="K190" i="551"/>
  <c r="M190" i="551" s="1"/>
  <c r="K190" i="551" a="1"/>
  <c r="J190" i="551" a="1"/>
  <c r="J190" i="551" s="1"/>
  <c r="H190" i="551"/>
  <c r="N189" i="551"/>
  <c r="K189" i="551" a="1"/>
  <c r="K189" i="551" s="1"/>
  <c r="M189" i="551" s="1"/>
  <c r="J189" i="551" a="1"/>
  <c r="J189" i="551" s="1"/>
  <c r="H189" i="551"/>
  <c r="N188" i="551"/>
  <c r="K188" i="551" a="1"/>
  <c r="K188" i="551" s="1"/>
  <c r="M188" i="551" s="1"/>
  <c r="J188" i="551" a="1"/>
  <c r="J188" i="551" s="1"/>
  <c r="H188" i="551"/>
  <c r="V187" i="551"/>
  <c r="W187" i="551" s="1"/>
  <c r="N187" i="551"/>
  <c r="K187" i="551" a="1"/>
  <c r="K187" i="551" s="1"/>
  <c r="M187" i="551" s="1"/>
  <c r="J187" i="551" a="1"/>
  <c r="J187" i="551" s="1"/>
  <c r="H187" i="551"/>
  <c r="V186" i="551"/>
  <c r="W186" i="551" s="1"/>
  <c r="N186" i="551"/>
  <c r="K186" i="551" a="1"/>
  <c r="K186" i="551" s="1"/>
  <c r="M186" i="551" s="1"/>
  <c r="J186" i="551" a="1"/>
  <c r="J186" i="551" s="1"/>
  <c r="H186" i="551"/>
  <c r="N185" i="551"/>
  <c r="K185" i="551" a="1"/>
  <c r="K185" i="551" s="1"/>
  <c r="M185" i="551" s="1"/>
  <c r="H185" i="551"/>
  <c r="N184" i="551"/>
  <c r="K184" i="551"/>
  <c r="M184" i="551" s="1"/>
  <c r="K184" i="551" a="1"/>
  <c r="H184" i="551"/>
  <c r="V183" i="551"/>
  <c r="W183" i="551" s="1"/>
  <c r="N183" i="551"/>
  <c r="K183" i="551" a="1"/>
  <c r="K183" i="551" s="1"/>
  <c r="M183" i="551" s="1"/>
  <c r="J183" i="551" a="1"/>
  <c r="J183" i="551" s="1"/>
  <c r="H183" i="551"/>
  <c r="W182" i="551"/>
  <c r="V182" i="551"/>
  <c r="N182" i="551"/>
  <c r="K182" i="551" a="1"/>
  <c r="K182" i="551" s="1"/>
  <c r="M182" i="551" s="1"/>
  <c r="J182" i="551" a="1"/>
  <c r="J182" i="551" s="1"/>
  <c r="H182" i="551"/>
  <c r="V181" i="551"/>
  <c r="W181" i="551" s="1"/>
  <c r="N181" i="551"/>
  <c r="K181" i="551" a="1"/>
  <c r="K181" i="551" s="1"/>
  <c r="M181" i="551" s="1"/>
  <c r="J181" i="551" a="1"/>
  <c r="J181" i="551" s="1"/>
  <c r="H181" i="551"/>
  <c r="V180" i="551"/>
  <c r="W180" i="551" s="1"/>
  <c r="N180" i="551"/>
  <c r="K180" i="551"/>
  <c r="M180" i="551" s="1"/>
  <c r="K180" i="551" a="1"/>
  <c r="J180" i="551"/>
  <c r="J180" i="551" a="1"/>
  <c r="H180" i="551"/>
  <c r="V179" i="551"/>
  <c r="W179" i="551" s="1"/>
  <c r="N179" i="551"/>
  <c r="K179" i="551" a="1"/>
  <c r="K179" i="551" s="1"/>
  <c r="M179" i="551" s="1"/>
  <c r="J179" i="551" a="1"/>
  <c r="J179" i="551" s="1"/>
  <c r="H179" i="551"/>
  <c r="W178" i="551"/>
  <c r="V178" i="551"/>
  <c r="V199" i="551" s="1"/>
  <c r="N178" i="551"/>
  <c r="N199" i="551" s="1"/>
  <c r="N335" i="551" s="1"/>
  <c r="B344" i="551" s="1"/>
  <c r="K178" i="551" a="1"/>
  <c r="K178" i="551" s="1"/>
  <c r="M178" i="551" s="1"/>
  <c r="J178" i="551" a="1"/>
  <c r="J178" i="551" s="1"/>
  <c r="H178" i="551"/>
  <c r="H199" i="551" s="1"/>
  <c r="X171" i="551"/>
  <c r="Q529" i="551" s="1"/>
  <c r="X170" i="551"/>
  <c r="Q528" i="551" s="1"/>
  <c r="G170" i="551"/>
  <c r="C170" i="551"/>
  <c r="X169" i="551"/>
  <c r="Q527" i="551" s="1"/>
  <c r="I169" i="551"/>
  <c r="E169" i="551"/>
  <c r="K169" i="551" s="1"/>
  <c r="M169" i="551" s="1"/>
  <c r="I168" i="551"/>
  <c r="E168" i="551"/>
  <c r="K168" i="551" s="1"/>
  <c r="M168" i="551" s="1"/>
  <c r="I167" i="551"/>
  <c r="E167" i="551"/>
  <c r="K167" i="551" s="1"/>
  <c r="M167" i="551" s="1"/>
  <c r="X166" i="551"/>
  <c r="Q524" i="551" s="1"/>
  <c r="I166" i="551"/>
  <c r="I170" i="551" s="1"/>
  <c r="E166" i="551"/>
  <c r="K166" i="551" s="1"/>
  <c r="AA163" i="551"/>
  <c r="Z163" i="551"/>
  <c r="Y163" i="551"/>
  <c r="X163" i="551"/>
  <c r="U163" i="551"/>
  <c r="T163" i="551"/>
  <c r="S163" i="551"/>
  <c r="R163" i="551"/>
  <c r="Q163" i="551"/>
  <c r="P163" i="551"/>
  <c r="O163" i="551"/>
  <c r="R171" i="551" s="1"/>
  <c r="I163" i="551"/>
  <c r="G163" i="551"/>
  <c r="C529" i="551" s="1"/>
  <c r="H162" i="551"/>
  <c r="H161" i="551"/>
  <c r="H160" i="551"/>
  <c r="V159" i="551"/>
  <c r="W159" i="551" s="1"/>
  <c r="N159" i="551"/>
  <c r="K159" i="551"/>
  <c r="K159" i="551" a="1"/>
  <c r="J159" i="551" a="1"/>
  <c r="J159" i="551" s="1"/>
  <c r="H159" i="551"/>
  <c r="D159" i="551"/>
  <c r="V158" i="551"/>
  <c r="W158" i="551" s="1"/>
  <c r="N158" i="551"/>
  <c r="K158" i="551" a="1"/>
  <c r="K158" i="551" s="1"/>
  <c r="M158" i="551" s="1"/>
  <c r="J158" i="551" a="1"/>
  <c r="J158" i="551" s="1"/>
  <c r="H158" i="551"/>
  <c r="H157" i="551"/>
  <c r="H156" i="551"/>
  <c r="V155" i="551"/>
  <c r="W155" i="551" s="1"/>
  <c r="N155" i="551"/>
  <c r="K155" i="551" a="1"/>
  <c r="K155" i="551" s="1"/>
  <c r="M155" i="551" s="1"/>
  <c r="J155" i="551" a="1"/>
  <c r="J155" i="551" s="1"/>
  <c r="H155" i="551"/>
  <c r="V154" i="551"/>
  <c r="W154" i="551" s="1"/>
  <c r="N154" i="551"/>
  <c r="K154" i="551"/>
  <c r="M154" i="551" s="1"/>
  <c r="K154" i="551" a="1"/>
  <c r="J154" i="551"/>
  <c r="J154" i="551" a="1"/>
  <c r="H154" i="551"/>
  <c r="H153" i="551"/>
  <c r="W152" i="551"/>
  <c r="V152" i="551"/>
  <c r="N152" i="551"/>
  <c r="K152" i="551" a="1"/>
  <c r="K152" i="551" s="1"/>
  <c r="M152" i="551" s="1"/>
  <c r="J152" i="551" a="1"/>
  <c r="J152" i="551" s="1"/>
  <c r="H152" i="551"/>
  <c r="V151" i="551"/>
  <c r="W151" i="551" s="1"/>
  <c r="N151" i="551"/>
  <c r="K151" i="551"/>
  <c r="M151" i="551" s="1"/>
  <c r="K151" i="551" a="1"/>
  <c r="J151" i="551"/>
  <c r="J151" i="551" a="1"/>
  <c r="H151" i="551"/>
  <c r="V150" i="551"/>
  <c r="W150" i="551" s="1"/>
  <c r="N150" i="551"/>
  <c r="K150" i="551" a="1"/>
  <c r="K150" i="551" s="1"/>
  <c r="M150" i="551" s="1"/>
  <c r="J150" i="551" a="1"/>
  <c r="J150" i="551" s="1"/>
  <c r="H150" i="551"/>
  <c r="V149" i="551"/>
  <c r="V163" i="551" s="1"/>
  <c r="W163" i="551" s="1"/>
  <c r="N149" i="551"/>
  <c r="N163" i="551" s="1"/>
  <c r="K149" i="551"/>
  <c r="K149" i="551" a="1"/>
  <c r="J149" i="551"/>
  <c r="J149" i="551" a="1"/>
  <c r="H149" i="551"/>
  <c r="H163" i="551" s="1"/>
  <c r="AA148" i="551"/>
  <c r="Z148" i="551"/>
  <c r="Y148" i="551"/>
  <c r="X148" i="551"/>
  <c r="U148" i="551"/>
  <c r="T148" i="551"/>
  <c r="S148" i="551"/>
  <c r="Q148" i="551"/>
  <c r="P148" i="551"/>
  <c r="O148" i="551"/>
  <c r="I148" i="551"/>
  <c r="G148" i="551"/>
  <c r="C528" i="551" s="1"/>
  <c r="V147" i="551"/>
  <c r="W147" i="551" s="1"/>
  <c r="N147" i="551"/>
  <c r="K147" i="551" a="1"/>
  <c r="K147" i="551" s="1"/>
  <c r="M147" i="551" s="1"/>
  <c r="J147" i="551" a="1"/>
  <c r="J147" i="551" s="1"/>
  <c r="H147" i="551"/>
  <c r="K146" i="551" a="1"/>
  <c r="K146" i="551" s="1"/>
  <c r="H146" i="551"/>
  <c r="K145" i="551" a="1"/>
  <c r="K145" i="551" s="1"/>
  <c r="H145" i="551"/>
  <c r="K144" i="551" a="1"/>
  <c r="K144" i="551" s="1"/>
  <c r="H144" i="551"/>
  <c r="K143" i="551" a="1"/>
  <c r="K143" i="551" s="1"/>
  <c r="H143" i="551"/>
  <c r="W142" i="551"/>
  <c r="V142" i="551"/>
  <c r="N142" i="551"/>
  <c r="K142" i="551" a="1"/>
  <c r="K142" i="551" s="1"/>
  <c r="M142" i="551" s="1"/>
  <c r="J142" i="551" a="1"/>
  <c r="J142" i="551" s="1"/>
  <c r="H142" i="551"/>
  <c r="V141" i="551"/>
  <c r="W141" i="551" s="1"/>
  <c r="N141" i="551"/>
  <c r="K141" i="551" a="1"/>
  <c r="K141" i="551" s="1"/>
  <c r="M141" i="551" s="1"/>
  <c r="J141" i="551" a="1"/>
  <c r="J141" i="551" s="1"/>
  <c r="H141" i="551"/>
  <c r="V140" i="551"/>
  <c r="W140" i="551" s="1"/>
  <c r="N140" i="551"/>
  <c r="K140" i="551"/>
  <c r="M140" i="551" s="1"/>
  <c r="K140" i="551" a="1"/>
  <c r="J140" i="551"/>
  <c r="J140" i="551" a="1"/>
  <c r="H140" i="551"/>
  <c r="V139" i="551"/>
  <c r="W139" i="551" s="1"/>
  <c r="N139" i="551"/>
  <c r="K139" i="551" a="1"/>
  <c r="K139" i="551" s="1"/>
  <c r="M139" i="551" s="1"/>
  <c r="J139" i="551" a="1"/>
  <c r="J139" i="551" s="1"/>
  <c r="H139" i="551"/>
  <c r="W138" i="551"/>
  <c r="V138" i="551"/>
  <c r="V148" i="551" s="1"/>
  <c r="W148" i="551" s="1"/>
  <c r="N138" i="551"/>
  <c r="N148" i="551" s="1"/>
  <c r="K138" i="551" a="1"/>
  <c r="K138" i="551" s="1"/>
  <c r="J138" i="551" a="1"/>
  <c r="J138" i="551" s="1"/>
  <c r="H138" i="551"/>
  <c r="H148" i="551" s="1"/>
  <c r="AA137" i="551"/>
  <c r="Z137" i="551"/>
  <c r="Y137" i="551"/>
  <c r="X137" i="551"/>
  <c r="U137" i="551"/>
  <c r="T137" i="551"/>
  <c r="S137" i="551"/>
  <c r="Q137" i="551"/>
  <c r="P137" i="551"/>
  <c r="O137" i="551"/>
  <c r="I137" i="551"/>
  <c r="G137" i="551"/>
  <c r="C527" i="551" s="1"/>
  <c r="V136" i="551"/>
  <c r="W136" i="551" s="1"/>
  <c r="N136" i="551"/>
  <c r="K136" i="551" a="1"/>
  <c r="K136" i="551" s="1"/>
  <c r="M136" i="551" s="1"/>
  <c r="J136" i="551" a="1"/>
  <c r="J136" i="551" s="1"/>
  <c r="H136" i="551"/>
  <c r="V135" i="551"/>
  <c r="W135" i="551" s="1"/>
  <c r="N135" i="551"/>
  <c r="K135" i="551"/>
  <c r="M135" i="551" s="1"/>
  <c r="K135" i="551" a="1"/>
  <c r="J135" i="551"/>
  <c r="J135" i="551" a="1"/>
  <c r="H135" i="551"/>
  <c r="V134" i="551"/>
  <c r="W134" i="551" s="1"/>
  <c r="N134" i="551"/>
  <c r="K134" i="551" a="1"/>
  <c r="K134" i="551" s="1"/>
  <c r="M134" i="551" s="1"/>
  <c r="J134" i="551" a="1"/>
  <c r="J134" i="551" s="1"/>
  <c r="H134" i="551"/>
  <c r="V133" i="551"/>
  <c r="W133" i="551" s="1"/>
  <c r="N133" i="551"/>
  <c r="K133" i="551"/>
  <c r="M133" i="551" s="1"/>
  <c r="K133" i="551" a="1"/>
  <c r="J133" i="551"/>
  <c r="J133" i="551" a="1"/>
  <c r="H133" i="551"/>
  <c r="V132" i="551"/>
  <c r="W132" i="551" s="1"/>
  <c r="N132" i="551"/>
  <c r="K132" i="551" a="1"/>
  <c r="K132" i="551" s="1"/>
  <c r="M132" i="551" s="1"/>
  <c r="J132" i="551" a="1"/>
  <c r="J132" i="551" s="1"/>
  <c r="H132" i="551"/>
  <c r="W131" i="551"/>
  <c r="V131" i="551"/>
  <c r="N131" i="551"/>
  <c r="K131" i="551" a="1"/>
  <c r="K131" i="551" s="1"/>
  <c r="M131" i="551" s="1"/>
  <c r="J131" i="551" a="1"/>
  <c r="J131" i="551" s="1"/>
  <c r="H131" i="551"/>
  <c r="V130" i="551"/>
  <c r="W130" i="551" s="1"/>
  <c r="N130" i="551"/>
  <c r="K130" i="551" a="1"/>
  <c r="K130" i="551" s="1"/>
  <c r="M130" i="551" s="1"/>
  <c r="J130" i="551" a="1"/>
  <c r="J130" i="551" s="1"/>
  <c r="H130" i="551"/>
  <c r="V129" i="551"/>
  <c r="W129" i="551" s="1"/>
  <c r="N129" i="551"/>
  <c r="K129" i="551"/>
  <c r="M129" i="551" s="1"/>
  <c r="K129" i="551" a="1"/>
  <c r="J129" i="551"/>
  <c r="J129" i="551" a="1"/>
  <c r="H129" i="551"/>
  <c r="V128" i="551"/>
  <c r="W128" i="551" s="1"/>
  <c r="N128" i="551"/>
  <c r="K128" i="551" a="1"/>
  <c r="K128" i="551" s="1"/>
  <c r="M128" i="551" s="1"/>
  <c r="J128" i="551" a="1"/>
  <c r="J128" i="551" s="1"/>
  <c r="H128" i="551"/>
  <c r="W127" i="551"/>
  <c r="V127" i="551"/>
  <c r="N127" i="551"/>
  <c r="K127" i="551" a="1"/>
  <c r="K127" i="551" s="1"/>
  <c r="M127" i="551" s="1"/>
  <c r="J127" i="551" a="1"/>
  <c r="J127" i="551" s="1"/>
  <c r="H127" i="551"/>
  <c r="V126" i="551"/>
  <c r="W126" i="551" s="1"/>
  <c r="N126" i="551"/>
  <c r="K126" i="551" a="1"/>
  <c r="K126" i="551" s="1"/>
  <c r="M126" i="551" s="1"/>
  <c r="J126" i="551" a="1"/>
  <c r="J126" i="551" s="1"/>
  <c r="H126" i="551"/>
  <c r="V125" i="551"/>
  <c r="W125" i="551" s="1"/>
  <c r="N125" i="551"/>
  <c r="K125" i="551" a="1"/>
  <c r="K125" i="551" s="1"/>
  <c r="M125" i="551" s="1"/>
  <c r="J125" i="551" a="1"/>
  <c r="J125" i="551" s="1"/>
  <c r="H125" i="551"/>
  <c r="V124" i="551"/>
  <c r="W124" i="551" s="1"/>
  <c r="N124" i="551"/>
  <c r="K124" i="551" a="1"/>
  <c r="K124" i="551" s="1"/>
  <c r="M124" i="551" s="1"/>
  <c r="J124" i="551" a="1"/>
  <c r="J124" i="551" s="1"/>
  <c r="H124" i="551"/>
  <c r="V123" i="551"/>
  <c r="W123" i="551" s="1"/>
  <c r="N123" i="551"/>
  <c r="K123" i="551"/>
  <c r="M123" i="551" s="1"/>
  <c r="K123" i="551" a="1"/>
  <c r="J123" i="551"/>
  <c r="J123" i="551" a="1"/>
  <c r="H123" i="551"/>
  <c r="V122" i="551"/>
  <c r="W122" i="551" s="1"/>
  <c r="N122" i="551"/>
  <c r="K122" i="551" a="1"/>
  <c r="K122" i="551" s="1"/>
  <c r="J122" i="551" a="1"/>
  <c r="J122" i="551" s="1"/>
  <c r="H122" i="551"/>
  <c r="H137" i="551" s="1"/>
  <c r="AA121" i="551"/>
  <c r="Z121" i="551"/>
  <c r="Y121" i="551"/>
  <c r="X121" i="551"/>
  <c r="U121" i="551"/>
  <c r="T121" i="551"/>
  <c r="S121" i="551"/>
  <c r="R121" i="551"/>
  <c r="Q121" i="551"/>
  <c r="P121" i="551"/>
  <c r="O121" i="551"/>
  <c r="R168" i="551" s="1"/>
  <c r="I121" i="551"/>
  <c r="G121" i="551"/>
  <c r="C526" i="551" s="1"/>
  <c r="V120" i="551"/>
  <c r="W120" i="551" s="1"/>
  <c r="N120" i="551"/>
  <c r="K120" i="551" a="1"/>
  <c r="K120" i="551" s="1"/>
  <c r="M120" i="551" s="1"/>
  <c r="J120" i="551" a="1"/>
  <c r="J120" i="551" s="1"/>
  <c r="H120" i="551"/>
  <c r="V119" i="551"/>
  <c r="W119" i="551" s="1"/>
  <c r="N119" i="551"/>
  <c r="K119" i="551" a="1"/>
  <c r="K119" i="551" s="1"/>
  <c r="M119" i="551" s="1"/>
  <c r="J119" i="551" a="1"/>
  <c r="J119" i="551" s="1"/>
  <c r="H119" i="551"/>
  <c r="V118" i="551"/>
  <c r="W118" i="551" s="1"/>
  <c r="N118" i="551"/>
  <c r="K118" i="551" a="1"/>
  <c r="K118" i="551" s="1"/>
  <c r="M118" i="551" s="1"/>
  <c r="J118" i="551" a="1"/>
  <c r="J118" i="551" s="1"/>
  <c r="H118" i="551"/>
  <c r="K117" i="551" a="1"/>
  <c r="K117" i="551" s="1"/>
  <c r="H117" i="551"/>
  <c r="K116" i="551" a="1"/>
  <c r="K116" i="551" s="1"/>
  <c r="H116" i="551"/>
  <c r="K115" i="551" a="1"/>
  <c r="K115" i="551" s="1"/>
  <c r="H115" i="551"/>
  <c r="V114" i="551"/>
  <c r="W114" i="551" s="1"/>
  <c r="N114" i="551"/>
  <c r="K114" i="551" a="1"/>
  <c r="K114" i="551" s="1"/>
  <c r="M114" i="551" s="1"/>
  <c r="H114" i="551"/>
  <c r="V113" i="551"/>
  <c r="W113" i="551" s="1"/>
  <c r="N113" i="551"/>
  <c r="K113" i="551"/>
  <c r="M113" i="551" s="1"/>
  <c r="K113" i="551" a="1"/>
  <c r="H113" i="551"/>
  <c r="N112" i="551"/>
  <c r="K112" i="551" a="1"/>
  <c r="K112" i="551" s="1"/>
  <c r="M112" i="551" s="1"/>
  <c r="H112" i="551"/>
  <c r="N111" i="551"/>
  <c r="K111" i="551"/>
  <c r="M111" i="551" s="1"/>
  <c r="K111" i="551" a="1"/>
  <c r="H111" i="551"/>
  <c r="N110" i="551"/>
  <c r="K110" i="551" a="1"/>
  <c r="K110" i="551" s="1"/>
  <c r="M110" i="551" s="1"/>
  <c r="H110" i="551"/>
  <c r="N109" i="551"/>
  <c r="K109" i="551" a="1"/>
  <c r="K109" i="551" s="1"/>
  <c r="M109" i="551" s="1"/>
  <c r="H109" i="551"/>
  <c r="N108" i="551"/>
  <c r="K108" i="551" a="1"/>
  <c r="K108" i="551" s="1"/>
  <c r="M108" i="551" s="1"/>
  <c r="H108" i="551"/>
  <c r="N107" i="551"/>
  <c r="K107" i="551"/>
  <c r="M107" i="551" s="1"/>
  <c r="K107" i="551" a="1"/>
  <c r="H107" i="551"/>
  <c r="V106" i="551"/>
  <c r="W106" i="551" s="1"/>
  <c r="N106" i="551"/>
  <c r="K106" i="551" a="1"/>
  <c r="K106" i="551" s="1"/>
  <c r="M106" i="551" s="1"/>
  <c r="J106" i="551" a="1"/>
  <c r="J106" i="551" s="1"/>
  <c r="H106" i="551"/>
  <c r="V105" i="551"/>
  <c r="W105" i="551" s="1"/>
  <c r="N105" i="551"/>
  <c r="K105" i="551" a="1"/>
  <c r="K105" i="551" s="1"/>
  <c r="M105" i="551" s="1"/>
  <c r="J105" i="551" a="1"/>
  <c r="J105" i="551" s="1"/>
  <c r="H105" i="551"/>
  <c r="V104" i="551"/>
  <c r="W104" i="551" s="1"/>
  <c r="N104" i="551"/>
  <c r="K104" i="551" a="1"/>
  <c r="K104" i="551" s="1"/>
  <c r="M104" i="551" s="1"/>
  <c r="J104" i="551" a="1"/>
  <c r="J104" i="551" s="1"/>
  <c r="H104" i="551"/>
  <c r="V103" i="551"/>
  <c r="W103" i="551" s="1"/>
  <c r="N103" i="551"/>
  <c r="K103" i="551"/>
  <c r="M103" i="551" s="1"/>
  <c r="K103" i="551" a="1"/>
  <c r="J103" i="551"/>
  <c r="J103" i="551" a="1"/>
  <c r="H103" i="551"/>
  <c r="V102" i="551"/>
  <c r="W102" i="551" s="1"/>
  <c r="N102" i="551"/>
  <c r="K102" i="551" a="1"/>
  <c r="K102" i="551" s="1"/>
  <c r="M102" i="551" s="1"/>
  <c r="J102" i="551" a="1"/>
  <c r="J102" i="551" s="1"/>
  <c r="H102" i="551"/>
  <c r="V101" i="551"/>
  <c r="W101" i="551" s="1"/>
  <c r="N101" i="551"/>
  <c r="K101" i="551"/>
  <c r="M101" i="551" s="1"/>
  <c r="K101" i="551" a="1"/>
  <c r="J101" i="551"/>
  <c r="J101" i="551" a="1"/>
  <c r="H101" i="551"/>
  <c r="V100" i="551"/>
  <c r="W100" i="551" s="1"/>
  <c r="N100" i="551"/>
  <c r="K100" i="551" a="1"/>
  <c r="K100" i="551" s="1"/>
  <c r="M100" i="551" s="1"/>
  <c r="J100" i="551" a="1"/>
  <c r="J100" i="551" s="1"/>
  <c r="H100" i="551"/>
  <c r="W99" i="551"/>
  <c r="V99" i="551"/>
  <c r="N99" i="551"/>
  <c r="K99" i="551" a="1"/>
  <c r="K99" i="551" s="1"/>
  <c r="M99" i="551" s="1"/>
  <c r="J99" i="551" a="1"/>
  <c r="J99" i="551" s="1"/>
  <c r="H99" i="551"/>
  <c r="V98" i="551"/>
  <c r="W98" i="551" s="1"/>
  <c r="N98" i="551"/>
  <c r="K98" i="551" a="1"/>
  <c r="K98" i="551" s="1"/>
  <c r="M98" i="551" s="1"/>
  <c r="J98" i="551" a="1"/>
  <c r="J98" i="551" s="1"/>
  <c r="H98" i="551"/>
  <c r="V97" i="551"/>
  <c r="W97" i="551" s="1"/>
  <c r="N97" i="551"/>
  <c r="K97" i="551"/>
  <c r="M97" i="551" s="1"/>
  <c r="K97" i="551" a="1"/>
  <c r="J97" i="551"/>
  <c r="J97" i="551" a="1"/>
  <c r="H97" i="551"/>
  <c r="V96" i="551"/>
  <c r="W96" i="551" s="1"/>
  <c r="N96" i="551"/>
  <c r="K96" i="551" a="1"/>
  <c r="K96" i="551" s="1"/>
  <c r="M96" i="551" s="1"/>
  <c r="J96" i="551" a="1"/>
  <c r="J96" i="551" s="1"/>
  <c r="H96" i="551"/>
  <c r="W95" i="551"/>
  <c r="V95" i="551"/>
  <c r="N95" i="551"/>
  <c r="K95" i="551" a="1"/>
  <c r="K95" i="551" s="1"/>
  <c r="M95" i="551" s="1"/>
  <c r="J95" i="551" a="1"/>
  <c r="J95" i="551" s="1"/>
  <c r="H95" i="551"/>
  <c r="K94" i="551"/>
  <c r="M94" i="551" s="1"/>
  <c r="K94" i="551" a="1"/>
  <c r="H94" i="551"/>
  <c r="V93" i="551"/>
  <c r="W93" i="551" s="1"/>
  <c r="N93" i="551"/>
  <c r="K93" i="551" a="1"/>
  <c r="K93" i="551" s="1"/>
  <c r="M93" i="551" s="1"/>
  <c r="J93" i="551" a="1"/>
  <c r="J93" i="551" s="1"/>
  <c r="H93" i="551"/>
  <c r="W92" i="551"/>
  <c r="V92" i="551"/>
  <c r="N92" i="551"/>
  <c r="K92" i="551" a="1"/>
  <c r="K92" i="551" s="1"/>
  <c r="M92" i="551" s="1"/>
  <c r="J92" i="551" a="1"/>
  <c r="J92" i="551" s="1"/>
  <c r="H92" i="551"/>
  <c r="V91" i="551"/>
  <c r="W91" i="551" s="1"/>
  <c r="N91" i="551"/>
  <c r="K91" i="551" a="1"/>
  <c r="K91" i="551" s="1"/>
  <c r="M91" i="551" s="1"/>
  <c r="J91" i="551" a="1"/>
  <c r="J91" i="551" s="1"/>
  <c r="H91" i="551"/>
  <c r="V90" i="551"/>
  <c r="W90" i="551" s="1"/>
  <c r="N90" i="551"/>
  <c r="K90" i="551"/>
  <c r="M90" i="551" s="1"/>
  <c r="K90" i="551" a="1"/>
  <c r="J90" i="551"/>
  <c r="J90" i="551" a="1"/>
  <c r="H90" i="551"/>
  <c r="V89" i="551"/>
  <c r="W89" i="551" s="1"/>
  <c r="N89" i="551"/>
  <c r="K89" i="551" a="1"/>
  <c r="K89" i="551" s="1"/>
  <c r="M89" i="551" s="1"/>
  <c r="J89" i="551" a="1"/>
  <c r="J89" i="551" s="1"/>
  <c r="H89" i="551"/>
  <c r="W88" i="551"/>
  <c r="V88" i="551"/>
  <c r="N88" i="551"/>
  <c r="K88" i="551" a="1"/>
  <c r="K88" i="551" s="1"/>
  <c r="M88" i="551" s="1"/>
  <c r="J88" i="551" a="1"/>
  <c r="J88" i="551" s="1"/>
  <c r="H88" i="551"/>
  <c r="V87" i="551"/>
  <c r="V121" i="551" s="1"/>
  <c r="N87" i="551"/>
  <c r="K87" i="551" a="1"/>
  <c r="K87" i="551" s="1"/>
  <c r="J87" i="551" a="1"/>
  <c r="J87" i="551" s="1"/>
  <c r="H87" i="551"/>
  <c r="AA86" i="551"/>
  <c r="Z86" i="551"/>
  <c r="Y86" i="551"/>
  <c r="X86" i="551"/>
  <c r="U86" i="551"/>
  <c r="T86" i="551"/>
  <c r="S86" i="551"/>
  <c r="R86" i="551"/>
  <c r="Q86" i="551"/>
  <c r="P86" i="551"/>
  <c r="O86" i="551"/>
  <c r="R167" i="551" s="1"/>
  <c r="I86" i="551"/>
  <c r="G86" i="551"/>
  <c r="C525" i="551" s="1"/>
  <c r="K85" i="551" a="1"/>
  <c r="K85" i="551" s="1"/>
  <c r="H85" i="551"/>
  <c r="K84" i="551"/>
  <c r="K84" i="551" a="1"/>
  <c r="H84" i="551"/>
  <c r="K83" i="551" a="1"/>
  <c r="K83" i="551" s="1"/>
  <c r="H83" i="551"/>
  <c r="K82" i="551" a="1"/>
  <c r="K82" i="551" s="1"/>
  <c r="H82" i="551"/>
  <c r="K81" i="551" a="1"/>
  <c r="K81" i="551" s="1"/>
  <c r="H81" i="551"/>
  <c r="K80" i="551" a="1"/>
  <c r="K80" i="551" s="1"/>
  <c r="H80" i="551"/>
  <c r="K79" i="551" a="1"/>
  <c r="K79" i="551" s="1"/>
  <c r="M79" i="551" s="1"/>
  <c r="H79" i="551"/>
  <c r="K78" i="551"/>
  <c r="M78" i="551" s="1"/>
  <c r="K78" i="551" a="1"/>
  <c r="H78" i="551"/>
  <c r="K77" i="551" a="1"/>
  <c r="K77" i="551" s="1"/>
  <c r="M77" i="551" s="1"/>
  <c r="H77" i="551"/>
  <c r="K76" i="551"/>
  <c r="M76" i="551" s="1"/>
  <c r="K76" i="551" a="1"/>
  <c r="H76" i="551"/>
  <c r="V75" i="551"/>
  <c r="W75" i="551" s="1"/>
  <c r="N75" i="551"/>
  <c r="K75" i="551" a="1"/>
  <c r="K75" i="551" s="1"/>
  <c r="M75" i="551" s="1"/>
  <c r="J75" i="551" a="1"/>
  <c r="J75" i="551" s="1"/>
  <c r="H75" i="551"/>
  <c r="V74" i="551"/>
  <c r="W74" i="551" s="1"/>
  <c r="N74" i="551"/>
  <c r="K74" i="551"/>
  <c r="M74" i="551" s="1"/>
  <c r="K74" i="551" a="1"/>
  <c r="J74" i="551"/>
  <c r="J74" i="551" a="1"/>
  <c r="H74" i="551"/>
  <c r="V73" i="551"/>
  <c r="W73" i="551" s="1"/>
  <c r="N73" i="551"/>
  <c r="K73" i="551" a="1"/>
  <c r="K73" i="551" s="1"/>
  <c r="M73" i="551" s="1"/>
  <c r="J73" i="551" a="1"/>
  <c r="J73" i="551" s="1"/>
  <c r="H73" i="551"/>
  <c r="W72" i="551"/>
  <c r="V72" i="551"/>
  <c r="N72" i="551"/>
  <c r="K72" i="551" a="1"/>
  <c r="K72" i="551" s="1"/>
  <c r="M72" i="551" s="1"/>
  <c r="J72" i="551" a="1"/>
  <c r="J72" i="551" s="1"/>
  <c r="H72" i="551"/>
  <c r="H71" i="551"/>
  <c r="V70" i="551"/>
  <c r="W70" i="551" s="1"/>
  <c r="N70" i="551"/>
  <c r="K70" i="551"/>
  <c r="M70" i="551" s="1"/>
  <c r="K70" i="551" a="1"/>
  <c r="J70" i="551"/>
  <c r="J70" i="551" a="1"/>
  <c r="H70" i="551"/>
  <c r="V69" i="551"/>
  <c r="W69" i="551" s="1"/>
  <c r="N69" i="551"/>
  <c r="K69" i="551" a="1"/>
  <c r="K69" i="551" s="1"/>
  <c r="M69" i="551" s="1"/>
  <c r="J69" i="551" a="1"/>
  <c r="J69" i="551" s="1"/>
  <c r="H69" i="551"/>
  <c r="K68" i="551"/>
  <c r="K68" i="551" a="1"/>
  <c r="H68" i="551"/>
  <c r="K67" i="551" a="1"/>
  <c r="K67" i="551" s="1"/>
  <c r="H67" i="551"/>
  <c r="V66" i="551"/>
  <c r="W66" i="551" s="1"/>
  <c r="N66" i="551"/>
  <c r="K66" i="551"/>
  <c r="M66" i="551" s="1"/>
  <c r="K66" i="551" a="1"/>
  <c r="J66" i="551"/>
  <c r="J66" i="551" a="1"/>
  <c r="H66" i="551"/>
  <c r="V65" i="551"/>
  <c r="W65" i="551" s="1"/>
  <c r="N65" i="551"/>
  <c r="K65" i="551" a="1"/>
  <c r="K65" i="551" s="1"/>
  <c r="M65" i="551" s="1"/>
  <c r="J65" i="551" a="1"/>
  <c r="J65" i="551" s="1"/>
  <c r="H65" i="551"/>
  <c r="V64" i="551"/>
  <c r="W64" i="551" s="1"/>
  <c r="N64" i="551"/>
  <c r="K64" i="551" a="1"/>
  <c r="K64" i="551" s="1"/>
  <c r="M64" i="551" s="1"/>
  <c r="J64" i="551" a="1"/>
  <c r="J64" i="551" s="1"/>
  <c r="H64" i="551"/>
  <c r="V63" i="551"/>
  <c r="W63" i="551" s="1"/>
  <c r="N63" i="551"/>
  <c r="K63" i="551" a="1"/>
  <c r="K63" i="551" s="1"/>
  <c r="M63" i="551" s="1"/>
  <c r="J63" i="551" a="1"/>
  <c r="J63" i="551" s="1"/>
  <c r="H63" i="551"/>
  <c r="V62" i="551"/>
  <c r="W62" i="551" s="1"/>
  <c r="N62" i="551"/>
  <c r="K62" i="551"/>
  <c r="M62" i="551" s="1"/>
  <c r="K62" i="551" a="1"/>
  <c r="J62" i="551"/>
  <c r="J62" i="551" a="1"/>
  <c r="H62" i="551"/>
  <c r="V61" i="551"/>
  <c r="W61" i="551" s="1"/>
  <c r="N61" i="551"/>
  <c r="K61" i="551" a="1"/>
  <c r="K61" i="551" s="1"/>
  <c r="M61" i="551" s="1"/>
  <c r="J61" i="551" a="1"/>
  <c r="J61" i="551" s="1"/>
  <c r="H61" i="551"/>
  <c r="W60" i="551"/>
  <c r="V60" i="551"/>
  <c r="N60" i="551"/>
  <c r="K60" i="551" a="1"/>
  <c r="K60" i="551" s="1"/>
  <c r="M60" i="551" s="1"/>
  <c r="J60" i="551" a="1"/>
  <c r="J60" i="551" s="1"/>
  <c r="H60" i="551"/>
  <c r="V59" i="551"/>
  <c r="W59" i="551" s="1"/>
  <c r="N59" i="551"/>
  <c r="K59" i="551" a="1"/>
  <c r="K59" i="551" s="1"/>
  <c r="M59" i="551" s="1"/>
  <c r="J59" i="551" a="1"/>
  <c r="J59" i="551" s="1"/>
  <c r="H59" i="551"/>
  <c r="V58" i="551"/>
  <c r="W58" i="551" s="1"/>
  <c r="N58" i="551"/>
  <c r="K58" i="551"/>
  <c r="M58" i="551" s="1"/>
  <c r="K58" i="551" a="1"/>
  <c r="J58" i="551"/>
  <c r="J58" i="551" a="1"/>
  <c r="H58" i="551"/>
  <c r="V57" i="551"/>
  <c r="W57" i="551" s="1"/>
  <c r="N57" i="551"/>
  <c r="K57" i="551" a="1"/>
  <c r="K57" i="551" s="1"/>
  <c r="M57" i="551" s="1"/>
  <c r="J57" i="551" a="1"/>
  <c r="J57" i="551" s="1"/>
  <c r="H57" i="551"/>
  <c r="K56" i="551" a="1"/>
  <c r="K56" i="551" s="1"/>
  <c r="M56" i="551" s="1"/>
  <c r="H56" i="551"/>
  <c r="K55" i="551" a="1"/>
  <c r="K55" i="551" s="1"/>
  <c r="M55" i="551" s="1"/>
  <c r="H55" i="551"/>
  <c r="K54" i="551" a="1"/>
  <c r="K54" i="551" s="1"/>
  <c r="M54" i="551" s="1"/>
  <c r="H54" i="551"/>
  <c r="K53" i="551" a="1"/>
  <c r="K53" i="551" s="1"/>
  <c r="M53" i="551" s="1"/>
  <c r="H53" i="551"/>
  <c r="N52" i="551"/>
  <c r="K52" i="551" a="1"/>
  <c r="K52" i="551" s="1"/>
  <c r="M52" i="551" s="1"/>
  <c r="H52" i="551"/>
  <c r="N51" i="551"/>
  <c r="K51" i="551" a="1"/>
  <c r="K51" i="551" s="1"/>
  <c r="M51" i="551" s="1"/>
  <c r="H51" i="551"/>
  <c r="N50" i="551"/>
  <c r="K50" i="551"/>
  <c r="M50" i="551" s="1"/>
  <c r="K50" i="551" a="1"/>
  <c r="H50" i="551"/>
  <c r="N49" i="551"/>
  <c r="K49" i="551" a="1"/>
  <c r="K49" i="551" s="1"/>
  <c r="M49" i="551" s="1"/>
  <c r="H49" i="551"/>
  <c r="W48" i="551"/>
  <c r="V48" i="551"/>
  <c r="N48" i="551"/>
  <c r="K48" i="551" a="1"/>
  <c r="K48" i="551" s="1"/>
  <c r="M48" i="551" s="1"/>
  <c r="J48" i="551" a="1"/>
  <c r="J48" i="551" s="1"/>
  <c r="H48" i="551"/>
  <c r="V47" i="551"/>
  <c r="W47" i="551" s="1"/>
  <c r="N47" i="551"/>
  <c r="K47" i="551" a="1"/>
  <c r="K47" i="551" s="1"/>
  <c r="M47" i="551" s="1"/>
  <c r="J47" i="551" a="1"/>
  <c r="J47" i="551" s="1"/>
  <c r="H47" i="551"/>
  <c r="V46" i="551"/>
  <c r="W46" i="551" s="1"/>
  <c r="N46" i="551"/>
  <c r="K46" i="551"/>
  <c r="M46" i="551" s="1"/>
  <c r="K46" i="551" a="1"/>
  <c r="J46" i="551"/>
  <c r="J46" i="551" a="1"/>
  <c r="H46" i="551"/>
  <c r="V45" i="551"/>
  <c r="W45" i="551" s="1"/>
  <c r="N45" i="551"/>
  <c r="K45" i="551" a="1"/>
  <c r="K45" i="551" s="1"/>
  <c r="M45" i="551" s="1"/>
  <c r="J45" i="551" a="1"/>
  <c r="J45" i="551" s="1"/>
  <c r="H45" i="551"/>
  <c r="W44" i="551"/>
  <c r="V44" i="551"/>
  <c r="N44" i="551"/>
  <c r="K44" i="551" a="1"/>
  <c r="K44" i="551" s="1"/>
  <c r="M44" i="551" s="1"/>
  <c r="J44" i="551" a="1"/>
  <c r="J44" i="551" s="1"/>
  <c r="H44" i="551"/>
  <c r="V43" i="551"/>
  <c r="W43" i="551" s="1"/>
  <c r="N43" i="551"/>
  <c r="K43" i="551" a="1"/>
  <c r="K43" i="551" s="1"/>
  <c r="M43" i="551" s="1"/>
  <c r="J43" i="551" a="1"/>
  <c r="J43" i="551" s="1"/>
  <c r="H43" i="551"/>
  <c r="V42" i="551"/>
  <c r="W42" i="551" s="1"/>
  <c r="N42" i="551"/>
  <c r="K42" i="551"/>
  <c r="M42" i="551" s="1"/>
  <c r="K42" i="551" a="1"/>
  <c r="J42" i="551"/>
  <c r="J42" i="551" a="1"/>
  <c r="H42" i="551"/>
  <c r="V41" i="551"/>
  <c r="W41" i="551" s="1"/>
  <c r="N41" i="551"/>
  <c r="K41" i="551" a="1"/>
  <c r="K41" i="551" s="1"/>
  <c r="M41" i="551" s="1"/>
  <c r="J41" i="551" a="1"/>
  <c r="J41" i="551" s="1"/>
  <c r="H41" i="551"/>
  <c r="W40" i="551"/>
  <c r="V40" i="551"/>
  <c r="N40" i="551"/>
  <c r="K40" i="551" a="1"/>
  <c r="K40" i="551" s="1"/>
  <c r="M40" i="551" s="1"/>
  <c r="J40" i="551" a="1"/>
  <c r="J40" i="551" s="1"/>
  <c r="H40" i="551"/>
  <c r="V39" i="551"/>
  <c r="W39" i="551" s="1"/>
  <c r="N39" i="551"/>
  <c r="K39" i="551" a="1"/>
  <c r="K39" i="551" s="1"/>
  <c r="M39" i="551" s="1"/>
  <c r="J39" i="551" a="1"/>
  <c r="J39" i="551" s="1"/>
  <c r="H39" i="551"/>
  <c r="V38" i="551"/>
  <c r="W38" i="551" s="1"/>
  <c r="N38" i="551"/>
  <c r="K38" i="551"/>
  <c r="M38" i="551" s="1"/>
  <c r="K38" i="551" a="1"/>
  <c r="J38" i="551"/>
  <c r="J38" i="551" a="1"/>
  <c r="H38" i="551"/>
  <c r="V37" i="551"/>
  <c r="W37" i="551" s="1"/>
  <c r="N37" i="551"/>
  <c r="K37" i="551" a="1"/>
  <c r="K37" i="551" s="1"/>
  <c r="M37" i="551" s="1"/>
  <c r="J37" i="551" a="1"/>
  <c r="J37" i="551" s="1"/>
  <c r="H37" i="551"/>
  <c r="H36" i="551"/>
  <c r="H35" i="551"/>
  <c r="H34" i="551"/>
  <c r="V33" i="551"/>
  <c r="W33" i="551" s="1"/>
  <c r="N33" i="551"/>
  <c r="K33" i="551" a="1"/>
  <c r="K33" i="551" s="1"/>
  <c r="M33" i="551" s="1"/>
  <c r="J33" i="551" a="1"/>
  <c r="J33" i="551" s="1"/>
  <c r="H33" i="551"/>
  <c r="W32" i="551"/>
  <c r="V32" i="551"/>
  <c r="N32" i="551"/>
  <c r="K32" i="551" a="1"/>
  <c r="K32" i="551" s="1"/>
  <c r="M32" i="551" s="1"/>
  <c r="J32" i="551" a="1"/>
  <c r="J32" i="551" s="1"/>
  <c r="H32" i="551"/>
  <c r="V31" i="551"/>
  <c r="W31" i="551" s="1"/>
  <c r="N31" i="551"/>
  <c r="K31" i="551" a="1"/>
  <c r="K31" i="551" s="1"/>
  <c r="M31" i="551" s="1"/>
  <c r="J31" i="551" a="1"/>
  <c r="J31" i="551" s="1"/>
  <c r="H31" i="551"/>
  <c r="K30" i="551" a="1"/>
  <c r="K30" i="551" s="1"/>
  <c r="H30" i="551"/>
  <c r="V29" i="551"/>
  <c r="V86" i="551" s="1"/>
  <c r="W86" i="551" s="1"/>
  <c r="N29" i="551"/>
  <c r="N86" i="551" s="1"/>
  <c r="K29" i="551" a="1"/>
  <c r="K29" i="551" s="1"/>
  <c r="J29" i="551" a="1"/>
  <c r="J29" i="551" s="1"/>
  <c r="H29" i="551"/>
  <c r="H86" i="551" s="1"/>
  <c r="AA28" i="551"/>
  <c r="AA164" i="551" s="1"/>
  <c r="Z28" i="551"/>
  <c r="Z164" i="551" s="1"/>
  <c r="Y28" i="551"/>
  <c r="Y164" i="551" s="1"/>
  <c r="X28" i="551"/>
  <c r="X164" i="551" s="1"/>
  <c r="U28" i="551"/>
  <c r="U164" i="551" s="1"/>
  <c r="T28" i="551"/>
  <c r="T164" i="551" s="1"/>
  <c r="S28" i="551"/>
  <c r="S164" i="551" s="1"/>
  <c r="R28" i="551"/>
  <c r="R164" i="551" s="1"/>
  <c r="Q28" i="551"/>
  <c r="Q164" i="551" s="1"/>
  <c r="P28" i="551"/>
  <c r="O28" i="551"/>
  <c r="I28" i="551"/>
  <c r="I164" i="551" s="1"/>
  <c r="B172" i="551" s="1"/>
  <c r="G28" i="551"/>
  <c r="V27" i="551"/>
  <c r="W27" i="551" s="1"/>
  <c r="N27" i="551"/>
  <c r="K27" i="551" a="1"/>
  <c r="K27" i="551" s="1"/>
  <c r="M27" i="551" s="1"/>
  <c r="J27" i="551" a="1"/>
  <c r="J27" i="551" s="1"/>
  <c r="H27" i="551"/>
  <c r="V26" i="551"/>
  <c r="W26" i="551" s="1"/>
  <c r="N26" i="551"/>
  <c r="K26" i="551" a="1"/>
  <c r="K26" i="551" s="1"/>
  <c r="M26" i="551" s="1"/>
  <c r="J26" i="551" a="1"/>
  <c r="J26" i="551" s="1"/>
  <c r="H26" i="551"/>
  <c r="K25" i="551"/>
  <c r="M25" i="551" s="1"/>
  <c r="K25" i="551" a="1"/>
  <c r="J25" i="551"/>
  <c r="J25" i="551" a="1"/>
  <c r="H25" i="551"/>
  <c r="K24" i="551" a="1"/>
  <c r="K24" i="551" s="1"/>
  <c r="M24" i="551" s="1"/>
  <c r="J24" i="551" a="1"/>
  <c r="J24" i="551" s="1"/>
  <c r="H24" i="551"/>
  <c r="K23" i="551"/>
  <c r="M23" i="551" s="1"/>
  <c r="K23" i="551" a="1"/>
  <c r="J23" i="551"/>
  <c r="J23" i="551" a="1"/>
  <c r="H23" i="551"/>
  <c r="K22" i="551" a="1"/>
  <c r="K22" i="551" s="1"/>
  <c r="M22" i="551" s="1"/>
  <c r="J22" i="551" a="1"/>
  <c r="J22" i="551" s="1"/>
  <c r="H22" i="551"/>
  <c r="V21" i="551"/>
  <c r="W21" i="551" s="1"/>
  <c r="N21" i="551"/>
  <c r="K21" i="551" a="1"/>
  <c r="K21" i="551" s="1"/>
  <c r="M21" i="551" s="1"/>
  <c r="J21" i="551" a="1"/>
  <c r="J21" i="551" s="1"/>
  <c r="H21" i="551"/>
  <c r="W20" i="551"/>
  <c r="V20" i="551"/>
  <c r="N20" i="551"/>
  <c r="K20" i="551"/>
  <c r="M20" i="551" s="1"/>
  <c r="K20" i="551" a="1"/>
  <c r="J20" i="551"/>
  <c r="J20" i="551" a="1"/>
  <c r="H20" i="551"/>
  <c r="V19" i="551"/>
  <c r="W19" i="551" s="1"/>
  <c r="N19" i="551"/>
  <c r="K19" i="551" a="1"/>
  <c r="K19" i="551" s="1"/>
  <c r="M19" i="551" s="1"/>
  <c r="H19" i="551"/>
  <c r="N18" i="551"/>
  <c r="K18" i="551" a="1"/>
  <c r="K18" i="551" s="1"/>
  <c r="M18" i="551" s="1"/>
  <c r="J18" i="551" a="1"/>
  <c r="J18" i="551" s="1"/>
  <c r="H18" i="551"/>
  <c r="N17" i="551"/>
  <c r="K17" i="551" a="1"/>
  <c r="K17" i="551" s="1"/>
  <c r="M17" i="551" s="1"/>
  <c r="J17" i="551" a="1"/>
  <c r="J17" i="551" s="1"/>
  <c r="H17" i="551"/>
  <c r="W16" i="551"/>
  <c r="V16" i="551"/>
  <c r="N16" i="551"/>
  <c r="K16" i="551" a="1"/>
  <c r="K16" i="551" s="1"/>
  <c r="M16" i="551" s="1"/>
  <c r="J16" i="551" a="1"/>
  <c r="J16" i="551" s="1"/>
  <c r="H16" i="551"/>
  <c r="V15" i="551"/>
  <c r="W15" i="551" s="1"/>
  <c r="N15" i="551"/>
  <c r="K15" i="551" a="1"/>
  <c r="K15" i="551" s="1"/>
  <c r="M15" i="551" s="1"/>
  <c r="J15" i="551" a="1"/>
  <c r="J15" i="551" s="1"/>
  <c r="H15" i="551"/>
  <c r="N14" i="551"/>
  <c r="K14" i="551"/>
  <c r="M14" i="551" s="1"/>
  <c r="K14" i="551" a="1"/>
  <c r="H14" i="551"/>
  <c r="N13" i="551"/>
  <c r="K13" i="551" a="1"/>
  <c r="K13" i="551" s="1"/>
  <c r="M13" i="551" s="1"/>
  <c r="H13" i="551"/>
  <c r="W12" i="551"/>
  <c r="V12" i="551"/>
  <c r="N12" i="551"/>
  <c r="K12" i="551" a="1"/>
  <c r="K12" i="551" s="1"/>
  <c r="M12" i="551" s="1"/>
  <c r="J12" i="551" a="1"/>
  <c r="J12" i="551" s="1"/>
  <c r="H12" i="551"/>
  <c r="V11" i="551"/>
  <c r="W11" i="551" s="1"/>
  <c r="N11" i="551"/>
  <c r="K11" i="551" a="1"/>
  <c r="K11" i="551" s="1"/>
  <c r="M11" i="551" s="1"/>
  <c r="J11" i="551" a="1"/>
  <c r="J11" i="551" s="1"/>
  <c r="H11" i="551"/>
  <c r="V10" i="551"/>
  <c r="W10" i="551" s="1"/>
  <c r="N10" i="551"/>
  <c r="K10" i="551"/>
  <c r="M10" i="551" s="1"/>
  <c r="K10" i="551" a="1"/>
  <c r="J10" i="551"/>
  <c r="J10" i="551" a="1"/>
  <c r="H10" i="551"/>
  <c r="V9" i="551"/>
  <c r="W9" i="551" s="1"/>
  <c r="N9" i="551"/>
  <c r="K9" i="551" a="1"/>
  <c r="K9" i="551" s="1"/>
  <c r="M9" i="551" s="1"/>
  <c r="J9" i="551" a="1"/>
  <c r="J9" i="551" s="1"/>
  <c r="H9" i="551"/>
  <c r="W8" i="551"/>
  <c r="V8" i="551"/>
  <c r="N8" i="551"/>
  <c r="K8" i="551" a="1"/>
  <c r="K8" i="551" s="1"/>
  <c r="M8" i="551" s="1"/>
  <c r="J8" i="551" a="1"/>
  <c r="J8" i="551" s="1"/>
  <c r="H8" i="551"/>
  <c r="V7" i="551"/>
  <c r="V28" i="551" s="1"/>
  <c r="N7" i="551"/>
  <c r="K7" i="551" a="1"/>
  <c r="K7" i="551" s="1"/>
  <c r="J7" i="551" a="1"/>
  <c r="J7" i="551" s="1"/>
  <c r="H7" i="551"/>
  <c r="H28" i="551" s="1"/>
  <c r="J308" i="551" l="1" a="1"/>
  <c r="J308" i="551" s="1"/>
  <c r="J292" i="551" a="1"/>
  <c r="J292" i="551" s="1"/>
  <c r="E344" i="551"/>
  <c r="J257" i="551" a="1"/>
  <c r="J257" i="551" s="1"/>
  <c r="J28" i="551" a="1"/>
  <c r="J28" i="551" s="1"/>
  <c r="H428" i="551"/>
  <c r="H507" i="551" s="1"/>
  <c r="E514" i="551" s="1"/>
  <c r="V428" i="551"/>
  <c r="W428" i="551" s="1"/>
  <c r="N370" i="551"/>
  <c r="N428" i="551"/>
  <c r="H463" i="551"/>
  <c r="V463" i="551"/>
  <c r="W463" i="551" s="1"/>
  <c r="J463" i="551" a="1"/>
  <c r="J463" i="551" s="1"/>
  <c r="R511" i="551"/>
  <c r="R512" i="551"/>
  <c r="H490" i="551"/>
  <c r="H506" i="551"/>
  <c r="W506" i="551"/>
  <c r="W320" i="551"/>
  <c r="W334" i="551" s="1"/>
  <c r="H292" i="551"/>
  <c r="W200" i="551"/>
  <c r="M199" i="551"/>
  <c r="H308" i="551"/>
  <c r="H335" i="551" s="1"/>
  <c r="E342" i="551" s="1"/>
  <c r="J199" i="551" a="1"/>
  <c r="J199" i="551" s="1"/>
  <c r="K163" i="551"/>
  <c r="W149" i="551"/>
  <c r="J163" i="551" a="1"/>
  <c r="J163" i="551" s="1"/>
  <c r="R170" i="551"/>
  <c r="R169" i="551"/>
  <c r="N137" i="551"/>
  <c r="N121" i="551"/>
  <c r="N28" i="551"/>
  <c r="K148" i="551"/>
  <c r="H121" i="551"/>
  <c r="W121" i="551"/>
  <c r="H164" i="551"/>
  <c r="E171" i="551" s="1"/>
  <c r="M29" i="551"/>
  <c r="M86" i="551" s="1"/>
  <c r="K86" i="551"/>
  <c r="M7" i="551"/>
  <c r="M28" i="551" s="1"/>
  <c r="K28" i="551"/>
  <c r="W28" i="551"/>
  <c r="W7" i="551"/>
  <c r="X167" i="551"/>
  <c r="P164" i="551"/>
  <c r="X168" i="551" s="1"/>
  <c r="W29" i="551"/>
  <c r="J86" i="551" a="1"/>
  <c r="J86" i="551" s="1"/>
  <c r="K526" i="551"/>
  <c r="K528" i="551"/>
  <c r="K529" i="551"/>
  <c r="W199" i="551"/>
  <c r="M257" i="551"/>
  <c r="C524" i="551"/>
  <c r="G164" i="551"/>
  <c r="C520" i="551"/>
  <c r="R166" i="551"/>
  <c r="O164" i="551"/>
  <c r="K525" i="551"/>
  <c r="K121" i="551"/>
  <c r="M87" i="551"/>
  <c r="M121" i="551" s="1"/>
  <c r="K137" i="551"/>
  <c r="M122" i="551"/>
  <c r="M137" i="551" s="1"/>
  <c r="K527" i="551"/>
  <c r="K170" i="551"/>
  <c r="M166" i="551"/>
  <c r="V137" i="551"/>
  <c r="W137" i="551" s="1"/>
  <c r="E170" i="551"/>
  <c r="K199" i="551"/>
  <c r="X338" i="551"/>
  <c r="P335" i="551"/>
  <c r="X339" i="551" s="1"/>
  <c r="K257" i="551"/>
  <c r="K292" i="551"/>
  <c r="K308" i="551"/>
  <c r="M293" i="551"/>
  <c r="M308" i="551" s="1"/>
  <c r="K370" i="551"/>
  <c r="M349" i="551"/>
  <c r="M370" i="551" s="1"/>
  <c r="K428" i="551"/>
  <c r="M371" i="551"/>
  <c r="M428" i="551" s="1"/>
  <c r="W87" i="551"/>
  <c r="J121" i="551" a="1"/>
  <c r="J121" i="551" s="1"/>
  <c r="J137" i="551" a="1"/>
  <c r="J137" i="551" s="1"/>
  <c r="M138" i="551"/>
  <c r="M148" i="551" s="1"/>
  <c r="J148" i="551" a="1"/>
  <c r="J148" i="551" s="1"/>
  <c r="M149" i="551"/>
  <c r="M163" i="551" s="1"/>
  <c r="X173" i="551"/>
  <c r="Z169" i="551" s="1"/>
  <c r="B342" i="551"/>
  <c r="J335" i="551" a="1"/>
  <c r="J335" i="551" s="1"/>
  <c r="M342" i="551" s="1"/>
  <c r="R337" i="551"/>
  <c r="O335" i="551"/>
  <c r="R338" i="551"/>
  <c r="M258" i="551"/>
  <c r="M292" i="551" s="1"/>
  <c r="V292" i="551"/>
  <c r="W292" i="551" s="1"/>
  <c r="K334" i="551"/>
  <c r="K341" i="551"/>
  <c r="M337" i="551"/>
  <c r="V308" i="551"/>
  <c r="W308" i="551" s="1"/>
  <c r="E341" i="551"/>
  <c r="J507" i="551" a="1"/>
  <c r="J507" i="551" s="1"/>
  <c r="M514" i="551" s="1"/>
  <c r="B514" i="551"/>
  <c r="X509" i="551"/>
  <c r="O507" i="551"/>
  <c r="X510" i="551" s="1"/>
  <c r="R509" i="551"/>
  <c r="K479" i="551"/>
  <c r="M464" i="551"/>
  <c r="M479" i="551" s="1"/>
  <c r="M309" i="551"/>
  <c r="M319" i="551" s="1"/>
  <c r="M320" i="551"/>
  <c r="M334" i="551" s="1"/>
  <c r="W349" i="551"/>
  <c r="W370" i="551" s="1"/>
  <c r="J370" i="551" a="1"/>
  <c r="J370" i="551" s="1"/>
  <c r="W371" i="551"/>
  <c r="M429" i="551"/>
  <c r="M463" i="551" s="1"/>
  <c r="K463" i="551"/>
  <c r="W429" i="551"/>
  <c r="N479" i="551"/>
  <c r="N507" i="551" s="1"/>
  <c r="B516" i="551" s="1"/>
  <c r="J479" i="551" a="1"/>
  <c r="J479" i="551" s="1"/>
  <c r="V479" i="551"/>
  <c r="W479" i="551" s="1"/>
  <c r="K506" i="551"/>
  <c r="M491" i="551"/>
  <c r="M506" i="551" s="1"/>
  <c r="V506" i="551"/>
  <c r="K509" i="551"/>
  <c r="K490" i="551"/>
  <c r="M480" i="551"/>
  <c r="M490" i="551" s="1"/>
  <c r="W490" i="551"/>
  <c r="R534" i="551"/>
  <c r="S534" i="551" a="1"/>
  <c r="S534" i="551" s="1"/>
  <c r="J536" i="551"/>
  <c r="Q533" i="551"/>
  <c r="R535" i="551"/>
  <c r="S535" i="551" a="1"/>
  <c r="S535" i="551" s="1"/>
  <c r="T533" i="551" a="1"/>
  <c r="T533" i="551" s="1"/>
  <c r="T534" i="551" a="1"/>
  <c r="T534" i="551" s="1"/>
  <c r="T535" i="551" a="1"/>
  <c r="T535" i="551" s="1"/>
  <c r="C536" i="551"/>
  <c r="T536" i="551" s="1" a="1"/>
  <c r="T536" i="551" s="1"/>
  <c r="G321" i="549"/>
  <c r="M335" i="551" l="1"/>
  <c r="X344" i="551"/>
  <c r="Z343" i="551" s="1"/>
  <c r="G519" i="551"/>
  <c r="N164" i="551"/>
  <c r="B173" i="551" s="1"/>
  <c r="E173" i="551" s="1"/>
  <c r="E516" i="551"/>
  <c r="C521" i="551"/>
  <c r="G521" i="551" s="1"/>
  <c r="R533" i="551"/>
  <c r="R536" i="551" s="1"/>
  <c r="Q536" i="551"/>
  <c r="S536" i="551" s="1" a="1"/>
  <c r="S536" i="551" s="1"/>
  <c r="S533" i="551" a="1"/>
  <c r="S533" i="551" s="1"/>
  <c r="M509" i="551"/>
  <c r="K513" i="551"/>
  <c r="M513" i="551" s="1"/>
  <c r="Z337" i="551" a="1"/>
  <c r="Z337" i="551" s="1"/>
  <c r="Z341" i="551"/>
  <c r="Z340" i="551"/>
  <c r="M341" i="551"/>
  <c r="R344" i="551"/>
  <c r="T338" i="551" s="1"/>
  <c r="M507" i="551"/>
  <c r="Z339" i="551"/>
  <c r="K335" i="551"/>
  <c r="Z170" i="551"/>
  <c r="V335" i="551"/>
  <c r="I344" i="551" s="1"/>
  <c r="M344" i="551" s="1" a="1"/>
  <c r="M344" i="551" s="1"/>
  <c r="K524" i="551"/>
  <c r="R173" i="551"/>
  <c r="T166" i="551" s="1" a="1"/>
  <c r="T166" i="551" s="1"/>
  <c r="C530" i="551"/>
  <c r="E524" i="551" s="1"/>
  <c r="W335" i="551"/>
  <c r="Q525" i="551"/>
  <c r="Z167" i="551"/>
  <c r="W164" i="551"/>
  <c r="K164" i="551"/>
  <c r="E172" i="551" s="1"/>
  <c r="R516" i="551"/>
  <c r="T509" i="551" s="1" a="1"/>
  <c r="T509" i="551" s="1"/>
  <c r="X516" i="551"/>
  <c r="Z509" i="551" a="1"/>
  <c r="Z509" i="551" s="1"/>
  <c r="Z166" i="551" a="1"/>
  <c r="Z166" i="551" s="1"/>
  <c r="Z172" i="551"/>
  <c r="V507" i="551"/>
  <c r="K507" i="551"/>
  <c r="Z338" i="551"/>
  <c r="Z171" i="551"/>
  <c r="M170" i="551"/>
  <c r="B171" i="551"/>
  <c r="C519" i="551" s="1"/>
  <c r="L164" i="551"/>
  <c r="I171" i="551" s="1"/>
  <c r="J164" i="551" a="1"/>
  <c r="J164" i="551" s="1"/>
  <c r="M171" i="551" s="1"/>
  <c r="Q526" i="551"/>
  <c r="Z168" i="551"/>
  <c r="V164" i="551"/>
  <c r="I173" i="551" s="1"/>
  <c r="M164" i="551"/>
  <c r="Z342" i="551" l="1"/>
  <c r="M173" i="551" a="1"/>
  <c r="M173" i="551" s="1"/>
  <c r="I516" i="551"/>
  <c r="M516" i="551" s="1" a="1"/>
  <c r="M516" i="551" s="1"/>
  <c r="W507" i="551"/>
  <c r="Z515" i="551"/>
  <c r="Z512" i="551"/>
  <c r="Z513" i="551"/>
  <c r="Z511" i="551"/>
  <c r="Z514" i="551"/>
  <c r="Q530" i="551"/>
  <c r="E526" i="551"/>
  <c r="E529" i="551"/>
  <c r="E525" i="551"/>
  <c r="E527" i="551"/>
  <c r="E528" i="551"/>
  <c r="T337" i="551" a="1"/>
  <c r="T337" i="551" s="1"/>
  <c r="Z510" i="551"/>
  <c r="O519" i="551" a="1"/>
  <c r="O519" i="551" s="1"/>
  <c r="E515" i="551"/>
  <c r="I515" i="551" s="1"/>
  <c r="M515" i="551" s="1"/>
  <c r="L507" i="551"/>
  <c r="I514" i="551" s="1"/>
  <c r="T515" i="551"/>
  <c r="T514" i="551"/>
  <c r="T512" i="551"/>
  <c r="T510" i="551"/>
  <c r="T513" i="551"/>
  <c r="T511" i="551"/>
  <c r="I172" i="551"/>
  <c r="M172" i="551" s="1"/>
  <c r="E530" i="551"/>
  <c r="K530" i="551"/>
  <c r="T172" i="551"/>
  <c r="T168" i="551"/>
  <c r="T170" i="551"/>
  <c r="T171" i="551"/>
  <c r="T167" i="551"/>
  <c r="T169" i="551"/>
  <c r="E343" i="551"/>
  <c r="I343" i="551" s="1"/>
  <c r="M343" i="551" s="1"/>
  <c r="L335" i="551"/>
  <c r="I342" i="551" s="1"/>
  <c r="T343" i="551"/>
  <c r="T340" i="551"/>
  <c r="T339" i="551"/>
  <c r="T342" i="551"/>
  <c r="T341" i="551"/>
  <c r="M201" i="550"/>
  <c r="K201" i="550" a="1"/>
  <c r="K201" i="550" s="1"/>
  <c r="J201" i="550" a="1"/>
  <c r="J201" i="550" s="1"/>
  <c r="M287" i="550"/>
  <c r="K287" i="550" a="1"/>
  <c r="K287" i="550" s="1"/>
  <c r="J287" i="550" a="1"/>
  <c r="J287" i="550" s="1"/>
  <c r="J282" i="550" a="1"/>
  <c r="J282" i="550" s="1"/>
  <c r="J334" i="550" a="1"/>
  <c r="J334" i="550" s="1"/>
  <c r="M315" i="550"/>
  <c r="K315" i="550" a="1"/>
  <c r="K315" i="550" s="1"/>
  <c r="J315" i="550" a="1"/>
  <c r="J315" i="550" s="1"/>
  <c r="I203" i="550"/>
  <c r="I201" i="550"/>
  <c r="I282" i="550"/>
  <c r="I289" i="550"/>
  <c r="I315" i="550"/>
  <c r="I213" i="550"/>
  <c r="I298" i="550"/>
  <c r="I284" i="550"/>
  <c r="I187" i="550"/>
  <c r="I287" i="550"/>
  <c r="M529" i="551" l="1"/>
  <c r="M526" i="551"/>
  <c r="M527" i="551"/>
  <c r="M528" i="551"/>
  <c r="M525" i="551"/>
  <c r="M524" i="551" a="1"/>
  <c r="M524" i="551" s="1"/>
  <c r="S528" i="551"/>
  <c r="S524" i="551" a="1"/>
  <c r="S524" i="551" s="1"/>
  <c r="S527" i="551"/>
  <c r="S529" i="551"/>
  <c r="G520" i="551"/>
  <c r="S525" i="551"/>
  <c r="S526" i="551"/>
  <c r="K521" i="551"/>
  <c r="O521" i="551" s="1" a="1"/>
  <c r="O521" i="551" s="1"/>
  <c r="G113" i="550"/>
  <c r="G10" i="550"/>
  <c r="G118" i="550"/>
  <c r="G213" i="550"/>
  <c r="S530" i="551" l="1"/>
  <c r="K520" i="551"/>
  <c r="O520" i="551" s="1"/>
  <c r="K519" i="551"/>
  <c r="G124" i="550"/>
  <c r="G284" i="550"/>
  <c r="G203" i="550"/>
  <c r="G321" i="550"/>
  <c r="G289" i="550"/>
  <c r="G187" i="550"/>
  <c r="G235" i="550"/>
  <c r="G201" i="550"/>
  <c r="G315" i="550"/>
  <c r="G323" i="550"/>
  <c r="G322" i="550"/>
  <c r="G298" i="550"/>
  <c r="G64" i="550"/>
  <c r="I455" i="550" l="1"/>
  <c r="I431" i="550"/>
  <c r="M145" i="550"/>
  <c r="M144" i="550"/>
  <c r="J150" i="550" a="1"/>
  <c r="J150" i="550" s="1"/>
  <c r="J145" i="550" a="1"/>
  <c r="J145" i="550" s="1"/>
  <c r="J144" i="550" a="1"/>
  <c r="J144" i="550" s="1"/>
  <c r="J112" i="550" a="1"/>
  <c r="J112" i="550" s="1"/>
  <c r="J111" i="550" a="1"/>
  <c r="J111" i="550" s="1"/>
  <c r="I113" i="550" l="1"/>
  <c r="I118" i="550"/>
  <c r="I112" i="550"/>
  <c r="I111" i="550"/>
  <c r="I42" i="550"/>
  <c r="I144" i="550"/>
  <c r="I145" i="550"/>
  <c r="I124" i="550"/>
  <c r="I10" i="550"/>
  <c r="I123" i="550"/>
  <c r="I122" i="550"/>
  <c r="I33" i="550"/>
  <c r="I48" i="550"/>
  <c r="D534" i="550"/>
  <c r="D535" i="550"/>
  <c r="D533" i="550"/>
  <c r="C533" i="550" s="1"/>
  <c r="J533" i="550" s="1"/>
  <c r="G455" i="550"/>
  <c r="G431" i="550"/>
  <c r="G150" i="550"/>
  <c r="G123" i="550"/>
  <c r="G33" i="550"/>
  <c r="G144" i="550"/>
  <c r="G112" i="550"/>
  <c r="G111" i="550"/>
  <c r="G48" i="550"/>
  <c r="G42" i="550"/>
  <c r="G122" i="550"/>
  <c r="P536" i="550"/>
  <c r="O536" i="550"/>
  <c r="N536" i="550"/>
  <c r="M536" i="550"/>
  <c r="L536" i="550"/>
  <c r="K536" i="550"/>
  <c r="I536" i="550"/>
  <c r="H536" i="550"/>
  <c r="G536" i="550"/>
  <c r="F536" i="550"/>
  <c r="E536" i="550"/>
  <c r="D536" i="550"/>
  <c r="C535" i="550"/>
  <c r="J535" i="550" s="1"/>
  <c r="Q535" i="550" s="1"/>
  <c r="C534" i="550"/>
  <c r="J534" i="550" s="1"/>
  <c r="Q534" i="550" s="1"/>
  <c r="G517" i="550"/>
  <c r="N517" i="550" s="1"/>
  <c r="X515" i="550"/>
  <c r="X514" i="550"/>
  <c r="X513" i="550"/>
  <c r="G513" i="550"/>
  <c r="C513" i="550"/>
  <c r="X512" i="550"/>
  <c r="I512" i="550"/>
  <c r="E512" i="550"/>
  <c r="K512" i="550" s="1"/>
  <c r="M512" i="550" s="1"/>
  <c r="X511" i="550"/>
  <c r="I511" i="550"/>
  <c r="E511" i="550"/>
  <c r="K511" i="550" s="1"/>
  <c r="M511" i="550" s="1"/>
  <c r="I510" i="550"/>
  <c r="E510" i="550"/>
  <c r="K510" i="550" s="1"/>
  <c r="M510" i="550" s="1"/>
  <c r="I509" i="550"/>
  <c r="I513" i="550" s="1"/>
  <c r="E509" i="550"/>
  <c r="K509" i="550" s="1"/>
  <c r="AA506" i="550"/>
  <c r="Z506" i="550"/>
  <c r="Y506" i="550"/>
  <c r="X506" i="550"/>
  <c r="U506" i="550"/>
  <c r="T506" i="550"/>
  <c r="S506" i="550"/>
  <c r="R506" i="550"/>
  <c r="Q506" i="550"/>
  <c r="P506" i="550"/>
  <c r="O506" i="550"/>
  <c r="I506" i="550"/>
  <c r="G506" i="550"/>
  <c r="J506" i="550" s="1" a="1"/>
  <c r="J506" i="550" s="1"/>
  <c r="H505" i="550"/>
  <c r="H504" i="550"/>
  <c r="H503" i="550"/>
  <c r="D502" i="550"/>
  <c r="H502" i="550" s="1"/>
  <c r="V501" i="550"/>
  <c r="W501" i="550" s="1"/>
  <c r="N501" i="550"/>
  <c r="K501" i="550" a="1"/>
  <c r="K501" i="550" s="1"/>
  <c r="M501" i="550" s="1"/>
  <c r="J501" i="550" a="1"/>
  <c r="J501" i="550" s="1"/>
  <c r="H501" i="550"/>
  <c r="H500" i="550"/>
  <c r="H499" i="550"/>
  <c r="V498" i="550"/>
  <c r="W498" i="550" s="1"/>
  <c r="N498" i="550"/>
  <c r="K498" i="550" a="1"/>
  <c r="K498" i="550" s="1"/>
  <c r="M498" i="550" s="1"/>
  <c r="J498" i="550" a="1"/>
  <c r="J498" i="550" s="1"/>
  <c r="H498" i="550"/>
  <c r="V497" i="550"/>
  <c r="W497" i="550" s="1"/>
  <c r="N497" i="550"/>
  <c r="K497" i="550"/>
  <c r="M497" i="550" s="1"/>
  <c r="K497" i="550" a="1"/>
  <c r="J497" i="550"/>
  <c r="J497" i="550" a="1"/>
  <c r="H497" i="550"/>
  <c r="H496" i="550"/>
  <c r="H495" i="550"/>
  <c r="V494" i="550"/>
  <c r="W494" i="550" s="1"/>
  <c r="N494" i="550"/>
  <c r="K494" i="550" a="1"/>
  <c r="K494" i="550" s="1"/>
  <c r="M494" i="550" s="1"/>
  <c r="J494" i="550" a="1"/>
  <c r="J494" i="550" s="1"/>
  <c r="H494" i="550"/>
  <c r="V493" i="550"/>
  <c r="W493" i="550" s="1"/>
  <c r="N493" i="550"/>
  <c r="K493" i="550" a="1"/>
  <c r="K493" i="550" s="1"/>
  <c r="M493" i="550" s="1"/>
  <c r="J493" i="550" a="1"/>
  <c r="J493" i="550" s="1"/>
  <c r="H493" i="550"/>
  <c r="V492" i="550"/>
  <c r="W492" i="550" s="1"/>
  <c r="N492" i="550"/>
  <c r="K492" i="550" a="1"/>
  <c r="K492" i="550" s="1"/>
  <c r="M492" i="550" s="1"/>
  <c r="J492" i="550" a="1"/>
  <c r="J492" i="550" s="1"/>
  <c r="H492" i="550"/>
  <c r="V491" i="550"/>
  <c r="W491" i="550" s="1"/>
  <c r="N491" i="550"/>
  <c r="N506" i="550" s="1"/>
  <c r="K491" i="550"/>
  <c r="K491" i="550" a="1"/>
  <c r="J491" i="550" a="1"/>
  <c r="J491" i="550" s="1"/>
  <c r="H491" i="550"/>
  <c r="H506" i="550" s="1"/>
  <c r="AA490" i="550"/>
  <c r="Z490" i="550"/>
  <c r="Y490" i="550"/>
  <c r="X490" i="550"/>
  <c r="U490" i="550"/>
  <c r="T490" i="550"/>
  <c r="S490" i="550"/>
  <c r="Q490" i="550"/>
  <c r="P490" i="550"/>
  <c r="O490" i="550"/>
  <c r="R513" i="550" s="1"/>
  <c r="I490" i="550"/>
  <c r="G490" i="550"/>
  <c r="J490" i="550" s="1" a="1"/>
  <c r="J490" i="550" s="1"/>
  <c r="V489" i="550"/>
  <c r="W489" i="550" s="1"/>
  <c r="N489" i="550"/>
  <c r="K489" i="550" a="1"/>
  <c r="K489" i="550" s="1"/>
  <c r="M489" i="550" s="1"/>
  <c r="J489" i="550" a="1"/>
  <c r="J489" i="550" s="1"/>
  <c r="H489" i="550"/>
  <c r="H488" i="550"/>
  <c r="H487" i="550"/>
  <c r="H486" i="550"/>
  <c r="H485" i="550"/>
  <c r="W484" i="550"/>
  <c r="V484" i="550"/>
  <c r="N484" i="550"/>
  <c r="K484" i="550" a="1"/>
  <c r="K484" i="550" s="1"/>
  <c r="M484" i="550" s="1"/>
  <c r="J484" i="550" a="1"/>
  <c r="J484" i="550" s="1"/>
  <c r="H484" i="550"/>
  <c r="V483" i="550"/>
  <c r="W483" i="550" s="1"/>
  <c r="N483" i="550"/>
  <c r="K483" i="550" a="1"/>
  <c r="K483" i="550" s="1"/>
  <c r="M483" i="550" s="1"/>
  <c r="J483" i="550" a="1"/>
  <c r="J483" i="550" s="1"/>
  <c r="H483" i="550"/>
  <c r="V482" i="550"/>
  <c r="W482" i="550" s="1"/>
  <c r="N482" i="550"/>
  <c r="K482" i="550"/>
  <c r="M482" i="550" s="1"/>
  <c r="K482" i="550" a="1"/>
  <c r="J482" i="550"/>
  <c r="J482" i="550" a="1"/>
  <c r="H482" i="550"/>
  <c r="V481" i="550"/>
  <c r="W481" i="550" s="1"/>
  <c r="N481" i="550"/>
  <c r="K481" i="550" a="1"/>
  <c r="K481" i="550" s="1"/>
  <c r="M481" i="550" s="1"/>
  <c r="J481" i="550" a="1"/>
  <c r="J481" i="550" s="1"/>
  <c r="H481" i="550"/>
  <c r="W480" i="550"/>
  <c r="V480" i="550"/>
  <c r="N480" i="550"/>
  <c r="N490" i="550" s="1"/>
  <c r="K480" i="550" a="1"/>
  <c r="K480" i="550" s="1"/>
  <c r="K490" i="550" s="1"/>
  <c r="J480" i="550" a="1"/>
  <c r="J480" i="550" s="1"/>
  <c r="H480" i="550"/>
  <c r="H490" i="550" s="1"/>
  <c r="AA479" i="550"/>
  <c r="Z479" i="550"/>
  <c r="Y479" i="550"/>
  <c r="X479" i="550"/>
  <c r="U479" i="550"/>
  <c r="T479" i="550"/>
  <c r="S479" i="550"/>
  <c r="Q479" i="550"/>
  <c r="P479" i="550"/>
  <c r="O479" i="550"/>
  <c r="I479" i="550"/>
  <c r="G479" i="550"/>
  <c r="V478" i="550"/>
  <c r="W478" i="550" s="1"/>
  <c r="N478" i="550"/>
  <c r="K478" i="550" a="1"/>
  <c r="K478" i="550" s="1"/>
  <c r="M478" i="550" s="1"/>
  <c r="J478" i="550" a="1"/>
  <c r="J478" i="550" s="1"/>
  <c r="H478" i="550"/>
  <c r="V477" i="550"/>
  <c r="W477" i="550" s="1"/>
  <c r="N477" i="550"/>
  <c r="K477" i="550"/>
  <c r="M477" i="550" s="1"/>
  <c r="K477" i="550" a="1"/>
  <c r="J477" i="550"/>
  <c r="J477" i="550" a="1"/>
  <c r="H477" i="550"/>
  <c r="V476" i="550"/>
  <c r="W476" i="550" s="1"/>
  <c r="N476" i="550"/>
  <c r="K476" i="550" a="1"/>
  <c r="K476" i="550" s="1"/>
  <c r="M476" i="550" s="1"/>
  <c r="J476" i="550" a="1"/>
  <c r="J476" i="550" s="1"/>
  <c r="H476" i="550"/>
  <c r="V475" i="550"/>
  <c r="W475" i="550" s="1"/>
  <c r="N475" i="550"/>
  <c r="K475" i="550"/>
  <c r="M475" i="550" s="1"/>
  <c r="K475" i="550" a="1"/>
  <c r="J475" i="550"/>
  <c r="J475" i="550" a="1"/>
  <c r="H475" i="550"/>
  <c r="V474" i="550"/>
  <c r="W474" i="550" s="1"/>
  <c r="N474" i="550"/>
  <c r="K474" i="550" a="1"/>
  <c r="K474" i="550" s="1"/>
  <c r="M474" i="550" s="1"/>
  <c r="J474" i="550" a="1"/>
  <c r="J474" i="550" s="1"/>
  <c r="H474" i="550"/>
  <c r="W473" i="550"/>
  <c r="V473" i="550"/>
  <c r="N473" i="550"/>
  <c r="K473" i="550" a="1"/>
  <c r="K473" i="550" s="1"/>
  <c r="M473" i="550" s="1"/>
  <c r="J473" i="550" a="1"/>
  <c r="J473" i="550" s="1"/>
  <c r="H473" i="550"/>
  <c r="V472" i="550"/>
  <c r="W472" i="550" s="1"/>
  <c r="N472" i="550"/>
  <c r="K472" i="550" a="1"/>
  <c r="K472" i="550" s="1"/>
  <c r="M472" i="550" s="1"/>
  <c r="J472" i="550" a="1"/>
  <c r="J472" i="550" s="1"/>
  <c r="H472" i="550"/>
  <c r="V471" i="550"/>
  <c r="W471" i="550" s="1"/>
  <c r="N471" i="550"/>
  <c r="K471" i="550"/>
  <c r="M471" i="550" s="1"/>
  <c r="K471" i="550" a="1"/>
  <c r="J471" i="550"/>
  <c r="J471" i="550" a="1"/>
  <c r="H471" i="550"/>
  <c r="V470" i="550"/>
  <c r="W470" i="550" s="1"/>
  <c r="N470" i="550"/>
  <c r="K470" i="550" a="1"/>
  <c r="K470" i="550" s="1"/>
  <c r="M470" i="550" s="1"/>
  <c r="J470" i="550" a="1"/>
  <c r="J470" i="550" s="1"/>
  <c r="H470" i="550"/>
  <c r="V469" i="550"/>
  <c r="W469" i="550" s="1"/>
  <c r="N469" i="550"/>
  <c r="K469" i="550"/>
  <c r="M469" i="550" s="1"/>
  <c r="K469" i="550" a="1"/>
  <c r="J469" i="550"/>
  <c r="J469" i="550" a="1"/>
  <c r="H469" i="550"/>
  <c r="V468" i="550"/>
  <c r="W468" i="550" s="1"/>
  <c r="N468" i="550"/>
  <c r="K468" i="550" a="1"/>
  <c r="K468" i="550" s="1"/>
  <c r="M468" i="550" s="1"/>
  <c r="J468" i="550" a="1"/>
  <c r="J468" i="550" s="1"/>
  <c r="H468" i="550"/>
  <c r="V467" i="550"/>
  <c r="W467" i="550" s="1"/>
  <c r="N467" i="550"/>
  <c r="K467" i="550"/>
  <c r="M467" i="550" s="1"/>
  <c r="K467" i="550" a="1"/>
  <c r="J467" i="550"/>
  <c r="J467" i="550" a="1"/>
  <c r="H467" i="550"/>
  <c r="V466" i="550"/>
  <c r="W466" i="550" s="1"/>
  <c r="N466" i="550"/>
  <c r="K466" i="550" a="1"/>
  <c r="K466" i="550" s="1"/>
  <c r="M466" i="550" s="1"/>
  <c r="J466" i="550" a="1"/>
  <c r="J466" i="550" s="1"/>
  <c r="H466" i="550"/>
  <c r="V465" i="550"/>
  <c r="W465" i="550" s="1"/>
  <c r="N465" i="550"/>
  <c r="K465" i="550"/>
  <c r="M465" i="550" s="1"/>
  <c r="K465" i="550" a="1"/>
  <c r="J465" i="550"/>
  <c r="J465" i="550" a="1"/>
  <c r="H465" i="550"/>
  <c r="V464" i="550"/>
  <c r="N464" i="550"/>
  <c r="K464" i="550" a="1"/>
  <c r="K464" i="550" s="1"/>
  <c r="M464" i="550" s="1"/>
  <c r="J464" i="550" a="1"/>
  <c r="J464" i="550" s="1"/>
  <c r="H464" i="550"/>
  <c r="H479" i="550" s="1"/>
  <c r="AA463" i="550"/>
  <c r="Z463" i="550"/>
  <c r="Y463" i="550"/>
  <c r="X463" i="550"/>
  <c r="U463" i="550"/>
  <c r="T463" i="550"/>
  <c r="S463" i="550"/>
  <c r="R463" i="550"/>
  <c r="Q463" i="550"/>
  <c r="P463" i="550"/>
  <c r="O463" i="550"/>
  <c r="R511" i="550" s="1"/>
  <c r="I463" i="550"/>
  <c r="G463" i="550"/>
  <c r="V462" i="550"/>
  <c r="W462" i="550" s="1"/>
  <c r="N462" i="550"/>
  <c r="M462" i="550"/>
  <c r="K462" i="550" a="1"/>
  <c r="K462" i="550" s="1"/>
  <c r="J462" i="550" a="1"/>
  <c r="J462" i="550" s="1"/>
  <c r="H462" i="550"/>
  <c r="W461" i="550"/>
  <c r="V461" i="550"/>
  <c r="N461" i="550"/>
  <c r="K461" i="550" a="1"/>
  <c r="K461" i="550" s="1"/>
  <c r="M461" i="550" s="1"/>
  <c r="J461" i="550" a="1"/>
  <c r="J461" i="550" s="1"/>
  <c r="H461" i="550"/>
  <c r="W460" i="550"/>
  <c r="V460" i="550"/>
  <c r="N460" i="550"/>
  <c r="K460" i="550" a="1"/>
  <c r="K460" i="550" s="1"/>
  <c r="M460" i="550" s="1"/>
  <c r="J460" i="550" a="1"/>
  <c r="J460" i="550" s="1"/>
  <c r="H460" i="550"/>
  <c r="K459" i="550"/>
  <c r="M459" i="550" s="1"/>
  <c r="K459" i="550" a="1"/>
  <c r="H459" i="550"/>
  <c r="K458" i="550" a="1"/>
  <c r="K458" i="550" s="1"/>
  <c r="M458" i="550" s="1"/>
  <c r="H458" i="550"/>
  <c r="K457" i="550"/>
  <c r="M457" i="550" s="1"/>
  <c r="K457" i="550" a="1"/>
  <c r="H457" i="550"/>
  <c r="V456" i="550"/>
  <c r="W456" i="550" s="1"/>
  <c r="N456" i="550"/>
  <c r="K456" i="550" a="1"/>
  <c r="K456" i="550" s="1"/>
  <c r="M456" i="550" s="1"/>
  <c r="J456" i="550" a="1"/>
  <c r="J456" i="550" s="1"/>
  <c r="H456" i="550"/>
  <c r="V455" i="550"/>
  <c r="W455" i="550" s="1"/>
  <c r="N455" i="550"/>
  <c r="K455" i="550" a="1"/>
  <c r="K455" i="550" s="1"/>
  <c r="M455" i="550" s="1"/>
  <c r="J455" i="550" a="1"/>
  <c r="J455" i="550" s="1"/>
  <c r="H455" i="550"/>
  <c r="N454" i="550"/>
  <c r="K454" i="550" a="1"/>
  <c r="K454" i="550" s="1"/>
  <c r="M454" i="550" s="1"/>
  <c r="H454" i="550"/>
  <c r="N453" i="550"/>
  <c r="K453" i="550" a="1"/>
  <c r="K453" i="550" s="1"/>
  <c r="M453" i="550" s="1"/>
  <c r="H453" i="550"/>
  <c r="N452" i="550"/>
  <c r="K452" i="550" a="1"/>
  <c r="K452" i="550" s="1"/>
  <c r="M452" i="550" s="1"/>
  <c r="H452" i="550"/>
  <c r="N451" i="550"/>
  <c r="K451" i="550" a="1"/>
  <c r="K451" i="550" s="1"/>
  <c r="M451" i="550" s="1"/>
  <c r="H451" i="550"/>
  <c r="N450" i="550"/>
  <c r="K450" i="550" a="1"/>
  <c r="K450" i="550" s="1"/>
  <c r="M450" i="550" s="1"/>
  <c r="H450" i="550"/>
  <c r="N449" i="550"/>
  <c r="K449" i="550" a="1"/>
  <c r="K449" i="550" s="1"/>
  <c r="M449" i="550" s="1"/>
  <c r="H449" i="550"/>
  <c r="V448" i="550"/>
  <c r="W448" i="550" s="1"/>
  <c r="N448" i="550"/>
  <c r="K448" i="550" a="1"/>
  <c r="K448" i="550" s="1"/>
  <c r="M448" i="550" s="1"/>
  <c r="J448" i="550" a="1"/>
  <c r="J448" i="550" s="1"/>
  <c r="H448" i="550"/>
  <c r="V447" i="550"/>
  <c r="W447" i="550" s="1"/>
  <c r="N447" i="550"/>
  <c r="K447" i="550" a="1"/>
  <c r="K447" i="550" s="1"/>
  <c r="M447" i="550" s="1"/>
  <c r="J447" i="550" a="1"/>
  <c r="J447" i="550" s="1"/>
  <c r="H447" i="550"/>
  <c r="V446" i="550"/>
  <c r="W446" i="550" s="1"/>
  <c r="N446" i="550"/>
  <c r="K446" i="550" a="1"/>
  <c r="K446" i="550" s="1"/>
  <c r="M446" i="550" s="1"/>
  <c r="J446" i="550" a="1"/>
  <c r="J446" i="550" s="1"/>
  <c r="H446" i="550"/>
  <c r="V445" i="550"/>
  <c r="W445" i="550" s="1"/>
  <c r="N445" i="550"/>
  <c r="K445" i="550" a="1"/>
  <c r="K445" i="550" s="1"/>
  <c r="M445" i="550" s="1"/>
  <c r="J445" i="550" a="1"/>
  <c r="J445" i="550" s="1"/>
  <c r="H445" i="550"/>
  <c r="V444" i="550"/>
  <c r="W444" i="550" s="1"/>
  <c r="N444" i="550"/>
  <c r="K444" i="550" a="1"/>
  <c r="K444" i="550" s="1"/>
  <c r="M444" i="550" s="1"/>
  <c r="J444" i="550" a="1"/>
  <c r="J444" i="550" s="1"/>
  <c r="H444" i="550"/>
  <c r="V443" i="550"/>
  <c r="W443" i="550" s="1"/>
  <c r="N443" i="550"/>
  <c r="K443" i="550" a="1"/>
  <c r="K443" i="550" s="1"/>
  <c r="M443" i="550" s="1"/>
  <c r="J443" i="550" a="1"/>
  <c r="J443" i="550" s="1"/>
  <c r="H443" i="550"/>
  <c r="V442" i="550"/>
  <c r="W442" i="550" s="1"/>
  <c r="N442" i="550"/>
  <c r="K442" i="550" a="1"/>
  <c r="K442" i="550" s="1"/>
  <c r="M442" i="550" s="1"/>
  <c r="J442" i="550" a="1"/>
  <c r="J442" i="550" s="1"/>
  <c r="H442" i="550"/>
  <c r="V441" i="550"/>
  <c r="W441" i="550" s="1"/>
  <c r="N441" i="550"/>
  <c r="K441" i="550" a="1"/>
  <c r="K441" i="550" s="1"/>
  <c r="M441" i="550" s="1"/>
  <c r="J441" i="550" a="1"/>
  <c r="J441" i="550" s="1"/>
  <c r="H441" i="550"/>
  <c r="V440" i="550"/>
  <c r="W440" i="550" s="1"/>
  <c r="N440" i="550"/>
  <c r="K440" i="550" a="1"/>
  <c r="K440" i="550" s="1"/>
  <c r="M440" i="550" s="1"/>
  <c r="J440" i="550" a="1"/>
  <c r="J440" i="550" s="1"/>
  <c r="H440" i="550"/>
  <c r="V439" i="550"/>
  <c r="W439" i="550" s="1"/>
  <c r="N439" i="550"/>
  <c r="K439" i="550" a="1"/>
  <c r="K439" i="550" s="1"/>
  <c r="M439" i="550" s="1"/>
  <c r="J439" i="550" a="1"/>
  <c r="J439" i="550" s="1"/>
  <c r="H439" i="550"/>
  <c r="V438" i="550"/>
  <c r="W438" i="550" s="1"/>
  <c r="N438" i="550"/>
  <c r="K438" i="550" a="1"/>
  <c r="K438" i="550" s="1"/>
  <c r="M438" i="550" s="1"/>
  <c r="J438" i="550" a="1"/>
  <c r="J438" i="550" s="1"/>
  <c r="H438" i="550"/>
  <c r="V437" i="550"/>
  <c r="W437" i="550" s="1"/>
  <c r="N437" i="550"/>
  <c r="K437" i="550" a="1"/>
  <c r="K437" i="550" s="1"/>
  <c r="M437" i="550" s="1"/>
  <c r="J437" i="550" a="1"/>
  <c r="J437" i="550" s="1"/>
  <c r="H437" i="550"/>
  <c r="N436" i="550"/>
  <c r="K436" i="550" a="1"/>
  <c r="K436" i="550" s="1"/>
  <c r="M436" i="550" s="1"/>
  <c r="H436" i="550"/>
  <c r="V435" i="550"/>
  <c r="W435" i="550" s="1"/>
  <c r="N435" i="550"/>
  <c r="K435" i="550" a="1"/>
  <c r="K435" i="550" s="1"/>
  <c r="M435" i="550" s="1"/>
  <c r="J435" i="550" a="1"/>
  <c r="J435" i="550" s="1"/>
  <c r="H435" i="550"/>
  <c r="V434" i="550"/>
  <c r="W434" i="550" s="1"/>
  <c r="N434" i="550"/>
  <c r="K434" i="550" a="1"/>
  <c r="K434" i="550" s="1"/>
  <c r="M434" i="550" s="1"/>
  <c r="J434" i="550" a="1"/>
  <c r="J434" i="550" s="1"/>
  <c r="H434" i="550"/>
  <c r="V433" i="550"/>
  <c r="W433" i="550" s="1"/>
  <c r="N433" i="550"/>
  <c r="K433" i="550" a="1"/>
  <c r="K433" i="550" s="1"/>
  <c r="M433" i="550" s="1"/>
  <c r="J433" i="550" a="1"/>
  <c r="J433" i="550" s="1"/>
  <c r="H433" i="550"/>
  <c r="V432" i="550"/>
  <c r="W432" i="550" s="1"/>
  <c r="N432" i="550"/>
  <c r="K432" i="550" a="1"/>
  <c r="K432" i="550" s="1"/>
  <c r="M432" i="550" s="1"/>
  <c r="J432" i="550" a="1"/>
  <c r="J432" i="550" s="1"/>
  <c r="H432" i="550"/>
  <c r="W431" i="550"/>
  <c r="V431" i="550"/>
  <c r="N431" i="550"/>
  <c r="K431" i="550" a="1"/>
  <c r="K431" i="550" s="1"/>
  <c r="M431" i="550" s="1"/>
  <c r="J431" i="550" a="1"/>
  <c r="J431" i="550" s="1"/>
  <c r="H431" i="550"/>
  <c r="V430" i="550"/>
  <c r="W430" i="550" s="1"/>
  <c r="N430" i="550"/>
  <c r="K430" i="550" a="1"/>
  <c r="K430" i="550" s="1"/>
  <c r="M430" i="550" s="1"/>
  <c r="J430" i="550" a="1"/>
  <c r="J430" i="550" s="1"/>
  <c r="H430" i="550"/>
  <c r="V429" i="550"/>
  <c r="W429" i="550" s="1"/>
  <c r="N429" i="550"/>
  <c r="K429" i="550" a="1"/>
  <c r="K429" i="550" s="1"/>
  <c r="M429" i="550" s="1"/>
  <c r="J429" i="550" a="1"/>
  <c r="J429" i="550" s="1"/>
  <c r="H429" i="550"/>
  <c r="AA428" i="550"/>
  <c r="Z428" i="550"/>
  <c r="Y428" i="550"/>
  <c r="X428" i="550"/>
  <c r="U428" i="550"/>
  <c r="T428" i="550"/>
  <c r="S428" i="550"/>
  <c r="R428" i="550"/>
  <c r="Q428" i="550"/>
  <c r="P428" i="550"/>
  <c r="O428" i="550"/>
  <c r="I428" i="550"/>
  <c r="G428" i="550"/>
  <c r="J428" i="550" s="1" a="1"/>
  <c r="J428" i="550" s="1"/>
  <c r="K427" i="550" a="1"/>
  <c r="K427" i="550" s="1"/>
  <c r="M427" i="550" s="1"/>
  <c r="H427" i="550"/>
  <c r="K426" i="550" a="1"/>
  <c r="K426" i="550" s="1"/>
  <c r="M426" i="550" s="1"/>
  <c r="H426" i="550"/>
  <c r="K425" i="550" a="1"/>
  <c r="K425" i="550" s="1"/>
  <c r="M425" i="550" s="1"/>
  <c r="H425" i="550"/>
  <c r="K424" i="550" a="1"/>
  <c r="K424" i="550" s="1"/>
  <c r="M424" i="550" s="1"/>
  <c r="H424" i="550"/>
  <c r="K423" i="550" a="1"/>
  <c r="K423" i="550" s="1"/>
  <c r="M423" i="550" s="1"/>
  <c r="H423" i="550"/>
  <c r="K422" i="550" a="1"/>
  <c r="K422" i="550" s="1"/>
  <c r="M422" i="550" s="1"/>
  <c r="H422" i="550"/>
  <c r="K421" i="550" a="1"/>
  <c r="K421" i="550" s="1"/>
  <c r="M421" i="550" s="1"/>
  <c r="H421" i="550"/>
  <c r="K420" i="550" a="1"/>
  <c r="K420" i="550" s="1"/>
  <c r="M420" i="550" s="1"/>
  <c r="H420" i="550"/>
  <c r="K419" i="550" a="1"/>
  <c r="K419" i="550" s="1"/>
  <c r="M419" i="550" s="1"/>
  <c r="H419" i="550"/>
  <c r="K418" i="550" a="1"/>
  <c r="K418" i="550" s="1"/>
  <c r="M418" i="550" s="1"/>
  <c r="H418" i="550"/>
  <c r="W417" i="550"/>
  <c r="V417" i="550"/>
  <c r="N417" i="550"/>
  <c r="K417" i="550" a="1"/>
  <c r="K417" i="550" s="1"/>
  <c r="M417" i="550" s="1"/>
  <c r="J417" i="550" a="1"/>
  <c r="J417" i="550" s="1"/>
  <c r="H417" i="550"/>
  <c r="V416" i="550"/>
  <c r="W416" i="550" s="1"/>
  <c r="N416" i="550"/>
  <c r="K416" i="550" a="1"/>
  <c r="K416" i="550" s="1"/>
  <c r="M416" i="550" s="1"/>
  <c r="J416" i="550" a="1"/>
  <c r="J416" i="550" s="1"/>
  <c r="H416" i="550"/>
  <c r="V415" i="550"/>
  <c r="W415" i="550" s="1"/>
  <c r="N415" i="550"/>
  <c r="K415" i="550"/>
  <c r="M415" i="550" s="1"/>
  <c r="K415" i="550" a="1"/>
  <c r="J415" i="550"/>
  <c r="J415" i="550" a="1"/>
  <c r="H415" i="550"/>
  <c r="V414" i="550"/>
  <c r="W414" i="550" s="1"/>
  <c r="N414" i="550"/>
  <c r="K414" i="550" a="1"/>
  <c r="K414" i="550" s="1"/>
  <c r="M414" i="550" s="1"/>
  <c r="J414" i="550" a="1"/>
  <c r="J414" i="550" s="1"/>
  <c r="H414" i="550"/>
  <c r="H413" i="550"/>
  <c r="V412" i="550"/>
  <c r="W412" i="550" s="1"/>
  <c r="N412" i="550"/>
  <c r="K412" i="550" a="1"/>
  <c r="K412" i="550" s="1"/>
  <c r="M412" i="550" s="1"/>
  <c r="J412" i="550" a="1"/>
  <c r="J412" i="550" s="1"/>
  <c r="H412" i="550"/>
  <c r="W411" i="550"/>
  <c r="V411" i="550"/>
  <c r="N411" i="550"/>
  <c r="K411" i="550" a="1"/>
  <c r="K411" i="550" s="1"/>
  <c r="M411" i="550" s="1"/>
  <c r="J411" i="550" a="1"/>
  <c r="J411" i="550" s="1"/>
  <c r="H411" i="550"/>
  <c r="H410" i="550"/>
  <c r="K409" i="550" a="1"/>
  <c r="K409" i="550" s="1"/>
  <c r="H409" i="550"/>
  <c r="V408" i="550"/>
  <c r="W408" i="550" s="1"/>
  <c r="N408" i="550"/>
  <c r="K408" i="550" a="1"/>
  <c r="K408" i="550" s="1"/>
  <c r="M408" i="550" s="1"/>
  <c r="J408" i="550" a="1"/>
  <c r="J408" i="550" s="1"/>
  <c r="H408" i="550"/>
  <c r="V407" i="550"/>
  <c r="W407" i="550" s="1"/>
  <c r="N407" i="550"/>
  <c r="K407" i="550"/>
  <c r="M407" i="550" s="1"/>
  <c r="K407" i="550" a="1"/>
  <c r="J407" i="550"/>
  <c r="J407" i="550" a="1"/>
  <c r="H407" i="550"/>
  <c r="V406" i="550"/>
  <c r="W406" i="550" s="1"/>
  <c r="N406" i="550"/>
  <c r="K406" i="550" a="1"/>
  <c r="K406" i="550" s="1"/>
  <c r="M406" i="550" s="1"/>
  <c r="J406" i="550" a="1"/>
  <c r="J406" i="550" s="1"/>
  <c r="H406" i="550"/>
  <c r="W405" i="550"/>
  <c r="V405" i="550"/>
  <c r="N405" i="550"/>
  <c r="K405" i="550" a="1"/>
  <c r="K405" i="550" s="1"/>
  <c r="M405" i="550" s="1"/>
  <c r="J405" i="550" a="1"/>
  <c r="J405" i="550" s="1"/>
  <c r="H405" i="550"/>
  <c r="V404" i="550"/>
  <c r="W404" i="550" s="1"/>
  <c r="N404" i="550"/>
  <c r="K404" i="550" a="1"/>
  <c r="K404" i="550" s="1"/>
  <c r="M404" i="550" s="1"/>
  <c r="J404" i="550" a="1"/>
  <c r="J404" i="550" s="1"/>
  <c r="H404" i="550"/>
  <c r="V403" i="550"/>
  <c r="W403" i="550" s="1"/>
  <c r="N403" i="550"/>
  <c r="K403" i="550"/>
  <c r="M403" i="550" s="1"/>
  <c r="K403" i="550" a="1"/>
  <c r="J403" i="550"/>
  <c r="J403" i="550" a="1"/>
  <c r="H403" i="550"/>
  <c r="V402" i="550"/>
  <c r="W402" i="550" s="1"/>
  <c r="N402" i="550"/>
  <c r="K402" i="550" a="1"/>
  <c r="K402" i="550" s="1"/>
  <c r="M402" i="550" s="1"/>
  <c r="J402" i="550" a="1"/>
  <c r="J402" i="550" s="1"/>
  <c r="H402" i="550"/>
  <c r="W401" i="550"/>
  <c r="V401" i="550"/>
  <c r="N401" i="550"/>
  <c r="K401" i="550" a="1"/>
  <c r="K401" i="550" s="1"/>
  <c r="M401" i="550" s="1"/>
  <c r="J401" i="550" a="1"/>
  <c r="J401" i="550" s="1"/>
  <c r="H401" i="550"/>
  <c r="V400" i="550"/>
  <c r="W400" i="550" s="1"/>
  <c r="N400" i="550"/>
  <c r="K400" i="550" a="1"/>
  <c r="K400" i="550" s="1"/>
  <c r="M400" i="550" s="1"/>
  <c r="J400" i="550" a="1"/>
  <c r="J400" i="550" s="1"/>
  <c r="H400" i="550"/>
  <c r="V399" i="550"/>
  <c r="W399" i="550" s="1"/>
  <c r="N399" i="550"/>
  <c r="K399" i="550"/>
  <c r="M399" i="550" s="1"/>
  <c r="K399" i="550" a="1"/>
  <c r="J399" i="550"/>
  <c r="J399" i="550" a="1"/>
  <c r="H399" i="550"/>
  <c r="K398" i="550" a="1"/>
  <c r="K398" i="550" s="1"/>
  <c r="M398" i="550" s="1"/>
  <c r="H398" i="550"/>
  <c r="K397" i="550"/>
  <c r="M397" i="550" s="1"/>
  <c r="K397" i="550" a="1"/>
  <c r="H397" i="550"/>
  <c r="K396" i="550" a="1"/>
  <c r="K396" i="550" s="1"/>
  <c r="M396" i="550" s="1"/>
  <c r="H396" i="550"/>
  <c r="K395" i="550"/>
  <c r="M395" i="550" s="1"/>
  <c r="K395" i="550" a="1"/>
  <c r="H395" i="550"/>
  <c r="N394" i="550"/>
  <c r="K394" i="550" a="1"/>
  <c r="K394" i="550" s="1"/>
  <c r="M394" i="550" s="1"/>
  <c r="H394" i="550"/>
  <c r="N393" i="550"/>
  <c r="K393" i="550" a="1"/>
  <c r="K393" i="550" s="1"/>
  <c r="M393" i="550" s="1"/>
  <c r="H393" i="550"/>
  <c r="N392" i="550"/>
  <c r="K392" i="550" a="1"/>
  <c r="K392" i="550" s="1"/>
  <c r="M392" i="550" s="1"/>
  <c r="H392" i="550"/>
  <c r="N391" i="550"/>
  <c r="K391" i="550"/>
  <c r="M391" i="550" s="1"/>
  <c r="K391" i="550" a="1"/>
  <c r="H391" i="550"/>
  <c r="V390" i="550"/>
  <c r="W390" i="550" s="1"/>
  <c r="N390" i="550"/>
  <c r="K390" i="550" a="1"/>
  <c r="K390" i="550" s="1"/>
  <c r="M390" i="550" s="1"/>
  <c r="J390" i="550" a="1"/>
  <c r="J390" i="550" s="1"/>
  <c r="H390" i="550"/>
  <c r="W389" i="550"/>
  <c r="V389" i="550"/>
  <c r="N389" i="550"/>
  <c r="K389" i="550" a="1"/>
  <c r="K389" i="550" s="1"/>
  <c r="M389" i="550" s="1"/>
  <c r="J389" i="550" a="1"/>
  <c r="J389" i="550" s="1"/>
  <c r="H389" i="550"/>
  <c r="V388" i="550"/>
  <c r="W388" i="550" s="1"/>
  <c r="N388" i="550"/>
  <c r="K388" i="550" a="1"/>
  <c r="K388" i="550" s="1"/>
  <c r="M388" i="550" s="1"/>
  <c r="J388" i="550" a="1"/>
  <c r="J388" i="550" s="1"/>
  <c r="H388" i="550"/>
  <c r="V387" i="550"/>
  <c r="W387" i="550" s="1"/>
  <c r="N387" i="550"/>
  <c r="K387" i="550"/>
  <c r="M387" i="550" s="1"/>
  <c r="K387" i="550" a="1"/>
  <c r="J387" i="550"/>
  <c r="J387" i="550" a="1"/>
  <c r="H387" i="550"/>
  <c r="V386" i="550"/>
  <c r="W386" i="550" s="1"/>
  <c r="N386" i="550"/>
  <c r="K386" i="550" a="1"/>
  <c r="K386" i="550" s="1"/>
  <c r="M386" i="550" s="1"/>
  <c r="J386" i="550" a="1"/>
  <c r="J386" i="550" s="1"/>
  <c r="H386" i="550"/>
  <c r="W385" i="550"/>
  <c r="V385" i="550"/>
  <c r="N385" i="550"/>
  <c r="K385" i="550" a="1"/>
  <c r="K385" i="550" s="1"/>
  <c r="M385" i="550" s="1"/>
  <c r="J385" i="550" a="1"/>
  <c r="J385" i="550" s="1"/>
  <c r="H385" i="550"/>
  <c r="V384" i="550"/>
  <c r="W384" i="550" s="1"/>
  <c r="N384" i="550"/>
  <c r="K384" i="550" a="1"/>
  <c r="K384" i="550" s="1"/>
  <c r="M384" i="550" s="1"/>
  <c r="J384" i="550" a="1"/>
  <c r="J384" i="550" s="1"/>
  <c r="H384" i="550"/>
  <c r="V383" i="550"/>
  <c r="W383" i="550" s="1"/>
  <c r="N383" i="550"/>
  <c r="K383" i="550"/>
  <c r="M383" i="550" s="1"/>
  <c r="K383" i="550" a="1"/>
  <c r="J383" i="550"/>
  <c r="J383" i="550" a="1"/>
  <c r="H383" i="550"/>
  <c r="V382" i="550"/>
  <c r="W382" i="550" s="1"/>
  <c r="N382" i="550"/>
  <c r="K382" i="550" a="1"/>
  <c r="K382" i="550" s="1"/>
  <c r="M382" i="550" s="1"/>
  <c r="J382" i="550" a="1"/>
  <c r="J382" i="550" s="1"/>
  <c r="H382" i="550"/>
  <c r="W381" i="550"/>
  <c r="V381" i="550"/>
  <c r="N381" i="550"/>
  <c r="K381" i="550" a="1"/>
  <c r="K381" i="550" s="1"/>
  <c r="M381" i="550" s="1"/>
  <c r="J381" i="550" a="1"/>
  <c r="J381" i="550" s="1"/>
  <c r="H381" i="550"/>
  <c r="V380" i="550"/>
  <c r="W380" i="550" s="1"/>
  <c r="N380" i="550"/>
  <c r="K380" i="550" a="1"/>
  <c r="K380" i="550" s="1"/>
  <c r="M380" i="550" s="1"/>
  <c r="J380" i="550" a="1"/>
  <c r="J380" i="550" s="1"/>
  <c r="H380" i="550"/>
  <c r="V379" i="550"/>
  <c r="W379" i="550" s="1"/>
  <c r="N379" i="550"/>
  <c r="K379" i="550"/>
  <c r="M379" i="550" s="1"/>
  <c r="K379" i="550" a="1"/>
  <c r="J379" i="550"/>
  <c r="J379" i="550" a="1"/>
  <c r="H379" i="550"/>
  <c r="K378" i="550" a="1"/>
  <c r="K378" i="550" s="1"/>
  <c r="M378" i="550" s="1"/>
  <c r="H378" i="550"/>
  <c r="K377" i="550"/>
  <c r="M377" i="550" s="1"/>
  <c r="K377" i="550" a="1"/>
  <c r="H377" i="550"/>
  <c r="K376" i="550" a="1"/>
  <c r="K376" i="550" s="1"/>
  <c r="M376" i="550" s="1"/>
  <c r="H376" i="550"/>
  <c r="V375" i="550"/>
  <c r="W375" i="550" s="1"/>
  <c r="N375" i="550"/>
  <c r="K375" i="550" a="1"/>
  <c r="K375" i="550" s="1"/>
  <c r="M375" i="550" s="1"/>
  <c r="J375" i="550" a="1"/>
  <c r="J375" i="550" s="1"/>
  <c r="H375" i="550"/>
  <c r="V374" i="550"/>
  <c r="W374" i="550" s="1"/>
  <c r="N374" i="550"/>
  <c r="K374" i="550"/>
  <c r="M374" i="550" s="1"/>
  <c r="K374" i="550" a="1"/>
  <c r="J374" i="550"/>
  <c r="J374" i="550" a="1"/>
  <c r="H374" i="550"/>
  <c r="V373" i="550"/>
  <c r="W373" i="550" s="1"/>
  <c r="N373" i="550"/>
  <c r="K373" i="550" a="1"/>
  <c r="K373" i="550" s="1"/>
  <c r="M373" i="550" s="1"/>
  <c r="J373" i="550" a="1"/>
  <c r="J373" i="550" s="1"/>
  <c r="H373" i="550"/>
  <c r="K372" i="550"/>
  <c r="K372" i="550" a="1"/>
  <c r="H372" i="550"/>
  <c r="V371" i="550"/>
  <c r="N371" i="550"/>
  <c r="N428" i="550" s="1"/>
  <c r="K371" i="550" a="1"/>
  <c r="K371" i="550" s="1"/>
  <c r="J371" i="550" a="1"/>
  <c r="J371" i="550" s="1"/>
  <c r="H371" i="550"/>
  <c r="AA370" i="550"/>
  <c r="AA507" i="550" s="1"/>
  <c r="Z370" i="550"/>
  <c r="Z507" i="550" s="1"/>
  <c r="Y370" i="550"/>
  <c r="Y507" i="550" s="1"/>
  <c r="X370" i="550"/>
  <c r="X507" i="550" s="1"/>
  <c r="U370" i="550"/>
  <c r="U507" i="550" s="1"/>
  <c r="T370" i="550"/>
  <c r="T507" i="550" s="1"/>
  <c r="S370" i="550"/>
  <c r="S507" i="550" s="1"/>
  <c r="R370" i="550"/>
  <c r="R507" i="550" s="1"/>
  <c r="Q370" i="550"/>
  <c r="Q507" i="550" s="1"/>
  <c r="P370" i="550"/>
  <c r="P507" i="550" s="1"/>
  <c r="O370" i="550"/>
  <c r="I370" i="550"/>
  <c r="I507" i="550" s="1"/>
  <c r="B515" i="550" s="1"/>
  <c r="G370" i="550"/>
  <c r="G507" i="550" s="1"/>
  <c r="V369" i="550"/>
  <c r="W369" i="550" s="1"/>
  <c r="N369" i="550"/>
  <c r="K369" i="550" a="1"/>
  <c r="K369" i="550" s="1"/>
  <c r="M369" i="550" s="1"/>
  <c r="J369" i="550" a="1"/>
  <c r="J369" i="550" s="1"/>
  <c r="H369" i="550"/>
  <c r="W368" i="550"/>
  <c r="V368" i="550"/>
  <c r="N368" i="550"/>
  <c r="K368" i="550" a="1"/>
  <c r="K368" i="550" s="1"/>
  <c r="M368" i="550" s="1"/>
  <c r="J368" i="550" a="1"/>
  <c r="J368" i="550" s="1"/>
  <c r="H368" i="550"/>
  <c r="K367" i="550"/>
  <c r="M367" i="550" s="1"/>
  <c r="K367" i="550" a="1"/>
  <c r="H367" i="550"/>
  <c r="K366" i="550" a="1"/>
  <c r="K366" i="550" s="1"/>
  <c r="M366" i="550" s="1"/>
  <c r="H366" i="550"/>
  <c r="K365" i="550"/>
  <c r="M365" i="550" s="1"/>
  <c r="K365" i="550" a="1"/>
  <c r="H365" i="550"/>
  <c r="K364" i="550" a="1"/>
  <c r="K364" i="550" s="1"/>
  <c r="M364" i="550" s="1"/>
  <c r="H364" i="550"/>
  <c r="V363" i="550"/>
  <c r="W363" i="550" s="1"/>
  <c r="N363" i="550"/>
  <c r="K363" i="550" a="1"/>
  <c r="K363" i="550" s="1"/>
  <c r="M363" i="550" s="1"/>
  <c r="J363" i="550" a="1"/>
  <c r="J363" i="550" s="1"/>
  <c r="H363" i="550"/>
  <c r="V362" i="550"/>
  <c r="W362" i="550" s="1"/>
  <c r="N362" i="550"/>
  <c r="K362" i="550"/>
  <c r="M362" i="550" s="1"/>
  <c r="K362" i="550" a="1"/>
  <c r="J362" i="550"/>
  <c r="J362" i="550" a="1"/>
  <c r="H362" i="550"/>
  <c r="V361" i="550"/>
  <c r="W361" i="550" s="1"/>
  <c r="N361" i="550"/>
  <c r="K361" i="550" a="1"/>
  <c r="K361" i="550" s="1"/>
  <c r="M361" i="550" s="1"/>
  <c r="J361" i="550" a="1"/>
  <c r="J361" i="550" s="1"/>
  <c r="H361" i="550"/>
  <c r="H360" i="550"/>
  <c r="H359" i="550"/>
  <c r="V358" i="550"/>
  <c r="W358" i="550" s="1"/>
  <c r="N358" i="550"/>
  <c r="K358" i="550" a="1"/>
  <c r="K358" i="550" s="1"/>
  <c r="M358" i="550" s="1"/>
  <c r="J358" i="550" a="1"/>
  <c r="J358" i="550" s="1"/>
  <c r="H358" i="550"/>
  <c r="V357" i="550"/>
  <c r="W357" i="550" s="1"/>
  <c r="N357" i="550"/>
  <c r="K357" i="550"/>
  <c r="M357" i="550" s="1"/>
  <c r="K357" i="550" a="1"/>
  <c r="J357" i="550"/>
  <c r="J357" i="550" a="1"/>
  <c r="H357" i="550"/>
  <c r="K356" i="550" a="1"/>
  <c r="K356" i="550" s="1"/>
  <c r="M356" i="550" s="1"/>
  <c r="H356" i="550"/>
  <c r="K355" i="550" a="1"/>
  <c r="K355" i="550" s="1"/>
  <c r="M355" i="550" s="1"/>
  <c r="H355" i="550"/>
  <c r="V354" i="550"/>
  <c r="W354" i="550" s="1"/>
  <c r="N354" i="550"/>
  <c r="K354" i="550" a="1"/>
  <c r="K354" i="550" s="1"/>
  <c r="M354" i="550" s="1"/>
  <c r="J354" i="550" a="1"/>
  <c r="J354" i="550" s="1"/>
  <c r="H354" i="550"/>
  <c r="V353" i="550"/>
  <c r="W353" i="550" s="1"/>
  <c r="N353" i="550"/>
  <c r="K353" i="550"/>
  <c r="M353" i="550" s="1"/>
  <c r="K353" i="550" a="1"/>
  <c r="J353" i="550"/>
  <c r="J353" i="550" a="1"/>
  <c r="H353" i="550"/>
  <c r="V352" i="550"/>
  <c r="W352" i="550" s="1"/>
  <c r="N352" i="550"/>
  <c r="K352" i="550" a="1"/>
  <c r="K352" i="550" s="1"/>
  <c r="M352" i="550" s="1"/>
  <c r="J352" i="550" a="1"/>
  <c r="J352" i="550" s="1"/>
  <c r="H352" i="550"/>
  <c r="W351" i="550"/>
  <c r="V351" i="550"/>
  <c r="N351" i="550"/>
  <c r="K351" i="550" a="1"/>
  <c r="K351" i="550" s="1"/>
  <c r="M351" i="550" s="1"/>
  <c r="J351" i="550" a="1"/>
  <c r="J351" i="550" s="1"/>
  <c r="H351" i="550"/>
  <c r="V350" i="550"/>
  <c r="W350" i="550" s="1"/>
  <c r="N350" i="550"/>
  <c r="K350" i="550" a="1"/>
  <c r="K350" i="550" s="1"/>
  <c r="M350" i="550" s="1"/>
  <c r="J350" i="550" a="1"/>
  <c r="J350" i="550" s="1"/>
  <c r="H350" i="550"/>
  <c r="V349" i="550"/>
  <c r="V370" i="550" s="1"/>
  <c r="N349" i="550"/>
  <c r="N370" i="550" s="1"/>
  <c r="K349" i="550"/>
  <c r="K349" i="550" a="1"/>
  <c r="J349" i="550"/>
  <c r="J349" i="550" a="1"/>
  <c r="H349" i="550"/>
  <c r="H370" i="550" s="1"/>
  <c r="X343" i="550"/>
  <c r="X342" i="550"/>
  <c r="X341" i="550"/>
  <c r="G341" i="550"/>
  <c r="C341" i="550"/>
  <c r="X340" i="550"/>
  <c r="I340" i="550"/>
  <c r="E340" i="550"/>
  <c r="K340" i="550" s="1"/>
  <c r="M340" i="550" s="1"/>
  <c r="I339" i="550"/>
  <c r="E339" i="550"/>
  <c r="K339" i="550" s="1"/>
  <c r="M339" i="550" s="1"/>
  <c r="I338" i="550"/>
  <c r="E338" i="550"/>
  <c r="K338" i="550" s="1"/>
  <c r="M338" i="550" s="1"/>
  <c r="X337" i="550"/>
  <c r="I337" i="550"/>
  <c r="I341" i="550" s="1"/>
  <c r="E337" i="550"/>
  <c r="E341" i="550" s="1"/>
  <c r="AA334" i="550"/>
  <c r="Z334" i="550"/>
  <c r="Y334" i="550"/>
  <c r="X334" i="550"/>
  <c r="U334" i="550"/>
  <c r="T334" i="550"/>
  <c r="S334" i="550"/>
  <c r="R334" i="550"/>
  <c r="Q334" i="550"/>
  <c r="P334" i="550"/>
  <c r="O334" i="550"/>
  <c r="I334" i="550"/>
  <c r="G334" i="550"/>
  <c r="K333" i="550" a="1"/>
  <c r="K333" i="550" s="1"/>
  <c r="H333" i="550"/>
  <c r="K332" i="550" a="1"/>
  <c r="K332" i="550" s="1"/>
  <c r="H332" i="550"/>
  <c r="K331" i="550"/>
  <c r="K331" i="550" a="1"/>
  <c r="H331" i="550"/>
  <c r="V330" i="550"/>
  <c r="W330" i="550" s="1"/>
  <c r="N330" i="550"/>
  <c r="K330" i="550" a="1"/>
  <c r="K330" i="550" s="1"/>
  <c r="H330" i="550"/>
  <c r="D330" i="550"/>
  <c r="H329" i="550"/>
  <c r="K328" i="550" a="1"/>
  <c r="K328" i="550" s="1"/>
  <c r="H328" i="550"/>
  <c r="H327" i="550"/>
  <c r="V326" i="550"/>
  <c r="W326" i="550" s="1"/>
  <c r="N326" i="550"/>
  <c r="K326" i="550" a="1"/>
  <c r="K326" i="550" s="1"/>
  <c r="M326" i="550" s="1"/>
  <c r="J326" i="550" a="1"/>
  <c r="J326" i="550" s="1"/>
  <c r="H326" i="550"/>
  <c r="W325" i="550"/>
  <c r="V325" i="550"/>
  <c r="N325" i="550"/>
  <c r="K325" i="550" a="1"/>
  <c r="K325" i="550" s="1"/>
  <c r="M325" i="550" s="1"/>
  <c r="J325" i="550" a="1"/>
  <c r="J325" i="550" s="1"/>
  <c r="H325" i="550"/>
  <c r="H324" i="550"/>
  <c r="W323" i="550"/>
  <c r="V323" i="550"/>
  <c r="N323" i="550"/>
  <c r="K323" i="550" a="1"/>
  <c r="K323" i="550" s="1"/>
  <c r="M323" i="550" s="1"/>
  <c r="J323" i="550" a="1"/>
  <c r="J323" i="550" s="1"/>
  <c r="H323" i="550"/>
  <c r="V322" i="550"/>
  <c r="W322" i="550" s="1"/>
  <c r="N322" i="550"/>
  <c r="K322" i="550" a="1"/>
  <c r="K322" i="550" s="1"/>
  <c r="M322" i="550" s="1"/>
  <c r="J322" i="550" a="1"/>
  <c r="J322" i="550" s="1"/>
  <c r="H322" i="550"/>
  <c r="W321" i="550"/>
  <c r="V321" i="550"/>
  <c r="N321" i="550"/>
  <c r="K321" i="550" a="1"/>
  <c r="K321" i="550" s="1"/>
  <c r="M321" i="550" s="1"/>
  <c r="J321" i="550" a="1"/>
  <c r="J321" i="550" s="1"/>
  <c r="H321" i="550"/>
  <c r="V320" i="550"/>
  <c r="W320" i="550" s="1"/>
  <c r="W334" i="550" s="1"/>
  <c r="N320" i="550"/>
  <c r="N334" i="550" s="1"/>
  <c r="K320" i="550" a="1"/>
  <c r="K320" i="550" s="1"/>
  <c r="J320" i="550" a="1"/>
  <c r="J320" i="550" s="1"/>
  <c r="H320" i="550"/>
  <c r="H334" i="550" s="1"/>
  <c r="AA319" i="550"/>
  <c r="Z319" i="550"/>
  <c r="Y319" i="550"/>
  <c r="X319" i="550"/>
  <c r="U319" i="550"/>
  <c r="T319" i="550"/>
  <c r="S319" i="550"/>
  <c r="Q319" i="550"/>
  <c r="P319" i="550"/>
  <c r="O319" i="550"/>
  <c r="I319" i="550"/>
  <c r="G319" i="550"/>
  <c r="V318" i="550"/>
  <c r="W318" i="550" s="1"/>
  <c r="N318" i="550"/>
  <c r="K318" i="550"/>
  <c r="M318" i="550" s="1"/>
  <c r="K318" i="550" a="1"/>
  <c r="J318" i="550"/>
  <c r="J318" i="550" a="1"/>
  <c r="H318" i="550"/>
  <c r="H317" i="550"/>
  <c r="H316" i="550"/>
  <c r="H315" i="550"/>
  <c r="H314" i="550"/>
  <c r="V313" i="550"/>
  <c r="W313" i="550" s="1"/>
  <c r="N313" i="550"/>
  <c r="K313" i="550" a="1"/>
  <c r="K313" i="550" s="1"/>
  <c r="M313" i="550" s="1"/>
  <c r="J313" i="550" a="1"/>
  <c r="J313" i="550" s="1"/>
  <c r="H313" i="550"/>
  <c r="V312" i="550"/>
  <c r="W312" i="550" s="1"/>
  <c r="N312" i="550"/>
  <c r="K312" i="550" a="1"/>
  <c r="K312" i="550" s="1"/>
  <c r="M312" i="550" s="1"/>
  <c r="J312" i="550" a="1"/>
  <c r="J312" i="550" s="1"/>
  <c r="H312" i="550"/>
  <c r="V311" i="550"/>
  <c r="W311" i="550" s="1"/>
  <c r="N311" i="550"/>
  <c r="K311" i="550" a="1"/>
  <c r="K311" i="550" s="1"/>
  <c r="M311" i="550" s="1"/>
  <c r="J311" i="550" a="1"/>
  <c r="J311" i="550" s="1"/>
  <c r="H311" i="550"/>
  <c r="V310" i="550"/>
  <c r="W310" i="550" s="1"/>
  <c r="N310" i="550"/>
  <c r="K310" i="550"/>
  <c r="M310" i="550" s="1"/>
  <c r="K310" i="550" a="1"/>
  <c r="J310" i="550"/>
  <c r="J310" i="550" a="1"/>
  <c r="H310" i="550"/>
  <c r="V309" i="550"/>
  <c r="V319" i="550" s="1"/>
  <c r="N309" i="550"/>
  <c r="N319" i="550" s="1"/>
  <c r="K309" i="550" a="1"/>
  <c r="K309" i="550" s="1"/>
  <c r="J309" i="550" a="1"/>
  <c r="J309" i="550" s="1"/>
  <c r="H309" i="550"/>
  <c r="H319" i="550" s="1"/>
  <c r="AA308" i="550"/>
  <c r="Z308" i="550"/>
  <c r="Y308" i="550"/>
  <c r="X308" i="550"/>
  <c r="U308" i="550"/>
  <c r="T308" i="550"/>
  <c r="S308" i="550"/>
  <c r="Q308" i="550"/>
  <c r="P308" i="550"/>
  <c r="O308" i="550"/>
  <c r="R340" i="550" s="1"/>
  <c r="I308" i="550"/>
  <c r="G308" i="550"/>
  <c r="V307" i="550"/>
  <c r="W307" i="550" s="1"/>
  <c r="N307" i="550"/>
  <c r="K307" i="550"/>
  <c r="M307" i="550" s="1"/>
  <c r="K307" i="550" a="1"/>
  <c r="J307" i="550"/>
  <c r="J307" i="550" a="1"/>
  <c r="H307" i="550"/>
  <c r="V306" i="550"/>
  <c r="W306" i="550" s="1"/>
  <c r="N306" i="550"/>
  <c r="K306" i="550" a="1"/>
  <c r="K306" i="550" s="1"/>
  <c r="M306" i="550" s="1"/>
  <c r="J306" i="550" a="1"/>
  <c r="J306" i="550" s="1"/>
  <c r="H306" i="550"/>
  <c r="W305" i="550"/>
  <c r="V305" i="550"/>
  <c r="N305" i="550"/>
  <c r="K305" i="550" a="1"/>
  <c r="K305" i="550" s="1"/>
  <c r="M305" i="550" s="1"/>
  <c r="J305" i="550" a="1"/>
  <c r="J305" i="550" s="1"/>
  <c r="H305" i="550"/>
  <c r="V304" i="550"/>
  <c r="W304" i="550" s="1"/>
  <c r="N304" i="550"/>
  <c r="K304" i="550" a="1"/>
  <c r="K304" i="550" s="1"/>
  <c r="M304" i="550" s="1"/>
  <c r="J304" i="550" a="1"/>
  <c r="J304" i="550" s="1"/>
  <c r="H304" i="550"/>
  <c r="V303" i="550"/>
  <c r="W303" i="550" s="1"/>
  <c r="N303" i="550"/>
  <c r="K303" i="550"/>
  <c r="M303" i="550" s="1"/>
  <c r="K303" i="550" a="1"/>
  <c r="J303" i="550"/>
  <c r="J303" i="550" a="1"/>
  <c r="H303" i="550"/>
  <c r="V302" i="550"/>
  <c r="W302" i="550" s="1"/>
  <c r="N302" i="550"/>
  <c r="K302" i="550" a="1"/>
  <c r="K302" i="550" s="1"/>
  <c r="M302" i="550" s="1"/>
  <c r="J302" i="550" a="1"/>
  <c r="J302" i="550" s="1"/>
  <c r="H302" i="550"/>
  <c r="W301" i="550"/>
  <c r="V301" i="550"/>
  <c r="N301" i="550"/>
  <c r="K301" i="550" a="1"/>
  <c r="K301" i="550" s="1"/>
  <c r="M301" i="550" s="1"/>
  <c r="J301" i="550" a="1"/>
  <c r="J301" i="550" s="1"/>
  <c r="H301" i="550"/>
  <c r="V300" i="550"/>
  <c r="W300" i="550" s="1"/>
  <c r="N300" i="550"/>
  <c r="K300" i="550" a="1"/>
  <c r="K300" i="550" s="1"/>
  <c r="M300" i="550" s="1"/>
  <c r="J300" i="550" a="1"/>
  <c r="J300" i="550" s="1"/>
  <c r="H300" i="550"/>
  <c r="V299" i="550"/>
  <c r="W299" i="550" s="1"/>
  <c r="N299" i="550"/>
  <c r="K299" i="550"/>
  <c r="M299" i="550" s="1"/>
  <c r="K299" i="550" a="1"/>
  <c r="J299" i="550"/>
  <c r="J299" i="550" a="1"/>
  <c r="H299" i="550"/>
  <c r="V298" i="550"/>
  <c r="W298" i="550" s="1"/>
  <c r="N298" i="550"/>
  <c r="K298" i="550" a="1"/>
  <c r="K298" i="550" s="1"/>
  <c r="M298" i="550" s="1"/>
  <c r="J298" i="550" a="1"/>
  <c r="J298" i="550" s="1"/>
  <c r="H298" i="550"/>
  <c r="W297" i="550"/>
  <c r="V297" i="550"/>
  <c r="N297" i="550"/>
  <c r="K297" i="550" a="1"/>
  <c r="K297" i="550" s="1"/>
  <c r="M297" i="550" s="1"/>
  <c r="J297" i="550" a="1"/>
  <c r="J297" i="550" s="1"/>
  <c r="H297" i="550"/>
  <c r="V296" i="550"/>
  <c r="W296" i="550" s="1"/>
  <c r="N296" i="550"/>
  <c r="K296" i="550" a="1"/>
  <c r="K296" i="550" s="1"/>
  <c r="M296" i="550" s="1"/>
  <c r="J296" i="550" a="1"/>
  <c r="J296" i="550" s="1"/>
  <c r="H296" i="550"/>
  <c r="V295" i="550"/>
  <c r="W295" i="550" s="1"/>
  <c r="N295" i="550"/>
  <c r="K295" i="550"/>
  <c r="M295" i="550" s="1"/>
  <c r="K295" i="550" a="1"/>
  <c r="J295" i="550"/>
  <c r="J295" i="550" a="1"/>
  <c r="H295" i="550"/>
  <c r="V294" i="550"/>
  <c r="W294" i="550" s="1"/>
  <c r="N294" i="550"/>
  <c r="K294" i="550" a="1"/>
  <c r="K294" i="550" s="1"/>
  <c r="M294" i="550" s="1"/>
  <c r="J294" i="550" a="1"/>
  <c r="J294" i="550" s="1"/>
  <c r="H294" i="550"/>
  <c r="W293" i="550"/>
  <c r="V293" i="550"/>
  <c r="N293" i="550"/>
  <c r="N308" i="550" s="1"/>
  <c r="K293" i="550" a="1"/>
  <c r="K293" i="550" s="1"/>
  <c r="M293" i="550" s="1"/>
  <c r="J293" i="550" a="1"/>
  <c r="J293" i="550" s="1"/>
  <c r="H293" i="550"/>
  <c r="AA292" i="550"/>
  <c r="Z292" i="550"/>
  <c r="Y292" i="550"/>
  <c r="X292" i="550"/>
  <c r="U292" i="550"/>
  <c r="T292" i="550"/>
  <c r="S292" i="550"/>
  <c r="R292" i="550"/>
  <c r="Q292" i="550"/>
  <c r="P292" i="550"/>
  <c r="O292" i="550"/>
  <c r="R339" i="550" s="1"/>
  <c r="I292" i="550"/>
  <c r="G292" i="550"/>
  <c r="V291" i="550"/>
  <c r="W291" i="550" s="1"/>
  <c r="N291" i="550"/>
  <c r="K291" i="550"/>
  <c r="M291" i="550" s="1"/>
  <c r="K291" i="550" a="1"/>
  <c r="J291" i="550"/>
  <c r="J291" i="550" a="1"/>
  <c r="H291" i="550"/>
  <c r="V290" i="550"/>
  <c r="W290" i="550" s="1"/>
  <c r="N290" i="550"/>
  <c r="K290" i="550" a="1"/>
  <c r="K290" i="550" s="1"/>
  <c r="M290" i="550" s="1"/>
  <c r="J290" i="550" a="1"/>
  <c r="J290" i="550" s="1"/>
  <c r="H290" i="550"/>
  <c r="W289" i="550"/>
  <c r="V289" i="550"/>
  <c r="N289" i="550"/>
  <c r="K289" i="550" a="1"/>
  <c r="K289" i="550" s="1"/>
  <c r="M289" i="550" s="1"/>
  <c r="J289" i="550" a="1"/>
  <c r="J289" i="550" s="1"/>
  <c r="H289" i="550"/>
  <c r="H288" i="550"/>
  <c r="H287" i="550"/>
  <c r="H286" i="550"/>
  <c r="V285" i="550"/>
  <c r="W285" i="550" s="1"/>
  <c r="N285" i="550"/>
  <c r="K285" i="550"/>
  <c r="M285" i="550" s="1"/>
  <c r="K285" i="550" a="1"/>
  <c r="J285" i="550"/>
  <c r="J285" i="550" a="1"/>
  <c r="H285" i="550"/>
  <c r="V284" i="550"/>
  <c r="W284" i="550" s="1"/>
  <c r="N284" i="550"/>
  <c r="K284" i="550" a="1"/>
  <c r="K284" i="550" s="1"/>
  <c r="M284" i="550" s="1"/>
  <c r="J284" i="550" a="1"/>
  <c r="J284" i="550" s="1"/>
  <c r="H284" i="550"/>
  <c r="N283" i="550"/>
  <c r="K283" i="550" a="1"/>
  <c r="K283" i="550" s="1"/>
  <c r="M283" i="550" s="1"/>
  <c r="H283" i="550"/>
  <c r="N282" i="550"/>
  <c r="K282" i="550" a="1"/>
  <c r="K282" i="550" s="1"/>
  <c r="M282" i="550" s="1"/>
  <c r="H282" i="550"/>
  <c r="N281" i="550"/>
  <c r="K281" i="550"/>
  <c r="M281" i="550" s="1"/>
  <c r="K281" i="550" a="1"/>
  <c r="H281" i="550"/>
  <c r="N280" i="550"/>
  <c r="K280" i="550" a="1"/>
  <c r="K280" i="550" s="1"/>
  <c r="M280" i="550" s="1"/>
  <c r="H280" i="550"/>
  <c r="N279" i="550"/>
  <c r="K279" i="550" a="1"/>
  <c r="K279" i="550" s="1"/>
  <c r="M279" i="550" s="1"/>
  <c r="H279" i="550"/>
  <c r="N278" i="550"/>
  <c r="K278" i="550" a="1"/>
  <c r="K278" i="550" s="1"/>
  <c r="M278" i="550" s="1"/>
  <c r="H278" i="550"/>
  <c r="V277" i="550"/>
  <c r="W277" i="550" s="1"/>
  <c r="N277" i="550"/>
  <c r="K277" i="550"/>
  <c r="M277" i="550" s="1"/>
  <c r="K277" i="550" a="1"/>
  <c r="J277" i="550"/>
  <c r="J277" i="550" a="1"/>
  <c r="H277" i="550"/>
  <c r="V276" i="550"/>
  <c r="W276" i="550" s="1"/>
  <c r="N276" i="550"/>
  <c r="K276" i="550" a="1"/>
  <c r="K276" i="550" s="1"/>
  <c r="M276" i="550" s="1"/>
  <c r="J276" i="550" a="1"/>
  <c r="J276" i="550" s="1"/>
  <c r="H276" i="550"/>
  <c r="W275" i="550"/>
  <c r="V275" i="550"/>
  <c r="N275" i="550"/>
  <c r="K275" i="550" a="1"/>
  <c r="K275" i="550" s="1"/>
  <c r="M275" i="550" s="1"/>
  <c r="J275" i="550" a="1"/>
  <c r="J275" i="550" s="1"/>
  <c r="H275" i="550"/>
  <c r="V274" i="550"/>
  <c r="W274" i="550" s="1"/>
  <c r="N274" i="550"/>
  <c r="K274" i="550" a="1"/>
  <c r="K274" i="550" s="1"/>
  <c r="M274" i="550" s="1"/>
  <c r="J274" i="550" a="1"/>
  <c r="J274" i="550" s="1"/>
  <c r="H274" i="550"/>
  <c r="V273" i="550"/>
  <c r="W273" i="550" s="1"/>
  <c r="N273" i="550"/>
  <c r="K273" i="550"/>
  <c r="M273" i="550" s="1"/>
  <c r="K273" i="550" a="1"/>
  <c r="J273" i="550"/>
  <c r="J273" i="550" a="1"/>
  <c r="H273" i="550"/>
  <c r="V272" i="550"/>
  <c r="W272" i="550" s="1"/>
  <c r="N272" i="550"/>
  <c r="K272" i="550" a="1"/>
  <c r="K272" i="550" s="1"/>
  <c r="M272" i="550" s="1"/>
  <c r="J272" i="550" a="1"/>
  <c r="J272" i="550" s="1"/>
  <c r="H272" i="550"/>
  <c r="W271" i="550"/>
  <c r="V271" i="550"/>
  <c r="N271" i="550"/>
  <c r="K271" i="550" a="1"/>
  <c r="K271" i="550" s="1"/>
  <c r="M271" i="550" s="1"/>
  <c r="J271" i="550" a="1"/>
  <c r="J271" i="550" s="1"/>
  <c r="H271" i="550"/>
  <c r="V270" i="550"/>
  <c r="W270" i="550" s="1"/>
  <c r="N270" i="550"/>
  <c r="K270" i="550" a="1"/>
  <c r="K270" i="550" s="1"/>
  <c r="M270" i="550" s="1"/>
  <c r="J270" i="550" a="1"/>
  <c r="J270" i="550" s="1"/>
  <c r="H270" i="550"/>
  <c r="V269" i="550"/>
  <c r="W269" i="550" s="1"/>
  <c r="N269" i="550"/>
  <c r="K269" i="550"/>
  <c r="M269" i="550" s="1"/>
  <c r="K269" i="550" a="1"/>
  <c r="J269" i="550"/>
  <c r="J269" i="550" a="1"/>
  <c r="H269" i="550"/>
  <c r="V268" i="550"/>
  <c r="W268" i="550" s="1"/>
  <c r="N268" i="550"/>
  <c r="K268" i="550" a="1"/>
  <c r="K268" i="550" s="1"/>
  <c r="M268" i="550" s="1"/>
  <c r="J268" i="550" a="1"/>
  <c r="J268" i="550" s="1"/>
  <c r="H268" i="550"/>
  <c r="W267" i="550"/>
  <c r="V267" i="550"/>
  <c r="N267" i="550"/>
  <c r="K267" i="550" a="1"/>
  <c r="K267" i="550" s="1"/>
  <c r="M267" i="550" s="1"/>
  <c r="J267" i="550" a="1"/>
  <c r="J267" i="550" s="1"/>
  <c r="H267" i="550"/>
  <c r="V266" i="550"/>
  <c r="W266" i="550" s="1"/>
  <c r="N266" i="550"/>
  <c r="K266" i="550" a="1"/>
  <c r="K266" i="550" s="1"/>
  <c r="M266" i="550" s="1"/>
  <c r="J266" i="550" a="1"/>
  <c r="J266" i="550" s="1"/>
  <c r="H266" i="550"/>
  <c r="N265" i="550"/>
  <c r="K265" i="550"/>
  <c r="M265" i="550" s="1"/>
  <c r="K265" i="550" a="1"/>
  <c r="H265" i="550"/>
  <c r="V264" i="550"/>
  <c r="W264" i="550" s="1"/>
  <c r="N264" i="550"/>
  <c r="K264" i="550" a="1"/>
  <c r="K264" i="550" s="1"/>
  <c r="M264" i="550" s="1"/>
  <c r="J264" i="550" a="1"/>
  <c r="J264" i="550" s="1"/>
  <c r="H264" i="550"/>
  <c r="W263" i="550"/>
  <c r="V263" i="550"/>
  <c r="N263" i="550"/>
  <c r="K263" i="550" a="1"/>
  <c r="K263" i="550" s="1"/>
  <c r="M263" i="550" s="1"/>
  <c r="J263" i="550" a="1"/>
  <c r="J263" i="550" s="1"/>
  <c r="H263" i="550"/>
  <c r="V262" i="550"/>
  <c r="W262" i="550" s="1"/>
  <c r="N262" i="550"/>
  <c r="M262" i="550"/>
  <c r="K262" i="550" a="1"/>
  <c r="K262" i="550" s="1"/>
  <c r="J262" i="550" a="1"/>
  <c r="J262" i="550" s="1"/>
  <c r="H262" i="550"/>
  <c r="W261" i="550"/>
  <c r="V261" i="550"/>
  <c r="N261" i="550"/>
  <c r="K261" i="550" a="1"/>
  <c r="K261" i="550" s="1"/>
  <c r="M261" i="550" s="1"/>
  <c r="J261" i="550" a="1"/>
  <c r="J261" i="550" s="1"/>
  <c r="H261" i="550"/>
  <c r="V260" i="550"/>
  <c r="W260" i="550" s="1"/>
  <c r="N260" i="550"/>
  <c r="K260" i="550" a="1"/>
  <c r="K260" i="550" s="1"/>
  <c r="M260" i="550" s="1"/>
  <c r="J260" i="550" a="1"/>
  <c r="J260" i="550" s="1"/>
  <c r="H260" i="550"/>
  <c r="V259" i="550"/>
  <c r="W259" i="550" s="1"/>
  <c r="N259" i="550"/>
  <c r="K259" i="550"/>
  <c r="M259" i="550" s="1"/>
  <c r="K259" i="550" a="1"/>
  <c r="J259" i="550"/>
  <c r="J259" i="550" a="1"/>
  <c r="H259" i="550"/>
  <c r="V258" i="550"/>
  <c r="N258" i="550"/>
  <c r="K258" i="550" a="1"/>
  <c r="K258" i="550" s="1"/>
  <c r="J258" i="550" a="1"/>
  <c r="J258" i="550" s="1"/>
  <c r="H258" i="550"/>
  <c r="AA257" i="550"/>
  <c r="Z257" i="550"/>
  <c r="Y257" i="550"/>
  <c r="X257" i="550"/>
  <c r="U257" i="550"/>
  <c r="T257" i="550"/>
  <c r="S257" i="550"/>
  <c r="R257" i="550"/>
  <c r="Q257" i="550"/>
  <c r="P257" i="550"/>
  <c r="O257" i="550"/>
  <c r="R338" i="550" s="1"/>
  <c r="I257" i="550"/>
  <c r="G257" i="550"/>
  <c r="H256" i="550"/>
  <c r="H255" i="550"/>
  <c r="H254" i="550"/>
  <c r="H253" i="550"/>
  <c r="H252" i="550"/>
  <c r="H251" i="550"/>
  <c r="K250" i="550" a="1"/>
  <c r="K250" i="550" s="1"/>
  <c r="M250" i="550" s="1"/>
  <c r="H250" i="550"/>
  <c r="K249" i="550"/>
  <c r="M249" i="550" s="1"/>
  <c r="K249" i="550" a="1"/>
  <c r="H249" i="550"/>
  <c r="K248" i="550" a="1"/>
  <c r="K248" i="550" s="1"/>
  <c r="M248" i="550" s="1"/>
  <c r="H248" i="550"/>
  <c r="K247" i="550"/>
  <c r="M247" i="550" s="1"/>
  <c r="K247" i="550" a="1"/>
  <c r="H247" i="550"/>
  <c r="V246" i="550"/>
  <c r="W246" i="550" s="1"/>
  <c r="N246" i="550"/>
  <c r="K246" i="550" a="1"/>
  <c r="K246" i="550" s="1"/>
  <c r="M246" i="550" s="1"/>
  <c r="J246" i="550" a="1"/>
  <c r="J246" i="550" s="1"/>
  <c r="H246" i="550"/>
  <c r="V245" i="550"/>
  <c r="W245" i="550" s="1"/>
  <c r="N245" i="550"/>
  <c r="K245" i="550"/>
  <c r="M245" i="550" s="1"/>
  <c r="K245" i="550" a="1"/>
  <c r="J245" i="550"/>
  <c r="J245" i="550" a="1"/>
  <c r="H245" i="550"/>
  <c r="V244" i="550"/>
  <c r="W244" i="550" s="1"/>
  <c r="N244" i="550"/>
  <c r="K244" i="550" a="1"/>
  <c r="K244" i="550" s="1"/>
  <c r="M244" i="550" s="1"/>
  <c r="J244" i="550" a="1"/>
  <c r="J244" i="550" s="1"/>
  <c r="H244" i="550"/>
  <c r="W243" i="550"/>
  <c r="V243" i="550"/>
  <c r="N243" i="550"/>
  <c r="K243" i="550" a="1"/>
  <c r="K243" i="550" s="1"/>
  <c r="M243" i="550" s="1"/>
  <c r="J243" i="550" a="1"/>
  <c r="J243" i="550" s="1"/>
  <c r="H243" i="550"/>
  <c r="M242" i="550"/>
  <c r="H242" i="550"/>
  <c r="V241" i="550"/>
  <c r="W241" i="550" s="1"/>
  <c r="N241" i="550"/>
  <c r="K241" i="550" a="1"/>
  <c r="K241" i="550" s="1"/>
  <c r="M241" i="550" s="1"/>
  <c r="J241" i="550" a="1"/>
  <c r="J241" i="550" s="1"/>
  <c r="H241" i="550"/>
  <c r="V240" i="550"/>
  <c r="W240" i="550" s="1"/>
  <c r="N240" i="550"/>
  <c r="K240" i="550"/>
  <c r="M240" i="550" s="1"/>
  <c r="K240" i="550" a="1"/>
  <c r="J240" i="550"/>
  <c r="J240" i="550" a="1"/>
  <c r="H240" i="550"/>
  <c r="K239" i="550" a="1"/>
  <c r="K239" i="550" s="1"/>
  <c r="M239" i="550" s="1"/>
  <c r="H239" i="550"/>
  <c r="H238" i="550"/>
  <c r="V237" i="550"/>
  <c r="W237" i="550" s="1"/>
  <c r="N237" i="550"/>
  <c r="K237" i="550" a="1"/>
  <c r="K237" i="550" s="1"/>
  <c r="M237" i="550" s="1"/>
  <c r="J237" i="550" a="1"/>
  <c r="J237" i="550" s="1"/>
  <c r="H237" i="550"/>
  <c r="W236" i="550"/>
  <c r="V236" i="550"/>
  <c r="N236" i="550"/>
  <c r="K236" i="550"/>
  <c r="M236" i="550" s="1"/>
  <c r="K236" i="550" a="1"/>
  <c r="J236" i="550" a="1"/>
  <c r="J236" i="550" s="1"/>
  <c r="H236" i="550"/>
  <c r="V235" i="550"/>
  <c r="W235" i="550" s="1"/>
  <c r="N235" i="550"/>
  <c r="K235" i="550" a="1"/>
  <c r="K235" i="550" s="1"/>
  <c r="M235" i="550" s="1"/>
  <c r="J235" i="550" a="1"/>
  <c r="J235" i="550" s="1"/>
  <c r="H235" i="550"/>
  <c r="W234" i="550"/>
  <c r="V234" i="550"/>
  <c r="N234" i="550"/>
  <c r="K234" i="550" a="1"/>
  <c r="K234" i="550" s="1"/>
  <c r="M234" i="550" s="1"/>
  <c r="J234" i="550" a="1"/>
  <c r="J234" i="550" s="1"/>
  <c r="H234" i="550"/>
  <c r="V233" i="550"/>
  <c r="W233" i="550" s="1"/>
  <c r="N233" i="550"/>
  <c r="K233" i="550" a="1"/>
  <c r="K233" i="550" s="1"/>
  <c r="M233" i="550" s="1"/>
  <c r="J233" i="550" a="1"/>
  <c r="J233" i="550" s="1"/>
  <c r="H233" i="550"/>
  <c r="V232" i="550"/>
  <c r="W232" i="550" s="1"/>
  <c r="N232" i="550"/>
  <c r="K232" i="550"/>
  <c r="M232" i="550" s="1"/>
  <c r="K232" i="550" a="1"/>
  <c r="J232" i="550"/>
  <c r="J232" i="550" a="1"/>
  <c r="H232" i="550"/>
  <c r="V231" i="550"/>
  <c r="W231" i="550" s="1"/>
  <c r="N231" i="550"/>
  <c r="K231" i="550" a="1"/>
  <c r="K231" i="550" s="1"/>
  <c r="M231" i="550" s="1"/>
  <c r="J231" i="550" a="1"/>
  <c r="J231" i="550" s="1"/>
  <c r="H231" i="550"/>
  <c r="W230" i="550"/>
  <c r="V230" i="550"/>
  <c r="N230" i="550"/>
  <c r="K230" i="550" a="1"/>
  <c r="K230" i="550" s="1"/>
  <c r="M230" i="550" s="1"/>
  <c r="J230" i="550" a="1"/>
  <c r="J230" i="550" s="1"/>
  <c r="H230" i="550"/>
  <c r="V229" i="550"/>
  <c r="W229" i="550" s="1"/>
  <c r="N229" i="550"/>
  <c r="K229" i="550" a="1"/>
  <c r="K229" i="550" s="1"/>
  <c r="M229" i="550" s="1"/>
  <c r="J229" i="550" a="1"/>
  <c r="J229" i="550" s="1"/>
  <c r="H229" i="550"/>
  <c r="V228" i="550"/>
  <c r="W228" i="550" s="1"/>
  <c r="N228" i="550"/>
  <c r="K228" i="550"/>
  <c r="M228" i="550" s="1"/>
  <c r="K228" i="550" a="1"/>
  <c r="J228" i="550"/>
  <c r="J228" i="550" a="1"/>
  <c r="H228" i="550"/>
  <c r="N227" i="550"/>
  <c r="K227" i="550" a="1"/>
  <c r="K227" i="550" s="1"/>
  <c r="M227" i="550" s="1"/>
  <c r="H227" i="550"/>
  <c r="N226" i="550"/>
  <c r="K226" i="550" a="1"/>
  <c r="K226" i="550" s="1"/>
  <c r="M226" i="550" s="1"/>
  <c r="H226" i="550"/>
  <c r="N225" i="550"/>
  <c r="K225" i="550" a="1"/>
  <c r="K225" i="550" s="1"/>
  <c r="M225" i="550" s="1"/>
  <c r="H225" i="550"/>
  <c r="N224" i="550"/>
  <c r="K224" i="550"/>
  <c r="M224" i="550" s="1"/>
  <c r="K224" i="550" a="1"/>
  <c r="H224" i="550"/>
  <c r="N223" i="550"/>
  <c r="K223" i="550" a="1"/>
  <c r="K223" i="550" s="1"/>
  <c r="M223" i="550" s="1"/>
  <c r="H223" i="550"/>
  <c r="N222" i="550"/>
  <c r="K222" i="550" a="1"/>
  <c r="K222" i="550" s="1"/>
  <c r="M222" i="550" s="1"/>
  <c r="H222" i="550"/>
  <c r="N221" i="550"/>
  <c r="K221" i="550" a="1"/>
  <c r="K221" i="550" s="1"/>
  <c r="M221" i="550" s="1"/>
  <c r="H221" i="550"/>
  <c r="N220" i="550"/>
  <c r="K220" i="550"/>
  <c r="M220" i="550" s="1"/>
  <c r="K220" i="550" a="1"/>
  <c r="H220" i="550"/>
  <c r="V219" i="550"/>
  <c r="W219" i="550" s="1"/>
  <c r="N219" i="550"/>
  <c r="K219" i="550" a="1"/>
  <c r="K219" i="550" s="1"/>
  <c r="M219" i="550" s="1"/>
  <c r="J219" i="550" a="1"/>
  <c r="J219" i="550" s="1"/>
  <c r="H219" i="550"/>
  <c r="W218" i="550"/>
  <c r="V218" i="550"/>
  <c r="N218" i="550"/>
  <c r="K218" i="550" a="1"/>
  <c r="K218" i="550" s="1"/>
  <c r="M218" i="550" s="1"/>
  <c r="J218" i="550" a="1"/>
  <c r="J218" i="550" s="1"/>
  <c r="H218" i="550"/>
  <c r="V217" i="550"/>
  <c r="W217" i="550" s="1"/>
  <c r="N217" i="550"/>
  <c r="K217" i="550" a="1"/>
  <c r="K217" i="550" s="1"/>
  <c r="M217" i="550" s="1"/>
  <c r="J217" i="550" a="1"/>
  <c r="J217" i="550" s="1"/>
  <c r="H217" i="550"/>
  <c r="V216" i="550"/>
  <c r="W216" i="550" s="1"/>
  <c r="N216" i="550"/>
  <c r="K216" i="550"/>
  <c r="M216" i="550" s="1"/>
  <c r="K216" i="550" a="1"/>
  <c r="J216" i="550"/>
  <c r="J216" i="550" a="1"/>
  <c r="H216" i="550"/>
  <c r="V215" i="550"/>
  <c r="W215" i="550" s="1"/>
  <c r="N215" i="550"/>
  <c r="K215" i="550" a="1"/>
  <c r="K215" i="550" s="1"/>
  <c r="M215" i="550" s="1"/>
  <c r="J215" i="550" a="1"/>
  <c r="J215" i="550" s="1"/>
  <c r="H215" i="550"/>
  <c r="W214" i="550"/>
  <c r="V214" i="550"/>
  <c r="N214" i="550"/>
  <c r="K214" i="550" a="1"/>
  <c r="K214" i="550" s="1"/>
  <c r="M214" i="550" s="1"/>
  <c r="J214" i="550" a="1"/>
  <c r="J214" i="550" s="1"/>
  <c r="H214" i="550"/>
  <c r="V213" i="550"/>
  <c r="W213" i="550" s="1"/>
  <c r="N213" i="550"/>
  <c r="K213" i="550" a="1"/>
  <c r="K213" i="550" s="1"/>
  <c r="M213" i="550" s="1"/>
  <c r="J213" i="550" a="1"/>
  <c r="J213" i="550" s="1"/>
  <c r="H213" i="550"/>
  <c r="V212" i="550"/>
  <c r="W212" i="550" s="1"/>
  <c r="N212" i="550"/>
  <c r="K212" i="550" a="1"/>
  <c r="K212" i="550" s="1"/>
  <c r="M212" i="550" s="1"/>
  <c r="J212" i="550" a="1"/>
  <c r="J212" i="550" s="1"/>
  <c r="H212" i="550"/>
  <c r="V211" i="550"/>
  <c r="W211" i="550" s="1"/>
  <c r="N211" i="550"/>
  <c r="K211" i="550" a="1"/>
  <c r="K211" i="550" s="1"/>
  <c r="M211" i="550" s="1"/>
  <c r="J211" i="550" a="1"/>
  <c r="J211" i="550" s="1"/>
  <c r="H211" i="550"/>
  <c r="V210" i="550"/>
  <c r="W210" i="550" s="1"/>
  <c r="N210" i="550"/>
  <c r="K210" i="550"/>
  <c r="M210" i="550" s="1"/>
  <c r="K210" i="550" a="1"/>
  <c r="J210" i="550"/>
  <c r="J210" i="550" a="1"/>
  <c r="H210" i="550"/>
  <c r="V209" i="550"/>
  <c r="W209" i="550" s="1"/>
  <c r="N209" i="550"/>
  <c r="K209" i="550" a="1"/>
  <c r="K209" i="550" s="1"/>
  <c r="M209" i="550" s="1"/>
  <c r="J209" i="550" a="1"/>
  <c r="J209" i="550" s="1"/>
  <c r="H209" i="550"/>
  <c r="W208" i="550"/>
  <c r="V208" i="550"/>
  <c r="N208" i="550"/>
  <c r="K208" i="550" a="1"/>
  <c r="K208" i="550" s="1"/>
  <c r="M208" i="550" s="1"/>
  <c r="J208" i="550" a="1"/>
  <c r="J208" i="550" s="1"/>
  <c r="H208" i="550"/>
  <c r="H207" i="550"/>
  <c r="H206" i="550"/>
  <c r="H205" i="550"/>
  <c r="V204" i="550"/>
  <c r="W204" i="550" s="1"/>
  <c r="N204" i="550"/>
  <c r="K204" i="550"/>
  <c r="M204" i="550" s="1"/>
  <c r="K204" i="550" a="1"/>
  <c r="J204" i="550"/>
  <c r="J204" i="550" a="1"/>
  <c r="H204" i="550"/>
  <c r="V203" i="550"/>
  <c r="W203" i="550" s="1"/>
  <c r="N203" i="550"/>
  <c r="K203" i="550" a="1"/>
  <c r="K203" i="550" s="1"/>
  <c r="M203" i="550" s="1"/>
  <c r="J203" i="550" a="1"/>
  <c r="J203" i="550" s="1"/>
  <c r="H203" i="550"/>
  <c r="V202" i="550"/>
  <c r="W202" i="550" s="1"/>
  <c r="N202" i="550"/>
  <c r="K202" i="550" a="1"/>
  <c r="K202" i="550" s="1"/>
  <c r="M202" i="550" s="1"/>
  <c r="J202" i="550" a="1"/>
  <c r="J202" i="550" s="1"/>
  <c r="H202" i="550"/>
  <c r="H201" i="550"/>
  <c r="V200" i="550"/>
  <c r="V257" i="550" s="1"/>
  <c r="W257" i="550" s="1"/>
  <c r="N200" i="550"/>
  <c r="N257" i="550" s="1"/>
  <c r="K200" i="550" a="1"/>
  <c r="K200" i="550" s="1"/>
  <c r="J200" i="550" a="1"/>
  <c r="J200" i="550" s="1"/>
  <c r="H200" i="550"/>
  <c r="H257" i="550" s="1"/>
  <c r="AA199" i="550"/>
  <c r="AA335" i="550" s="1"/>
  <c r="Z199" i="550"/>
  <c r="Z335" i="550" s="1"/>
  <c r="Y199" i="550"/>
  <c r="Y335" i="550" s="1"/>
  <c r="X199" i="550"/>
  <c r="X335" i="550" s="1"/>
  <c r="U199" i="550"/>
  <c r="U335" i="550" s="1"/>
  <c r="T199" i="550"/>
  <c r="T335" i="550" s="1"/>
  <c r="S199" i="550"/>
  <c r="S335" i="550" s="1"/>
  <c r="R199" i="550"/>
  <c r="R335" i="550" s="1"/>
  <c r="Q199" i="550"/>
  <c r="Q335" i="550" s="1"/>
  <c r="P199" i="550"/>
  <c r="O199" i="550"/>
  <c r="I199" i="550"/>
  <c r="I335" i="550" s="1"/>
  <c r="B343" i="550" s="1"/>
  <c r="G199" i="550"/>
  <c r="G335" i="550" s="1"/>
  <c r="V198" i="550"/>
  <c r="W198" i="550" s="1"/>
  <c r="N198" i="550"/>
  <c r="K198" i="550" a="1"/>
  <c r="K198" i="550" s="1"/>
  <c r="M198" i="550" s="1"/>
  <c r="J198" i="550" a="1"/>
  <c r="J198" i="550" s="1"/>
  <c r="H198" i="550"/>
  <c r="V197" i="550"/>
  <c r="W197" i="550" s="1"/>
  <c r="N197" i="550"/>
  <c r="K197" i="550" a="1"/>
  <c r="K197" i="550" s="1"/>
  <c r="M197" i="550" s="1"/>
  <c r="J197" i="550" a="1"/>
  <c r="J197" i="550" s="1"/>
  <c r="H197" i="550"/>
  <c r="K196" i="550" a="1"/>
  <c r="K196" i="550" s="1"/>
  <c r="M196" i="550" s="1"/>
  <c r="H196" i="550"/>
  <c r="K195" i="550" a="1"/>
  <c r="K195" i="550" s="1"/>
  <c r="M195" i="550" s="1"/>
  <c r="H195" i="550"/>
  <c r="K194" i="550" a="1"/>
  <c r="K194" i="550" s="1"/>
  <c r="M194" i="550" s="1"/>
  <c r="H194" i="550"/>
  <c r="K193" i="550"/>
  <c r="M193" i="550" s="1"/>
  <c r="K193" i="550" a="1"/>
  <c r="H193" i="550"/>
  <c r="V192" i="550"/>
  <c r="W192" i="550" s="1"/>
  <c r="N192" i="550"/>
  <c r="K192" i="550" a="1"/>
  <c r="K192" i="550" s="1"/>
  <c r="M192" i="550" s="1"/>
  <c r="J192" i="550" a="1"/>
  <c r="J192" i="550" s="1"/>
  <c r="H192" i="550"/>
  <c r="V191" i="550"/>
  <c r="W191" i="550" s="1"/>
  <c r="N191" i="550"/>
  <c r="K191" i="550" a="1"/>
  <c r="K191" i="550" s="1"/>
  <c r="M191" i="550" s="1"/>
  <c r="J191" i="550" a="1"/>
  <c r="J191" i="550" s="1"/>
  <c r="H191" i="550"/>
  <c r="V190" i="550"/>
  <c r="W190" i="550" s="1"/>
  <c r="N190" i="550"/>
  <c r="K190" i="550" a="1"/>
  <c r="K190" i="550" s="1"/>
  <c r="M190" i="550" s="1"/>
  <c r="J190" i="550" a="1"/>
  <c r="J190" i="550" s="1"/>
  <c r="H190" i="550"/>
  <c r="N189" i="550"/>
  <c r="K189" i="550" a="1"/>
  <c r="K189" i="550" s="1"/>
  <c r="M189" i="550" s="1"/>
  <c r="J189" i="550" a="1"/>
  <c r="J189" i="550" s="1"/>
  <c r="H189" i="550"/>
  <c r="N188" i="550"/>
  <c r="K188" i="550" a="1"/>
  <c r="K188" i="550" s="1"/>
  <c r="M188" i="550" s="1"/>
  <c r="J188" i="550" a="1"/>
  <c r="J188" i="550" s="1"/>
  <c r="H188" i="550"/>
  <c r="V187" i="550"/>
  <c r="W187" i="550" s="1"/>
  <c r="N187" i="550"/>
  <c r="K187" i="550" a="1"/>
  <c r="K187" i="550" s="1"/>
  <c r="M187" i="550" s="1"/>
  <c r="J187" i="550" a="1"/>
  <c r="J187" i="550" s="1"/>
  <c r="H187" i="550"/>
  <c r="V186" i="550"/>
  <c r="W186" i="550" s="1"/>
  <c r="N186" i="550"/>
  <c r="K186" i="550" a="1"/>
  <c r="K186" i="550" s="1"/>
  <c r="M186" i="550" s="1"/>
  <c r="J186" i="550" a="1"/>
  <c r="J186" i="550" s="1"/>
  <c r="H186" i="550"/>
  <c r="N185" i="550"/>
  <c r="K185" i="550" a="1"/>
  <c r="K185" i="550" s="1"/>
  <c r="M185" i="550" s="1"/>
  <c r="H185" i="550"/>
  <c r="N184" i="550"/>
  <c r="K184" i="550" a="1"/>
  <c r="K184" i="550" s="1"/>
  <c r="M184" i="550" s="1"/>
  <c r="H184" i="550"/>
  <c r="V183" i="550"/>
  <c r="W183" i="550" s="1"/>
  <c r="N183" i="550"/>
  <c r="K183" i="550" a="1"/>
  <c r="K183" i="550" s="1"/>
  <c r="M183" i="550" s="1"/>
  <c r="J183" i="550" a="1"/>
  <c r="J183" i="550" s="1"/>
  <c r="H183" i="550"/>
  <c r="V182" i="550"/>
  <c r="W182" i="550" s="1"/>
  <c r="N182" i="550"/>
  <c r="K182" i="550" a="1"/>
  <c r="K182" i="550" s="1"/>
  <c r="M182" i="550" s="1"/>
  <c r="J182" i="550" a="1"/>
  <c r="J182" i="550" s="1"/>
  <c r="H182" i="550"/>
  <c r="V181" i="550"/>
  <c r="W181" i="550" s="1"/>
  <c r="N181" i="550"/>
  <c r="K181" i="550"/>
  <c r="M181" i="550" s="1"/>
  <c r="K181" i="550" a="1"/>
  <c r="J181" i="550"/>
  <c r="J181" i="550" a="1"/>
  <c r="H181" i="550"/>
  <c r="V180" i="550"/>
  <c r="W180" i="550" s="1"/>
  <c r="N180" i="550"/>
  <c r="K180" i="550" a="1"/>
  <c r="K180" i="550" s="1"/>
  <c r="M180" i="550" s="1"/>
  <c r="J180" i="550" a="1"/>
  <c r="J180" i="550" s="1"/>
  <c r="H180" i="550"/>
  <c r="W179" i="550"/>
  <c r="V179" i="550"/>
  <c r="N179" i="550"/>
  <c r="K179" i="550" a="1"/>
  <c r="K179" i="550" s="1"/>
  <c r="M179" i="550" s="1"/>
  <c r="J179" i="550" a="1"/>
  <c r="J179" i="550" s="1"/>
  <c r="H179" i="550"/>
  <c r="V178" i="550"/>
  <c r="V199" i="550" s="1"/>
  <c r="N178" i="550"/>
  <c r="N199" i="550" s="1"/>
  <c r="K178" i="550" a="1"/>
  <c r="K178" i="550" s="1"/>
  <c r="J178" i="550" a="1"/>
  <c r="J178" i="550" s="1"/>
  <c r="H178" i="550"/>
  <c r="X171" i="550"/>
  <c r="Q529" i="550" s="1"/>
  <c r="X170" i="550"/>
  <c r="Q528" i="550" s="1"/>
  <c r="G170" i="550"/>
  <c r="C170" i="550"/>
  <c r="X169" i="550"/>
  <c r="Q527" i="550" s="1"/>
  <c r="I169" i="550"/>
  <c r="E169" i="550"/>
  <c r="K169" i="550" s="1"/>
  <c r="M169" i="550" s="1"/>
  <c r="I168" i="550"/>
  <c r="E168" i="550"/>
  <c r="K168" i="550" s="1"/>
  <c r="M168" i="550" s="1"/>
  <c r="I167" i="550"/>
  <c r="E167" i="550"/>
  <c r="K167" i="550" s="1"/>
  <c r="M167" i="550" s="1"/>
  <c r="X166" i="550"/>
  <c r="Q524" i="550" s="1"/>
  <c r="I166" i="550"/>
  <c r="I170" i="550" s="1"/>
  <c r="E166" i="550"/>
  <c r="E170" i="550" s="1"/>
  <c r="AA163" i="550"/>
  <c r="Z163" i="550"/>
  <c r="Y163" i="550"/>
  <c r="X163" i="550"/>
  <c r="U163" i="550"/>
  <c r="T163" i="550"/>
  <c r="S163" i="550"/>
  <c r="R163" i="550"/>
  <c r="Q163" i="550"/>
  <c r="P163" i="550"/>
  <c r="O163" i="550"/>
  <c r="R171" i="550" s="1"/>
  <c r="I163" i="550"/>
  <c r="G163" i="550"/>
  <c r="C529" i="550" s="1"/>
  <c r="H162" i="550"/>
  <c r="H161" i="550"/>
  <c r="H160" i="550"/>
  <c r="V159" i="550"/>
  <c r="W159" i="550" s="1"/>
  <c r="N159" i="550"/>
  <c r="K159" i="550"/>
  <c r="K159" i="550" a="1"/>
  <c r="J159" i="550" a="1"/>
  <c r="J159" i="550" s="1"/>
  <c r="H159" i="550"/>
  <c r="D159" i="550"/>
  <c r="V158" i="550"/>
  <c r="W158" i="550" s="1"/>
  <c r="N158" i="550"/>
  <c r="K158" i="550" a="1"/>
  <c r="K158" i="550" s="1"/>
  <c r="M158" i="550" s="1"/>
  <c r="J158" i="550" a="1"/>
  <c r="J158" i="550" s="1"/>
  <c r="H158" i="550"/>
  <c r="H157" i="550"/>
  <c r="H156" i="550"/>
  <c r="V155" i="550"/>
  <c r="W155" i="550" s="1"/>
  <c r="N155" i="550"/>
  <c r="K155" i="550" a="1"/>
  <c r="K155" i="550" s="1"/>
  <c r="M155" i="550" s="1"/>
  <c r="J155" i="550" a="1"/>
  <c r="J155" i="550" s="1"/>
  <c r="H155" i="550"/>
  <c r="V154" i="550"/>
  <c r="W154" i="550" s="1"/>
  <c r="N154" i="550"/>
  <c r="K154" i="550"/>
  <c r="M154" i="550" s="1"/>
  <c r="K154" i="550" a="1"/>
  <c r="J154" i="550"/>
  <c r="J154" i="550" a="1"/>
  <c r="H154" i="550"/>
  <c r="H153" i="550"/>
  <c r="W152" i="550"/>
  <c r="V152" i="550"/>
  <c r="N152" i="550"/>
  <c r="K152" i="550" a="1"/>
  <c r="K152" i="550" s="1"/>
  <c r="M152" i="550" s="1"/>
  <c r="J152" i="550" a="1"/>
  <c r="J152" i="550" s="1"/>
  <c r="H152" i="550"/>
  <c r="V151" i="550"/>
  <c r="W151" i="550" s="1"/>
  <c r="N151" i="550"/>
  <c r="K151" i="550" a="1"/>
  <c r="K151" i="550" s="1"/>
  <c r="M151" i="550" s="1"/>
  <c r="J151" i="550" a="1"/>
  <c r="J151" i="550" s="1"/>
  <c r="H151" i="550"/>
  <c r="W150" i="550"/>
  <c r="V150" i="550"/>
  <c r="N150" i="550"/>
  <c r="K150" i="550"/>
  <c r="M150" i="550" s="1"/>
  <c r="K150" i="550" a="1"/>
  <c r="H150" i="550"/>
  <c r="V149" i="550"/>
  <c r="W149" i="550" s="1"/>
  <c r="N149" i="550"/>
  <c r="N163" i="550" s="1"/>
  <c r="K149" i="550" a="1"/>
  <c r="K149" i="550" s="1"/>
  <c r="J149" i="550" a="1"/>
  <c r="J149" i="550" s="1"/>
  <c r="H149" i="550"/>
  <c r="AA148" i="550"/>
  <c r="Z148" i="550"/>
  <c r="Y148" i="550"/>
  <c r="X148" i="550"/>
  <c r="U148" i="550"/>
  <c r="T148" i="550"/>
  <c r="S148" i="550"/>
  <c r="Q148" i="550"/>
  <c r="P148" i="550"/>
  <c r="O148" i="550"/>
  <c r="R170" i="550" s="1"/>
  <c r="I148" i="550"/>
  <c r="G148" i="550"/>
  <c r="C528" i="550" s="1"/>
  <c r="V147" i="550"/>
  <c r="W147" i="550" s="1"/>
  <c r="N147" i="550"/>
  <c r="K147" i="550" a="1"/>
  <c r="K147" i="550" s="1"/>
  <c r="M147" i="550" s="1"/>
  <c r="J147" i="550" a="1"/>
  <c r="J147" i="550" s="1"/>
  <c r="H147" i="550"/>
  <c r="K146" i="550" a="1"/>
  <c r="K146" i="550" s="1"/>
  <c r="H146" i="550"/>
  <c r="K145" i="550" a="1"/>
  <c r="K145" i="550" s="1"/>
  <c r="H145" i="550"/>
  <c r="K144" i="550" a="1"/>
  <c r="K144" i="550" s="1"/>
  <c r="H144" i="550"/>
  <c r="K143" i="550" a="1"/>
  <c r="K143" i="550" s="1"/>
  <c r="H143" i="550"/>
  <c r="W142" i="550"/>
  <c r="V142" i="550"/>
  <c r="N142" i="550"/>
  <c r="K142" i="550" a="1"/>
  <c r="K142" i="550" s="1"/>
  <c r="M142" i="550" s="1"/>
  <c r="J142" i="550" a="1"/>
  <c r="J142" i="550" s="1"/>
  <c r="H142" i="550"/>
  <c r="V141" i="550"/>
  <c r="W141" i="550" s="1"/>
  <c r="N141" i="550"/>
  <c r="K141" i="550" a="1"/>
  <c r="K141" i="550" s="1"/>
  <c r="M141" i="550" s="1"/>
  <c r="J141" i="550" a="1"/>
  <c r="J141" i="550" s="1"/>
  <c r="H141" i="550"/>
  <c r="V140" i="550"/>
  <c r="W140" i="550" s="1"/>
  <c r="N140" i="550"/>
  <c r="K140" i="550" a="1"/>
  <c r="K140" i="550" s="1"/>
  <c r="M140" i="550" s="1"/>
  <c r="J140" i="550" a="1"/>
  <c r="J140" i="550" s="1"/>
  <c r="H140" i="550"/>
  <c r="V139" i="550"/>
  <c r="W139" i="550" s="1"/>
  <c r="N139" i="550"/>
  <c r="K139" i="550"/>
  <c r="M139" i="550" s="1"/>
  <c r="K139" i="550" a="1"/>
  <c r="J139" i="550"/>
  <c r="J139" i="550" a="1"/>
  <c r="H139" i="550"/>
  <c r="V138" i="550"/>
  <c r="V148" i="550" s="1"/>
  <c r="W148" i="550" s="1"/>
  <c r="N138" i="550"/>
  <c r="N148" i="550" s="1"/>
  <c r="K138" i="550" a="1"/>
  <c r="K138" i="550" s="1"/>
  <c r="J138" i="550" a="1"/>
  <c r="J138" i="550" s="1"/>
  <c r="H138" i="550"/>
  <c r="H148" i="550" s="1"/>
  <c r="AA137" i="550"/>
  <c r="Z137" i="550"/>
  <c r="Y137" i="550"/>
  <c r="X137" i="550"/>
  <c r="U137" i="550"/>
  <c r="T137" i="550"/>
  <c r="S137" i="550"/>
  <c r="Q137" i="550"/>
  <c r="P137" i="550"/>
  <c r="O137" i="550"/>
  <c r="R169" i="550" s="1"/>
  <c r="I137" i="550"/>
  <c r="G137" i="550"/>
  <c r="C527" i="550" s="1"/>
  <c r="V136" i="550"/>
  <c r="W136" i="550" s="1"/>
  <c r="N136" i="550"/>
  <c r="K136" i="550" a="1"/>
  <c r="K136" i="550" s="1"/>
  <c r="M136" i="550" s="1"/>
  <c r="J136" i="550" a="1"/>
  <c r="J136" i="550" s="1"/>
  <c r="H136" i="550"/>
  <c r="V135" i="550"/>
  <c r="W135" i="550" s="1"/>
  <c r="N135" i="550"/>
  <c r="K135" i="550" a="1"/>
  <c r="K135" i="550" s="1"/>
  <c r="M135" i="550" s="1"/>
  <c r="J135" i="550" a="1"/>
  <c r="J135" i="550" s="1"/>
  <c r="H135" i="550"/>
  <c r="V134" i="550"/>
  <c r="W134" i="550" s="1"/>
  <c r="N134" i="550"/>
  <c r="K134" i="550" a="1"/>
  <c r="K134" i="550" s="1"/>
  <c r="M134" i="550" s="1"/>
  <c r="J134" i="550" a="1"/>
  <c r="J134" i="550" s="1"/>
  <c r="H134" i="550"/>
  <c r="V133" i="550"/>
  <c r="W133" i="550" s="1"/>
  <c r="N133" i="550"/>
  <c r="K133" i="550" a="1"/>
  <c r="K133" i="550" s="1"/>
  <c r="M133" i="550" s="1"/>
  <c r="J133" i="550" a="1"/>
  <c r="J133" i="550" s="1"/>
  <c r="H133" i="550"/>
  <c r="W132" i="550"/>
  <c r="V132" i="550"/>
  <c r="N132" i="550"/>
  <c r="K132" i="550" a="1"/>
  <c r="K132" i="550" s="1"/>
  <c r="M132" i="550" s="1"/>
  <c r="J132" i="550" a="1"/>
  <c r="J132" i="550" s="1"/>
  <c r="H132" i="550"/>
  <c r="V131" i="550"/>
  <c r="W131" i="550" s="1"/>
  <c r="N131" i="550"/>
  <c r="K131" i="550" a="1"/>
  <c r="K131" i="550" s="1"/>
  <c r="M131" i="550" s="1"/>
  <c r="J131" i="550" a="1"/>
  <c r="J131" i="550" s="1"/>
  <c r="H131" i="550"/>
  <c r="W130" i="550"/>
  <c r="V130" i="550"/>
  <c r="N130" i="550"/>
  <c r="K130" i="550" a="1"/>
  <c r="K130" i="550" s="1"/>
  <c r="M130" i="550" s="1"/>
  <c r="J130" i="550" a="1"/>
  <c r="J130" i="550" s="1"/>
  <c r="H130" i="550"/>
  <c r="V129" i="550"/>
  <c r="W129" i="550" s="1"/>
  <c r="N129" i="550"/>
  <c r="K129" i="550"/>
  <c r="M129" i="550" s="1"/>
  <c r="K129" i="550" a="1"/>
  <c r="J129" i="550" a="1"/>
  <c r="J129" i="550" s="1"/>
  <c r="H129" i="550"/>
  <c r="W128" i="550"/>
  <c r="V128" i="550"/>
  <c r="N128" i="550"/>
  <c r="K128" i="550" a="1"/>
  <c r="K128" i="550" s="1"/>
  <c r="M128" i="550" s="1"/>
  <c r="J128" i="550" a="1"/>
  <c r="J128" i="550" s="1"/>
  <c r="H128" i="550"/>
  <c r="V127" i="550"/>
  <c r="W127" i="550" s="1"/>
  <c r="N127" i="550"/>
  <c r="K127" i="550" a="1"/>
  <c r="K127" i="550" s="1"/>
  <c r="M127" i="550" s="1"/>
  <c r="J127" i="550" a="1"/>
  <c r="J127" i="550" s="1"/>
  <c r="H127" i="550"/>
  <c r="W126" i="550"/>
  <c r="V126" i="550"/>
  <c r="N126" i="550"/>
  <c r="K126" i="550" a="1"/>
  <c r="K126" i="550" s="1"/>
  <c r="M126" i="550" s="1"/>
  <c r="J126" i="550" a="1"/>
  <c r="J126" i="550" s="1"/>
  <c r="H126" i="550"/>
  <c r="V125" i="550"/>
  <c r="W125" i="550" s="1"/>
  <c r="N125" i="550"/>
  <c r="K125" i="550"/>
  <c r="M125" i="550" s="1"/>
  <c r="K125" i="550" a="1"/>
  <c r="J125" i="550" a="1"/>
  <c r="J125" i="550" s="1"/>
  <c r="H125" i="550"/>
  <c r="W124" i="550"/>
  <c r="V124" i="550"/>
  <c r="N124" i="550"/>
  <c r="K124" i="550" a="1"/>
  <c r="K124" i="550" s="1"/>
  <c r="M124" i="550" s="1"/>
  <c r="J124" i="550" a="1"/>
  <c r="J124" i="550" s="1"/>
  <c r="H124" i="550"/>
  <c r="V123" i="550"/>
  <c r="W123" i="550" s="1"/>
  <c r="N123" i="550"/>
  <c r="K123" i="550" a="1"/>
  <c r="K123" i="550" s="1"/>
  <c r="M123" i="550" s="1"/>
  <c r="J123" i="550" a="1"/>
  <c r="J123" i="550" s="1"/>
  <c r="H123" i="550"/>
  <c r="W122" i="550"/>
  <c r="V122" i="550"/>
  <c r="V137" i="550" s="1"/>
  <c r="W137" i="550" s="1"/>
  <c r="N122" i="550"/>
  <c r="N137" i="550" s="1"/>
  <c r="K122" i="550" a="1"/>
  <c r="K122" i="550" s="1"/>
  <c r="M122" i="550" s="1"/>
  <c r="J122" i="550" a="1"/>
  <c r="J122" i="550" s="1"/>
  <c r="H122" i="550"/>
  <c r="H137" i="550" s="1"/>
  <c r="AA121" i="550"/>
  <c r="Z121" i="550"/>
  <c r="Y121" i="550"/>
  <c r="X121" i="550"/>
  <c r="U121" i="550"/>
  <c r="T121" i="550"/>
  <c r="S121" i="550"/>
  <c r="R121" i="550"/>
  <c r="Q121" i="550"/>
  <c r="P121" i="550"/>
  <c r="O121" i="550"/>
  <c r="R168" i="550" s="1"/>
  <c r="I121" i="550"/>
  <c r="G121" i="550"/>
  <c r="C526" i="550" s="1"/>
  <c r="V120" i="550"/>
  <c r="W120" i="550" s="1"/>
  <c r="N120" i="550"/>
  <c r="K120" i="550" a="1"/>
  <c r="K120" i="550" s="1"/>
  <c r="M120" i="550" s="1"/>
  <c r="J120" i="550" a="1"/>
  <c r="J120" i="550" s="1"/>
  <c r="H120" i="550"/>
  <c r="V119" i="550"/>
  <c r="W119" i="550" s="1"/>
  <c r="N119" i="550"/>
  <c r="K119" i="550"/>
  <c r="M119" i="550" s="1"/>
  <c r="K119" i="550" a="1"/>
  <c r="J119" i="550"/>
  <c r="J119" i="550" a="1"/>
  <c r="H119" i="550"/>
  <c r="V118" i="550"/>
  <c r="W118" i="550" s="1"/>
  <c r="N118" i="550"/>
  <c r="K118" i="550" a="1"/>
  <c r="K118" i="550" s="1"/>
  <c r="M118" i="550" s="1"/>
  <c r="J118" i="550" a="1"/>
  <c r="J118" i="550" s="1"/>
  <c r="H118" i="550"/>
  <c r="K117" i="550" a="1"/>
  <c r="K117" i="550" s="1"/>
  <c r="H117" i="550"/>
  <c r="K116" i="550" a="1"/>
  <c r="K116" i="550" s="1"/>
  <c r="H116" i="550"/>
  <c r="K115" i="550"/>
  <c r="K115" i="550" a="1"/>
  <c r="H115" i="550"/>
  <c r="V114" i="550"/>
  <c r="W114" i="550" s="1"/>
  <c r="N114" i="550"/>
  <c r="K114" i="550" a="1"/>
  <c r="K114" i="550" s="1"/>
  <c r="M114" i="550" s="1"/>
  <c r="J114" i="550" a="1"/>
  <c r="J114" i="550" s="1"/>
  <c r="H114" i="550"/>
  <c r="W113" i="550"/>
  <c r="V113" i="550"/>
  <c r="N113" i="550"/>
  <c r="K113" i="550" a="1"/>
  <c r="K113" i="550" s="1"/>
  <c r="M113" i="550" s="1"/>
  <c r="J113" i="550" a="1"/>
  <c r="J113" i="550" s="1"/>
  <c r="H113" i="550"/>
  <c r="N112" i="550"/>
  <c r="K112" i="550" a="1"/>
  <c r="K112" i="550" s="1"/>
  <c r="M112" i="550" s="1"/>
  <c r="H112" i="550"/>
  <c r="N111" i="550"/>
  <c r="K111" i="550"/>
  <c r="M111" i="550" s="1"/>
  <c r="K111" i="550" a="1"/>
  <c r="H111" i="550"/>
  <c r="N110" i="550"/>
  <c r="K110" i="550" a="1"/>
  <c r="K110" i="550" s="1"/>
  <c r="M110" i="550" s="1"/>
  <c r="H110" i="550"/>
  <c r="N109" i="550"/>
  <c r="K109" i="550" a="1"/>
  <c r="K109" i="550" s="1"/>
  <c r="M109" i="550" s="1"/>
  <c r="H109" i="550"/>
  <c r="N108" i="550"/>
  <c r="K108" i="550" a="1"/>
  <c r="K108" i="550" s="1"/>
  <c r="M108" i="550" s="1"/>
  <c r="H108" i="550"/>
  <c r="N107" i="550"/>
  <c r="K107" i="550" a="1"/>
  <c r="K107" i="550" s="1"/>
  <c r="M107" i="550" s="1"/>
  <c r="H107" i="550"/>
  <c r="V106" i="550"/>
  <c r="W106" i="550" s="1"/>
  <c r="N106" i="550"/>
  <c r="K106" i="550" a="1"/>
  <c r="K106" i="550" s="1"/>
  <c r="M106" i="550" s="1"/>
  <c r="J106" i="550" a="1"/>
  <c r="J106" i="550" s="1"/>
  <c r="H106" i="550"/>
  <c r="V105" i="550"/>
  <c r="W105" i="550" s="1"/>
  <c r="N105" i="550"/>
  <c r="K105" i="550"/>
  <c r="M105" i="550" s="1"/>
  <c r="K105" i="550" a="1"/>
  <c r="J105" i="550"/>
  <c r="J105" i="550" a="1"/>
  <c r="H105" i="550"/>
  <c r="V104" i="550"/>
  <c r="W104" i="550" s="1"/>
  <c r="N104" i="550"/>
  <c r="K104" i="550" a="1"/>
  <c r="K104" i="550" s="1"/>
  <c r="M104" i="550" s="1"/>
  <c r="J104" i="550" a="1"/>
  <c r="J104" i="550" s="1"/>
  <c r="H104" i="550"/>
  <c r="V103" i="550"/>
  <c r="W103" i="550" s="1"/>
  <c r="N103" i="550"/>
  <c r="K103" i="550" a="1"/>
  <c r="K103" i="550" s="1"/>
  <c r="M103" i="550" s="1"/>
  <c r="J103" i="550" a="1"/>
  <c r="J103" i="550" s="1"/>
  <c r="H103" i="550"/>
  <c r="V102" i="550"/>
  <c r="W102" i="550" s="1"/>
  <c r="N102" i="550"/>
  <c r="K102" i="550" a="1"/>
  <c r="K102" i="550" s="1"/>
  <c r="M102" i="550" s="1"/>
  <c r="J102" i="550" a="1"/>
  <c r="J102" i="550" s="1"/>
  <c r="H102" i="550"/>
  <c r="V101" i="550"/>
  <c r="W101" i="550" s="1"/>
  <c r="N101" i="550"/>
  <c r="K101" i="550"/>
  <c r="M101" i="550" s="1"/>
  <c r="K101" i="550" a="1"/>
  <c r="J101" i="550"/>
  <c r="J101" i="550" a="1"/>
  <c r="H101" i="550"/>
  <c r="V100" i="550"/>
  <c r="W100" i="550" s="1"/>
  <c r="N100" i="550"/>
  <c r="K100" i="550" a="1"/>
  <c r="K100" i="550" s="1"/>
  <c r="M100" i="550" s="1"/>
  <c r="J100" i="550" a="1"/>
  <c r="J100" i="550" s="1"/>
  <c r="H100" i="550"/>
  <c r="W99" i="550"/>
  <c r="V99" i="550"/>
  <c r="N99" i="550"/>
  <c r="K99" i="550" a="1"/>
  <c r="K99" i="550" s="1"/>
  <c r="M99" i="550" s="1"/>
  <c r="J99" i="550" a="1"/>
  <c r="J99" i="550" s="1"/>
  <c r="H99" i="550"/>
  <c r="V98" i="550"/>
  <c r="W98" i="550" s="1"/>
  <c r="N98" i="550"/>
  <c r="K98" i="550" a="1"/>
  <c r="K98" i="550" s="1"/>
  <c r="M98" i="550" s="1"/>
  <c r="J98" i="550" a="1"/>
  <c r="J98" i="550" s="1"/>
  <c r="H98" i="550"/>
  <c r="V97" i="550"/>
  <c r="W97" i="550" s="1"/>
  <c r="N97" i="550"/>
  <c r="K97" i="550"/>
  <c r="M97" i="550" s="1"/>
  <c r="K97" i="550" a="1"/>
  <c r="J97" i="550"/>
  <c r="J97" i="550" a="1"/>
  <c r="H97" i="550"/>
  <c r="V96" i="550"/>
  <c r="W96" i="550" s="1"/>
  <c r="N96" i="550"/>
  <c r="K96" i="550" a="1"/>
  <c r="K96" i="550" s="1"/>
  <c r="M96" i="550" s="1"/>
  <c r="J96" i="550" a="1"/>
  <c r="J96" i="550" s="1"/>
  <c r="H96" i="550"/>
  <c r="W95" i="550"/>
  <c r="V95" i="550"/>
  <c r="N95" i="550"/>
  <c r="K95" i="550" a="1"/>
  <c r="K95" i="550" s="1"/>
  <c r="M95" i="550" s="1"/>
  <c r="J95" i="550" a="1"/>
  <c r="J95" i="550" s="1"/>
  <c r="H95" i="550"/>
  <c r="K94" i="550"/>
  <c r="M94" i="550" s="1"/>
  <c r="K94" i="550" a="1"/>
  <c r="H94" i="550"/>
  <c r="V93" i="550"/>
  <c r="W93" i="550" s="1"/>
  <c r="N93" i="550"/>
  <c r="K93" i="550" a="1"/>
  <c r="K93" i="550" s="1"/>
  <c r="M93" i="550" s="1"/>
  <c r="J93" i="550" a="1"/>
  <c r="J93" i="550" s="1"/>
  <c r="H93" i="550"/>
  <c r="W92" i="550"/>
  <c r="V92" i="550"/>
  <c r="N92" i="550"/>
  <c r="K92" i="550" a="1"/>
  <c r="K92" i="550" s="1"/>
  <c r="M92" i="550" s="1"/>
  <c r="J92" i="550" a="1"/>
  <c r="J92" i="550" s="1"/>
  <c r="H92" i="550"/>
  <c r="V91" i="550"/>
  <c r="W91" i="550" s="1"/>
  <c r="N91" i="550"/>
  <c r="K91" i="550" a="1"/>
  <c r="K91" i="550" s="1"/>
  <c r="M91" i="550" s="1"/>
  <c r="J91" i="550" a="1"/>
  <c r="J91" i="550" s="1"/>
  <c r="H91" i="550"/>
  <c r="V90" i="550"/>
  <c r="W90" i="550" s="1"/>
  <c r="N90" i="550"/>
  <c r="K90" i="550"/>
  <c r="M90" i="550" s="1"/>
  <c r="K90" i="550" a="1"/>
  <c r="J90" i="550"/>
  <c r="J90" i="550" a="1"/>
  <c r="H90" i="550"/>
  <c r="V89" i="550"/>
  <c r="W89" i="550" s="1"/>
  <c r="N89" i="550"/>
  <c r="K89" i="550" a="1"/>
  <c r="K89" i="550" s="1"/>
  <c r="M89" i="550" s="1"/>
  <c r="J89" i="550" a="1"/>
  <c r="J89" i="550" s="1"/>
  <c r="H89" i="550"/>
  <c r="W88" i="550"/>
  <c r="V88" i="550"/>
  <c r="N88" i="550"/>
  <c r="K88" i="550" a="1"/>
  <c r="K88" i="550" s="1"/>
  <c r="M88" i="550" s="1"/>
  <c r="J88" i="550" a="1"/>
  <c r="J88" i="550" s="1"/>
  <c r="H88" i="550"/>
  <c r="V87" i="550"/>
  <c r="V121" i="550" s="1"/>
  <c r="W121" i="550" s="1"/>
  <c r="N87" i="550"/>
  <c r="K87" i="550" a="1"/>
  <c r="K87" i="550" s="1"/>
  <c r="J87" i="550" a="1"/>
  <c r="J87" i="550" s="1"/>
  <c r="H87" i="550"/>
  <c r="H121" i="550" s="1"/>
  <c r="AA86" i="550"/>
  <c r="Z86" i="550"/>
  <c r="Y86" i="550"/>
  <c r="X86" i="550"/>
  <c r="U86" i="550"/>
  <c r="T86" i="550"/>
  <c r="S86" i="550"/>
  <c r="R86" i="550"/>
  <c r="Q86" i="550"/>
  <c r="P86" i="550"/>
  <c r="O86" i="550"/>
  <c r="R167" i="550" s="1"/>
  <c r="I86" i="550"/>
  <c r="G86" i="550"/>
  <c r="C525" i="550" s="1"/>
  <c r="K85" i="550" a="1"/>
  <c r="K85" i="550" s="1"/>
  <c r="H85" i="550"/>
  <c r="K84" i="550"/>
  <c r="K84" i="550" a="1"/>
  <c r="H84" i="550"/>
  <c r="K83" i="550" a="1"/>
  <c r="K83" i="550" s="1"/>
  <c r="H83" i="550"/>
  <c r="K82" i="550" a="1"/>
  <c r="K82" i="550" s="1"/>
  <c r="H82" i="550"/>
  <c r="K81" i="550" a="1"/>
  <c r="K81" i="550" s="1"/>
  <c r="H81" i="550"/>
  <c r="K80" i="550" a="1"/>
  <c r="K80" i="550" s="1"/>
  <c r="H80" i="550"/>
  <c r="K79" i="550" a="1"/>
  <c r="K79" i="550" s="1"/>
  <c r="M79" i="550" s="1"/>
  <c r="H79" i="550"/>
  <c r="K78" i="550" a="1"/>
  <c r="K78" i="550" s="1"/>
  <c r="M78" i="550" s="1"/>
  <c r="H78" i="550"/>
  <c r="K77" i="550" a="1"/>
  <c r="K77" i="550" s="1"/>
  <c r="M77" i="550" s="1"/>
  <c r="H77" i="550"/>
  <c r="K76" i="550" a="1"/>
  <c r="K76" i="550" s="1"/>
  <c r="M76" i="550" s="1"/>
  <c r="H76" i="550"/>
  <c r="W75" i="550"/>
  <c r="V75" i="550"/>
  <c r="N75" i="550"/>
  <c r="K75" i="550" a="1"/>
  <c r="K75" i="550" s="1"/>
  <c r="M75" i="550" s="1"/>
  <c r="J75" i="550" a="1"/>
  <c r="J75" i="550" s="1"/>
  <c r="H75" i="550"/>
  <c r="V74" i="550"/>
  <c r="W74" i="550" s="1"/>
  <c r="N74" i="550"/>
  <c r="K74" i="550" a="1"/>
  <c r="K74" i="550" s="1"/>
  <c r="M74" i="550" s="1"/>
  <c r="J74" i="550" a="1"/>
  <c r="J74" i="550" s="1"/>
  <c r="H74" i="550"/>
  <c r="V73" i="550"/>
  <c r="W73" i="550" s="1"/>
  <c r="N73" i="550"/>
  <c r="K73" i="550"/>
  <c r="M73" i="550" s="1"/>
  <c r="K73" i="550" a="1"/>
  <c r="J73" i="550"/>
  <c r="J73" i="550" a="1"/>
  <c r="H73" i="550"/>
  <c r="V72" i="550"/>
  <c r="W72" i="550" s="1"/>
  <c r="N72" i="550"/>
  <c r="K72" i="550" a="1"/>
  <c r="K72" i="550" s="1"/>
  <c r="M72" i="550" s="1"/>
  <c r="J72" i="550" a="1"/>
  <c r="J72" i="550" s="1"/>
  <c r="H72" i="550"/>
  <c r="H71" i="550"/>
  <c r="V70" i="550"/>
  <c r="W70" i="550" s="1"/>
  <c r="N70" i="550"/>
  <c r="K70" i="550" a="1"/>
  <c r="K70" i="550" s="1"/>
  <c r="M70" i="550" s="1"/>
  <c r="J70" i="550" a="1"/>
  <c r="J70" i="550" s="1"/>
  <c r="H70" i="550"/>
  <c r="W69" i="550"/>
  <c r="V69" i="550"/>
  <c r="N69" i="550"/>
  <c r="K69" i="550" a="1"/>
  <c r="K69" i="550" s="1"/>
  <c r="M69" i="550" s="1"/>
  <c r="J69" i="550" a="1"/>
  <c r="J69" i="550" s="1"/>
  <c r="H69" i="550"/>
  <c r="K68" i="550" a="1"/>
  <c r="K68" i="550" s="1"/>
  <c r="H68" i="550"/>
  <c r="K67" i="550"/>
  <c r="K67" i="550" a="1"/>
  <c r="H67" i="550"/>
  <c r="V66" i="550"/>
  <c r="W66" i="550" s="1"/>
  <c r="N66" i="550"/>
  <c r="K66" i="550" a="1"/>
  <c r="K66" i="550" s="1"/>
  <c r="M66" i="550" s="1"/>
  <c r="J66" i="550" a="1"/>
  <c r="J66" i="550" s="1"/>
  <c r="H66" i="550"/>
  <c r="W65" i="550"/>
  <c r="V65" i="550"/>
  <c r="N65" i="550"/>
  <c r="K65" i="550" a="1"/>
  <c r="K65" i="550" s="1"/>
  <c r="M65" i="550" s="1"/>
  <c r="J65" i="550" a="1"/>
  <c r="J65" i="550" s="1"/>
  <c r="H65" i="550"/>
  <c r="V64" i="550"/>
  <c r="W64" i="550" s="1"/>
  <c r="N64" i="550"/>
  <c r="K64" i="550" a="1"/>
  <c r="K64" i="550" s="1"/>
  <c r="M64" i="550" s="1"/>
  <c r="J64" i="550" a="1"/>
  <c r="J64" i="550" s="1"/>
  <c r="H64" i="550"/>
  <c r="V63" i="550"/>
  <c r="W63" i="550" s="1"/>
  <c r="N63" i="550"/>
  <c r="K63" i="550" a="1"/>
  <c r="K63" i="550" s="1"/>
  <c r="M63" i="550" s="1"/>
  <c r="J63" i="550" a="1"/>
  <c r="J63" i="550" s="1"/>
  <c r="H63" i="550"/>
  <c r="V62" i="550"/>
  <c r="W62" i="550" s="1"/>
  <c r="N62" i="550"/>
  <c r="K62" i="550" a="1"/>
  <c r="K62" i="550" s="1"/>
  <c r="M62" i="550" s="1"/>
  <c r="J62" i="550" a="1"/>
  <c r="J62" i="550" s="1"/>
  <c r="H62" i="550"/>
  <c r="V61" i="550"/>
  <c r="W61" i="550" s="1"/>
  <c r="N61" i="550"/>
  <c r="K61" i="550"/>
  <c r="M61" i="550" s="1"/>
  <c r="K61" i="550" a="1"/>
  <c r="J61" i="550"/>
  <c r="J61" i="550" a="1"/>
  <c r="H61" i="550"/>
  <c r="V60" i="550"/>
  <c r="W60" i="550" s="1"/>
  <c r="N60" i="550"/>
  <c r="K60" i="550" a="1"/>
  <c r="K60" i="550" s="1"/>
  <c r="M60" i="550" s="1"/>
  <c r="J60" i="550" a="1"/>
  <c r="J60" i="550" s="1"/>
  <c r="H60" i="550"/>
  <c r="W59" i="550"/>
  <c r="V59" i="550"/>
  <c r="N59" i="550"/>
  <c r="K59" i="550" a="1"/>
  <c r="K59" i="550" s="1"/>
  <c r="M59" i="550" s="1"/>
  <c r="J59" i="550" a="1"/>
  <c r="J59" i="550" s="1"/>
  <c r="H59" i="550"/>
  <c r="V58" i="550"/>
  <c r="W58" i="550" s="1"/>
  <c r="N58" i="550"/>
  <c r="K58" i="550" a="1"/>
  <c r="K58" i="550" s="1"/>
  <c r="M58" i="550" s="1"/>
  <c r="J58" i="550" a="1"/>
  <c r="J58" i="550" s="1"/>
  <c r="H58" i="550"/>
  <c r="V57" i="550"/>
  <c r="W57" i="550" s="1"/>
  <c r="N57" i="550"/>
  <c r="K57" i="550"/>
  <c r="M57" i="550" s="1"/>
  <c r="K57" i="550" a="1"/>
  <c r="J57" i="550"/>
  <c r="J57" i="550" a="1"/>
  <c r="H57" i="550"/>
  <c r="K56" i="550" a="1"/>
  <c r="K56" i="550" s="1"/>
  <c r="M56" i="550" s="1"/>
  <c r="H56" i="550"/>
  <c r="K55" i="550"/>
  <c r="M55" i="550" s="1"/>
  <c r="K55" i="550" a="1"/>
  <c r="H55" i="550"/>
  <c r="K54" i="550" a="1"/>
  <c r="K54" i="550" s="1"/>
  <c r="M54" i="550" s="1"/>
  <c r="H54" i="550"/>
  <c r="K53" i="550"/>
  <c r="M53" i="550" s="1"/>
  <c r="K53" i="550" a="1"/>
  <c r="H53" i="550"/>
  <c r="N52" i="550"/>
  <c r="K52" i="550" a="1"/>
  <c r="K52" i="550" s="1"/>
  <c r="M52" i="550" s="1"/>
  <c r="H52" i="550"/>
  <c r="N51" i="550"/>
  <c r="K51" i="550" a="1"/>
  <c r="K51" i="550" s="1"/>
  <c r="M51" i="550" s="1"/>
  <c r="H51" i="550"/>
  <c r="N50" i="550"/>
  <c r="K50" i="550" a="1"/>
  <c r="K50" i="550" s="1"/>
  <c r="M50" i="550" s="1"/>
  <c r="H50" i="550"/>
  <c r="N49" i="550"/>
  <c r="K49" i="550" a="1"/>
  <c r="K49" i="550" s="1"/>
  <c r="M49" i="550" s="1"/>
  <c r="H49" i="550"/>
  <c r="V48" i="550"/>
  <c r="W48" i="550" s="1"/>
  <c r="N48" i="550"/>
  <c r="K48" i="550" a="1"/>
  <c r="K48" i="550" s="1"/>
  <c r="M48" i="550" s="1"/>
  <c r="J48" i="550" a="1"/>
  <c r="J48" i="550" s="1"/>
  <c r="H48" i="550"/>
  <c r="V47" i="550"/>
  <c r="W47" i="550" s="1"/>
  <c r="N47" i="550"/>
  <c r="K47" i="550" a="1"/>
  <c r="K47" i="550" s="1"/>
  <c r="M47" i="550" s="1"/>
  <c r="J47" i="550" a="1"/>
  <c r="J47" i="550" s="1"/>
  <c r="H47" i="550"/>
  <c r="V46" i="550"/>
  <c r="W46" i="550" s="1"/>
  <c r="N46" i="550"/>
  <c r="K46" i="550" a="1"/>
  <c r="K46" i="550" s="1"/>
  <c r="M46" i="550" s="1"/>
  <c r="J46" i="550" a="1"/>
  <c r="J46" i="550" s="1"/>
  <c r="H46" i="550"/>
  <c r="V45" i="550"/>
  <c r="W45" i="550" s="1"/>
  <c r="N45" i="550"/>
  <c r="K45" i="550"/>
  <c r="M45" i="550" s="1"/>
  <c r="K45" i="550" a="1"/>
  <c r="J45" i="550"/>
  <c r="J45" i="550" a="1"/>
  <c r="H45" i="550"/>
  <c r="V44" i="550"/>
  <c r="W44" i="550" s="1"/>
  <c r="N44" i="550"/>
  <c r="K44" i="550" a="1"/>
  <c r="K44" i="550" s="1"/>
  <c r="M44" i="550" s="1"/>
  <c r="J44" i="550" a="1"/>
  <c r="J44" i="550" s="1"/>
  <c r="H44" i="550"/>
  <c r="V43" i="550"/>
  <c r="W43" i="550" s="1"/>
  <c r="N43" i="550"/>
  <c r="K43" i="550" a="1"/>
  <c r="K43" i="550" s="1"/>
  <c r="M43" i="550" s="1"/>
  <c r="J43" i="550" a="1"/>
  <c r="J43" i="550" s="1"/>
  <c r="H43" i="550"/>
  <c r="V42" i="550"/>
  <c r="W42" i="550" s="1"/>
  <c r="N42" i="550"/>
  <c r="K42" i="550" a="1"/>
  <c r="K42" i="550" s="1"/>
  <c r="M42" i="550" s="1"/>
  <c r="J42" i="550" a="1"/>
  <c r="J42" i="550" s="1"/>
  <c r="H42" i="550"/>
  <c r="V41" i="550"/>
  <c r="W41" i="550" s="1"/>
  <c r="N41" i="550"/>
  <c r="K41" i="550" a="1"/>
  <c r="K41" i="550" s="1"/>
  <c r="M41" i="550" s="1"/>
  <c r="J41" i="550" a="1"/>
  <c r="J41" i="550" s="1"/>
  <c r="H41" i="550"/>
  <c r="V40" i="550"/>
  <c r="W40" i="550" s="1"/>
  <c r="N40" i="550"/>
  <c r="K40" i="550" a="1"/>
  <c r="K40" i="550" s="1"/>
  <c r="M40" i="550" s="1"/>
  <c r="J40" i="550" a="1"/>
  <c r="J40" i="550" s="1"/>
  <c r="H40" i="550"/>
  <c r="V39" i="550"/>
  <c r="W39" i="550" s="1"/>
  <c r="N39" i="550"/>
  <c r="K39" i="550"/>
  <c r="M39" i="550" s="1"/>
  <c r="K39" i="550" a="1"/>
  <c r="J39" i="550"/>
  <c r="J39" i="550" a="1"/>
  <c r="H39" i="550"/>
  <c r="V38" i="550"/>
  <c r="W38" i="550" s="1"/>
  <c r="N38" i="550"/>
  <c r="K38" i="550" a="1"/>
  <c r="K38" i="550" s="1"/>
  <c r="M38" i="550" s="1"/>
  <c r="J38" i="550" a="1"/>
  <c r="J38" i="550" s="1"/>
  <c r="H38" i="550"/>
  <c r="V37" i="550"/>
  <c r="W37" i="550" s="1"/>
  <c r="N37" i="550"/>
  <c r="K37" i="550" a="1"/>
  <c r="K37" i="550" s="1"/>
  <c r="M37" i="550" s="1"/>
  <c r="J37" i="550" a="1"/>
  <c r="J37" i="550" s="1"/>
  <c r="H37" i="550"/>
  <c r="H36" i="550"/>
  <c r="H35" i="550"/>
  <c r="H34" i="550"/>
  <c r="W33" i="550"/>
  <c r="V33" i="550"/>
  <c r="N33" i="550"/>
  <c r="K33" i="550" a="1"/>
  <c r="K33" i="550" s="1"/>
  <c r="M33" i="550" s="1"/>
  <c r="J33" i="550" a="1"/>
  <c r="J33" i="550" s="1"/>
  <c r="H33" i="550"/>
  <c r="V32" i="550"/>
  <c r="W32" i="550" s="1"/>
  <c r="N32" i="550"/>
  <c r="K32" i="550" a="1"/>
  <c r="K32" i="550" s="1"/>
  <c r="M32" i="550" s="1"/>
  <c r="J32" i="550" a="1"/>
  <c r="J32" i="550" s="1"/>
  <c r="H32" i="550"/>
  <c r="V31" i="550"/>
  <c r="W31" i="550" s="1"/>
  <c r="N31" i="550"/>
  <c r="K31" i="550"/>
  <c r="M31" i="550" s="1"/>
  <c r="K31" i="550" a="1"/>
  <c r="J31" i="550" a="1"/>
  <c r="J31" i="550" s="1"/>
  <c r="H31" i="550"/>
  <c r="K30" i="550" a="1"/>
  <c r="K30" i="550" s="1"/>
  <c r="H30" i="550"/>
  <c r="W29" i="550"/>
  <c r="V29" i="550"/>
  <c r="V86" i="550" s="1"/>
  <c r="W86" i="550" s="1"/>
  <c r="N29" i="550"/>
  <c r="N86" i="550" s="1"/>
  <c r="K29" i="550" a="1"/>
  <c r="K29" i="550" s="1"/>
  <c r="M29" i="550" s="1"/>
  <c r="J29" i="550" a="1"/>
  <c r="J29" i="550" s="1"/>
  <c r="H29" i="550"/>
  <c r="H86" i="550" s="1"/>
  <c r="AA28" i="550"/>
  <c r="AA164" i="550" s="1"/>
  <c r="Z28" i="550"/>
  <c r="Z164" i="550" s="1"/>
  <c r="Y28" i="550"/>
  <c r="Y164" i="550" s="1"/>
  <c r="X28" i="550"/>
  <c r="X164" i="550" s="1"/>
  <c r="U28" i="550"/>
  <c r="U164" i="550" s="1"/>
  <c r="T28" i="550"/>
  <c r="T164" i="550" s="1"/>
  <c r="S28" i="550"/>
  <c r="S164" i="550" s="1"/>
  <c r="R28" i="550"/>
  <c r="R164" i="550" s="1"/>
  <c r="Q28" i="550"/>
  <c r="Q164" i="550" s="1"/>
  <c r="P28" i="550"/>
  <c r="X167" i="550" s="1"/>
  <c r="O28" i="550"/>
  <c r="O164" i="550" s="1"/>
  <c r="I28" i="550"/>
  <c r="I164" i="550" s="1"/>
  <c r="B172" i="550" s="1"/>
  <c r="G28" i="550"/>
  <c r="C524" i="550" s="1"/>
  <c r="V27" i="550"/>
  <c r="W27" i="550" s="1"/>
  <c r="N27" i="550"/>
  <c r="K27" i="550" a="1"/>
  <c r="K27" i="550" s="1"/>
  <c r="M27" i="550" s="1"/>
  <c r="J27" i="550" a="1"/>
  <c r="J27" i="550" s="1"/>
  <c r="H27" i="550"/>
  <c r="V26" i="550"/>
  <c r="W26" i="550" s="1"/>
  <c r="N26" i="550"/>
  <c r="K26" i="550" a="1"/>
  <c r="K26" i="550" s="1"/>
  <c r="M26" i="550" s="1"/>
  <c r="J26" i="550" a="1"/>
  <c r="J26" i="550" s="1"/>
  <c r="H26" i="550"/>
  <c r="K25" i="550" a="1"/>
  <c r="K25" i="550" s="1"/>
  <c r="M25" i="550" s="1"/>
  <c r="J25" i="550" a="1"/>
  <c r="J25" i="550" s="1"/>
  <c r="H25" i="550"/>
  <c r="K24" i="550" a="1"/>
  <c r="K24" i="550" s="1"/>
  <c r="M24" i="550" s="1"/>
  <c r="J24" i="550" a="1"/>
  <c r="J24" i="550" s="1"/>
  <c r="H24" i="550"/>
  <c r="K23" i="550" a="1"/>
  <c r="K23" i="550" s="1"/>
  <c r="M23" i="550" s="1"/>
  <c r="J23" i="550" a="1"/>
  <c r="J23" i="550" s="1"/>
  <c r="H23" i="550"/>
  <c r="K22" i="550" a="1"/>
  <c r="K22" i="550" s="1"/>
  <c r="M22" i="550" s="1"/>
  <c r="J22" i="550" a="1"/>
  <c r="J22" i="550" s="1"/>
  <c r="H22" i="550"/>
  <c r="W21" i="550"/>
  <c r="V21" i="550"/>
  <c r="N21" i="550"/>
  <c r="K21" i="550" a="1"/>
  <c r="K21" i="550" s="1"/>
  <c r="M21" i="550" s="1"/>
  <c r="J21" i="550" a="1"/>
  <c r="J21" i="550" s="1"/>
  <c r="H21" i="550"/>
  <c r="V20" i="550"/>
  <c r="W20" i="550" s="1"/>
  <c r="N20" i="550"/>
  <c r="K20" i="550" a="1"/>
  <c r="K20" i="550" s="1"/>
  <c r="M20" i="550" s="1"/>
  <c r="J20" i="550" a="1"/>
  <c r="J20" i="550" s="1"/>
  <c r="H20" i="550"/>
  <c r="V19" i="550"/>
  <c r="W19" i="550" s="1"/>
  <c r="N19" i="550"/>
  <c r="K19" i="550"/>
  <c r="M19" i="550" s="1"/>
  <c r="K19" i="550" a="1"/>
  <c r="J19" i="550"/>
  <c r="J19" i="550" a="1"/>
  <c r="H19" i="550"/>
  <c r="N18" i="550"/>
  <c r="K18" i="550" a="1"/>
  <c r="K18" i="550" s="1"/>
  <c r="M18" i="550" s="1"/>
  <c r="J18" i="550" a="1"/>
  <c r="J18" i="550" s="1"/>
  <c r="H18" i="550"/>
  <c r="N17" i="550"/>
  <c r="K17" i="550"/>
  <c r="M17" i="550" s="1"/>
  <c r="K17" i="550" a="1"/>
  <c r="J17" i="550"/>
  <c r="J17" i="550" a="1"/>
  <c r="H17" i="550"/>
  <c r="V16" i="550"/>
  <c r="W16" i="550" s="1"/>
  <c r="N16" i="550"/>
  <c r="K16" i="550" a="1"/>
  <c r="K16" i="550" s="1"/>
  <c r="M16" i="550" s="1"/>
  <c r="J16" i="550" a="1"/>
  <c r="J16" i="550" s="1"/>
  <c r="H16" i="550"/>
  <c r="V15" i="550"/>
  <c r="W15" i="550" s="1"/>
  <c r="N15" i="550"/>
  <c r="K15" i="550" a="1"/>
  <c r="K15" i="550" s="1"/>
  <c r="M15" i="550" s="1"/>
  <c r="J15" i="550" a="1"/>
  <c r="J15" i="550" s="1"/>
  <c r="H15" i="550"/>
  <c r="N14" i="550"/>
  <c r="K14" i="550" a="1"/>
  <c r="K14" i="550" s="1"/>
  <c r="M14" i="550" s="1"/>
  <c r="H14" i="550"/>
  <c r="N13" i="550"/>
  <c r="K13" i="550" a="1"/>
  <c r="K13" i="550" s="1"/>
  <c r="M13" i="550" s="1"/>
  <c r="H13" i="550"/>
  <c r="V12" i="550"/>
  <c r="W12" i="550" s="1"/>
  <c r="N12" i="550"/>
  <c r="K12" i="550" a="1"/>
  <c r="K12" i="550" s="1"/>
  <c r="M12" i="550" s="1"/>
  <c r="J12" i="550" a="1"/>
  <c r="J12" i="550" s="1"/>
  <c r="H12" i="550"/>
  <c r="V11" i="550"/>
  <c r="W11" i="550" s="1"/>
  <c r="N11" i="550"/>
  <c r="K11" i="550"/>
  <c r="M11" i="550" s="1"/>
  <c r="K11" i="550" a="1"/>
  <c r="J11" i="550"/>
  <c r="J11" i="550" a="1"/>
  <c r="H11" i="550"/>
  <c r="V10" i="550"/>
  <c r="W10" i="550" s="1"/>
  <c r="N10" i="550"/>
  <c r="K10" i="550" a="1"/>
  <c r="K10" i="550" s="1"/>
  <c r="M10" i="550" s="1"/>
  <c r="J10" i="550" a="1"/>
  <c r="J10" i="550" s="1"/>
  <c r="H10" i="550"/>
  <c r="V9" i="550"/>
  <c r="W9" i="550" s="1"/>
  <c r="N9" i="550"/>
  <c r="K9" i="550" a="1"/>
  <c r="K9" i="550" s="1"/>
  <c r="M9" i="550" s="1"/>
  <c r="J9" i="550" a="1"/>
  <c r="J9" i="550" s="1"/>
  <c r="H9" i="550"/>
  <c r="V8" i="550"/>
  <c r="W8" i="550" s="1"/>
  <c r="N8" i="550"/>
  <c r="K8" i="550" a="1"/>
  <c r="K8" i="550" s="1"/>
  <c r="M8" i="550" s="1"/>
  <c r="J8" i="550" a="1"/>
  <c r="J8" i="550" s="1"/>
  <c r="H8" i="550"/>
  <c r="V7" i="550"/>
  <c r="V28" i="550" s="1"/>
  <c r="N7" i="550"/>
  <c r="N28" i="550" s="1"/>
  <c r="K7" i="550"/>
  <c r="M7" i="550" s="1"/>
  <c r="K7" i="550" a="1"/>
  <c r="J7" i="550"/>
  <c r="J7" i="550" a="1"/>
  <c r="H7" i="550"/>
  <c r="H28" i="550" s="1"/>
  <c r="J319" i="550" l="1" a="1"/>
  <c r="J319" i="550" s="1"/>
  <c r="J257" i="550" a="1"/>
  <c r="J257" i="550" s="1"/>
  <c r="J308" i="550" a="1"/>
  <c r="J308" i="550" s="1"/>
  <c r="J292" i="550" a="1"/>
  <c r="J292" i="550" s="1"/>
  <c r="H463" i="550"/>
  <c r="H199" i="550"/>
  <c r="R342" i="550"/>
  <c r="R341" i="550"/>
  <c r="M308" i="550"/>
  <c r="H308" i="550"/>
  <c r="V308" i="550"/>
  <c r="W308" i="550" s="1"/>
  <c r="H292" i="550"/>
  <c r="H335" i="550" s="1"/>
  <c r="E342" i="550" s="1"/>
  <c r="V292" i="550"/>
  <c r="W292" i="550" s="1"/>
  <c r="W319" i="550"/>
  <c r="K506" i="550"/>
  <c r="K479" i="550"/>
  <c r="J479" i="550" a="1"/>
  <c r="J479" i="550" s="1"/>
  <c r="R512" i="550"/>
  <c r="N463" i="550"/>
  <c r="M463" i="550"/>
  <c r="W349" i="550"/>
  <c r="H428" i="550"/>
  <c r="H507" i="550" s="1"/>
  <c r="E514" i="550" s="1"/>
  <c r="V428" i="550"/>
  <c r="W428" i="550" s="1"/>
  <c r="H164" i="550"/>
  <c r="E171" i="550" s="1"/>
  <c r="H163" i="550"/>
  <c r="N121" i="550"/>
  <c r="N164" i="550" s="1"/>
  <c r="B173" i="550" s="1"/>
  <c r="E173" i="550" s="1"/>
  <c r="M28" i="550"/>
  <c r="W7" i="550"/>
  <c r="J163" i="550" a="1"/>
  <c r="J163" i="550" s="1"/>
  <c r="M86" i="550"/>
  <c r="J148" i="550" a="1"/>
  <c r="J148" i="550" s="1"/>
  <c r="J137" i="550" a="1"/>
  <c r="J137" i="550" s="1"/>
  <c r="C520" i="550"/>
  <c r="Q525" i="550"/>
  <c r="K525" i="550"/>
  <c r="K526" i="550"/>
  <c r="K528" i="550"/>
  <c r="K163" i="550"/>
  <c r="M149" i="550"/>
  <c r="M163" i="550" s="1"/>
  <c r="K529" i="550"/>
  <c r="K257" i="550"/>
  <c r="M200" i="550"/>
  <c r="M257" i="550" s="1"/>
  <c r="W28" i="550"/>
  <c r="M87" i="550"/>
  <c r="M121" i="550" s="1"/>
  <c r="K121" i="550"/>
  <c r="M137" i="550"/>
  <c r="K527" i="550"/>
  <c r="K148" i="550"/>
  <c r="M138" i="550"/>
  <c r="M148" i="550" s="1"/>
  <c r="K199" i="550"/>
  <c r="M178" i="550"/>
  <c r="M199" i="550" s="1"/>
  <c r="K292" i="550"/>
  <c r="M258" i="550"/>
  <c r="M292" i="550" s="1"/>
  <c r="J28" i="550" a="1"/>
  <c r="J28" i="550" s="1"/>
  <c r="K28" i="550"/>
  <c r="J86" i="550" a="1"/>
  <c r="J86" i="550" s="1"/>
  <c r="K86" i="550"/>
  <c r="W87" i="550"/>
  <c r="J121" i="550" a="1"/>
  <c r="J121" i="550" s="1"/>
  <c r="K137" i="550"/>
  <c r="V163" i="550"/>
  <c r="W163" i="550" s="1"/>
  <c r="G164" i="550"/>
  <c r="P164" i="550"/>
  <c r="X168" i="550" s="1"/>
  <c r="X173" i="550" s="1"/>
  <c r="K166" i="550"/>
  <c r="R166" i="550"/>
  <c r="J335" i="550" a="1"/>
  <c r="J335" i="550" s="1"/>
  <c r="M342" i="550" s="1"/>
  <c r="B342" i="550"/>
  <c r="O335" i="550"/>
  <c r="R337" i="550"/>
  <c r="K319" i="550"/>
  <c r="M309" i="550"/>
  <c r="M319" i="550" s="1"/>
  <c r="K334" i="550"/>
  <c r="M320" i="550"/>
  <c r="M334" i="550" s="1"/>
  <c r="C530" i="550"/>
  <c r="E524" i="550" s="1"/>
  <c r="W138" i="550"/>
  <c r="W178" i="550"/>
  <c r="W199" i="550" s="1"/>
  <c r="W335" i="550" s="1"/>
  <c r="J199" i="550" a="1"/>
  <c r="J199" i="550" s="1"/>
  <c r="X338" i="550"/>
  <c r="P335" i="550"/>
  <c r="X339" i="550" s="1"/>
  <c r="W200" i="550"/>
  <c r="N292" i="550"/>
  <c r="N335" i="550" s="1"/>
  <c r="B344" i="550" s="1"/>
  <c r="W258" i="550"/>
  <c r="K308" i="550"/>
  <c r="V334" i="550"/>
  <c r="V335" i="550" s="1"/>
  <c r="I344" i="550" s="1"/>
  <c r="M344" i="550" s="1" a="1"/>
  <c r="M344" i="550" s="1"/>
  <c r="K337" i="550"/>
  <c r="K370" i="550"/>
  <c r="W370" i="550"/>
  <c r="W309" i="550"/>
  <c r="M349" i="550"/>
  <c r="M370" i="550" s="1"/>
  <c r="K428" i="550"/>
  <c r="M371" i="550"/>
  <c r="M428" i="550" s="1"/>
  <c r="J370" i="550" a="1"/>
  <c r="J370" i="550" s="1"/>
  <c r="W371" i="550"/>
  <c r="R510" i="550"/>
  <c r="V463" i="550"/>
  <c r="W463" i="550" s="1"/>
  <c r="J463" i="550" a="1"/>
  <c r="J463" i="550" s="1"/>
  <c r="N479" i="550"/>
  <c r="N507" i="550" s="1"/>
  <c r="B516" i="550" s="1"/>
  <c r="E516" i="550" s="1"/>
  <c r="B514" i="550"/>
  <c r="J507" i="550" a="1"/>
  <c r="J507" i="550" s="1"/>
  <c r="M514" i="550" s="1"/>
  <c r="R509" i="550"/>
  <c r="X509" i="550"/>
  <c r="O507" i="550"/>
  <c r="X510" i="550" s="1"/>
  <c r="K463" i="550"/>
  <c r="M479" i="550"/>
  <c r="W464" i="550"/>
  <c r="V479" i="550"/>
  <c r="W479" i="550" s="1"/>
  <c r="V490" i="550"/>
  <c r="W490" i="550" s="1"/>
  <c r="W506" i="550"/>
  <c r="V506" i="550"/>
  <c r="R534" i="550"/>
  <c r="S534" i="550" a="1"/>
  <c r="S534" i="550" s="1"/>
  <c r="M480" i="550"/>
  <c r="M490" i="550" s="1"/>
  <c r="M491" i="550"/>
  <c r="M506" i="550" s="1"/>
  <c r="R514" i="550"/>
  <c r="K513" i="550"/>
  <c r="M509" i="550"/>
  <c r="J536" i="550"/>
  <c r="Q533" i="550"/>
  <c r="R535" i="550"/>
  <c r="S535" i="550" a="1"/>
  <c r="S535" i="550" s="1"/>
  <c r="E513" i="550"/>
  <c r="T533" i="550" a="1"/>
  <c r="T533" i="550" s="1"/>
  <c r="T534" i="550" a="1"/>
  <c r="T534" i="550" s="1"/>
  <c r="T535" i="550" a="1"/>
  <c r="T535" i="550" s="1"/>
  <c r="C536" i="550"/>
  <c r="T536" i="550" s="1" a="1"/>
  <c r="T536" i="550" s="1"/>
  <c r="G201" i="544"/>
  <c r="E539" i="544"/>
  <c r="G164" i="544"/>
  <c r="X344" i="550" l="1"/>
  <c r="G519" i="550"/>
  <c r="Z170" i="550"/>
  <c r="Z169" i="550"/>
  <c r="Z171" i="550"/>
  <c r="E529" i="550"/>
  <c r="E526" i="550"/>
  <c r="E528" i="550"/>
  <c r="E527" i="550"/>
  <c r="E525" i="550"/>
  <c r="M164" i="550"/>
  <c r="E344" i="550"/>
  <c r="C521" i="550"/>
  <c r="G521" i="550" s="1"/>
  <c r="R533" i="550"/>
  <c r="R536" i="550" s="1"/>
  <c r="Q536" i="550"/>
  <c r="S536" i="550" s="1" a="1"/>
  <c r="S536" i="550" s="1"/>
  <c r="S533" i="550" a="1"/>
  <c r="S533" i="550" s="1"/>
  <c r="R516" i="550"/>
  <c r="T510" i="550" s="1"/>
  <c r="V507" i="550"/>
  <c r="M337" i="550"/>
  <c r="K341" i="550"/>
  <c r="M341" i="550" s="1"/>
  <c r="Z343" i="550"/>
  <c r="Z337" i="550" a="1"/>
  <c r="Z337" i="550" s="1"/>
  <c r="Z338" i="550"/>
  <c r="Z342" i="550"/>
  <c r="R344" i="550"/>
  <c r="T337" i="550" s="1" a="1"/>
  <c r="T337" i="550" s="1"/>
  <c r="Z172" i="550"/>
  <c r="Z166" i="550" a="1"/>
  <c r="Z166" i="550" s="1"/>
  <c r="K524" i="550"/>
  <c r="R173" i="550"/>
  <c r="T166" i="550" s="1" a="1"/>
  <c r="T166" i="550" s="1"/>
  <c r="Q526" i="550"/>
  <c r="Z168" i="550"/>
  <c r="K164" i="550"/>
  <c r="E172" i="550" s="1"/>
  <c r="K335" i="550"/>
  <c r="V164" i="550"/>
  <c r="I173" i="550" s="1"/>
  <c r="M513" i="550"/>
  <c r="X516" i="550"/>
  <c r="Z509" i="550" s="1" a="1"/>
  <c r="Z509" i="550" s="1"/>
  <c r="M507" i="550"/>
  <c r="K507" i="550"/>
  <c r="Z341" i="550"/>
  <c r="Z339" i="550"/>
  <c r="Z340" i="550"/>
  <c r="M166" i="550"/>
  <c r="K170" i="550"/>
  <c r="M170" i="550" s="1"/>
  <c r="J164" i="550" a="1"/>
  <c r="J164" i="550" s="1"/>
  <c r="M171" i="550" s="1"/>
  <c r="B171" i="550"/>
  <c r="C519" i="550" s="1"/>
  <c r="L164" i="550"/>
  <c r="I171" i="550" s="1"/>
  <c r="M335" i="550"/>
  <c r="W164" i="550"/>
  <c r="Z167" i="550"/>
  <c r="G456" i="547"/>
  <c r="E530" i="550" l="1"/>
  <c r="E515" i="550"/>
  <c r="I515" i="550" s="1"/>
  <c r="M515" i="550" s="1"/>
  <c r="L507" i="550"/>
  <c r="I514" i="550" s="1"/>
  <c r="M173" i="550" a="1"/>
  <c r="M173" i="550" s="1"/>
  <c r="E343" i="550"/>
  <c r="I343" i="550" s="1"/>
  <c r="M343" i="550" s="1"/>
  <c r="L335" i="550"/>
  <c r="I342" i="550" s="1"/>
  <c r="I516" i="550"/>
  <c r="M516" i="550" s="1" a="1"/>
  <c r="M516" i="550" s="1"/>
  <c r="W507" i="550"/>
  <c r="T515" i="550"/>
  <c r="T512" i="550"/>
  <c r="T511" i="550"/>
  <c r="T513" i="550"/>
  <c r="T514" i="550"/>
  <c r="O519" i="550" a="1"/>
  <c r="O519" i="550" s="1"/>
  <c r="Z515" i="550"/>
  <c r="Z514" i="550"/>
  <c r="Z511" i="550"/>
  <c r="Z512" i="550"/>
  <c r="Z513" i="550"/>
  <c r="G520" i="550"/>
  <c r="K520" i="550" s="1"/>
  <c r="O520" i="550" s="1"/>
  <c r="I172" i="550"/>
  <c r="M172" i="550" s="1"/>
  <c r="S526" i="550"/>
  <c r="Q530" i="550"/>
  <c r="K530" i="550"/>
  <c r="T172" i="550"/>
  <c r="T167" i="550"/>
  <c r="T168" i="550"/>
  <c r="T170" i="550"/>
  <c r="T171" i="550"/>
  <c r="T169" i="550"/>
  <c r="T343" i="550"/>
  <c r="T338" i="550"/>
  <c r="T341" i="550"/>
  <c r="T339" i="550"/>
  <c r="T340" i="550"/>
  <c r="T342" i="550"/>
  <c r="T509" i="550" a="1"/>
  <c r="T509" i="550" s="1"/>
  <c r="Z510" i="550"/>
  <c r="G150" i="549"/>
  <c r="M527" i="550" l="1"/>
  <c r="M529" i="550"/>
  <c r="M526" i="550"/>
  <c r="M528" i="550"/>
  <c r="M525" i="550"/>
  <c r="S527" i="550"/>
  <c r="S529" i="550"/>
  <c r="S524" i="550" a="1"/>
  <c r="S524" i="550" s="1"/>
  <c r="S528" i="550"/>
  <c r="S525" i="550"/>
  <c r="K519" i="550"/>
  <c r="M524" i="550" a="1"/>
  <c r="M524" i="550" s="1"/>
  <c r="K521" i="550"/>
  <c r="O521" i="550" s="1" a="1"/>
  <c r="O521" i="550" s="1"/>
  <c r="J283" i="549" a="1"/>
  <c r="J283" i="549" s="1"/>
  <c r="M316" i="549"/>
  <c r="M315" i="549"/>
  <c r="M314" i="549"/>
  <c r="J316" i="549" a="1"/>
  <c r="J316" i="549" s="1"/>
  <c r="J315" i="549" a="1"/>
  <c r="J315" i="549" s="1"/>
  <c r="J314" i="549" a="1"/>
  <c r="J314" i="549" s="1"/>
  <c r="K316" i="549" a="1"/>
  <c r="K316" i="549" s="1"/>
  <c r="K315" i="549" a="1"/>
  <c r="K315" i="549" s="1"/>
  <c r="K314" i="549" a="1"/>
  <c r="K314" i="549" s="1"/>
  <c r="I316" i="549"/>
  <c r="I181" i="549"/>
  <c r="I240" i="549"/>
  <c r="I284" i="549"/>
  <c r="I213" i="549"/>
  <c r="I215" i="549"/>
  <c r="I204" i="549"/>
  <c r="I202" i="549"/>
  <c r="I289" i="549"/>
  <c r="I293" i="549"/>
  <c r="I183" i="549"/>
  <c r="I295" i="549"/>
  <c r="S530" i="550" l="1"/>
  <c r="G122" i="549"/>
  <c r="G18" i="549"/>
  <c r="G293" i="549" l="1"/>
  <c r="G44" i="549"/>
  <c r="G316" i="549"/>
  <c r="G202" i="549"/>
  <c r="G31" i="549"/>
  <c r="G284" i="549"/>
  <c r="G118" i="549"/>
  <c r="G204" i="549"/>
  <c r="G136" i="548"/>
  <c r="G15" i="549" l="1"/>
  <c r="G314" i="549"/>
  <c r="G322" i="549"/>
  <c r="G289" i="549"/>
  <c r="G295" i="549"/>
  <c r="G240" i="549"/>
  <c r="G215" i="549"/>
  <c r="G213" i="549"/>
  <c r="G181" i="549"/>
  <c r="I44" i="549" l="1"/>
  <c r="I118" i="549"/>
  <c r="I18" i="549"/>
  <c r="I15" i="549"/>
  <c r="I19" i="549"/>
  <c r="I69" i="549"/>
  <c r="I145" i="549"/>
  <c r="I31" i="549"/>
  <c r="I122" i="549"/>
  <c r="I12" i="549"/>
  <c r="I431" i="549" l="1"/>
  <c r="I430" i="549"/>
  <c r="D534" i="548"/>
  <c r="D535" i="548"/>
  <c r="D533" i="548"/>
  <c r="G431" i="549"/>
  <c r="G430" i="549"/>
  <c r="G145" i="549"/>
  <c r="G69" i="549"/>
  <c r="G19" i="549"/>
  <c r="G12" i="549"/>
  <c r="P536" i="549"/>
  <c r="O536" i="549"/>
  <c r="N536" i="549"/>
  <c r="M536" i="549"/>
  <c r="L536" i="549"/>
  <c r="K536" i="549"/>
  <c r="I536" i="549"/>
  <c r="H536" i="549"/>
  <c r="G536" i="549"/>
  <c r="F536" i="549"/>
  <c r="E536" i="549"/>
  <c r="G517" i="549"/>
  <c r="N517" i="549" s="1"/>
  <c r="X515" i="549"/>
  <c r="X514" i="549"/>
  <c r="X513" i="549"/>
  <c r="G513" i="549"/>
  <c r="C513" i="549"/>
  <c r="X512" i="549"/>
  <c r="I512" i="549"/>
  <c r="E512" i="549"/>
  <c r="K512" i="549" s="1"/>
  <c r="M512" i="549" s="1"/>
  <c r="X511" i="549"/>
  <c r="I511" i="549"/>
  <c r="E511" i="549"/>
  <c r="K511" i="549" s="1"/>
  <c r="M511" i="549" s="1"/>
  <c r="I510" i="549"/>
  <c r="E510" i="549"/>
  <c r="K510" i="549" s="1"/>
  <c r="M510" i="549" s="1"/>
  <c r="I509" i="549"/>
  <c r="I513" i="549" s="1"/>
  <c r="E509" i="549"/>
  <c r="E513" i="549" s="1"/>
  <c r="AA506" i="549"/>
  <c r="Z506" i="549"/>
  <c r="Y506" i="549"/>
  <c r="X506" i="549"/>
  <c r="U506" i="549"/>
  <c r="T506" i="549"/>
  <c r="S506" i="549"/>
  <c r="R506" i="549"/>
  <c r="Q506" i="549"/>
  <c r="P506" i="549"/>
  <c r="O506" i="549"/>
  <c r="I506" i="549"/>
  <c r="G506" i="549"/>
  <c r="J506" i="549" s="1" a="1"/>
  <c r="J506" i="549" s="1"/>
  <c r="H505" i="549"/>
  <c r="H504" i="549"/>
  <c r="H503" i="549"/>
  <c r="D502" i="549"/>
  <c r="H502" i="549" s="1"/>
  <c r="V501" i="549"/>
  <c r="W501" i="549" s="1"/>
  <c r="N501" i="549"/>
  <c r="K501" i="549" a="1"/>
  <c r="K501" i="549" s="1"/>
  <c r="M501" i="549" s="1"/>
  <c r="J501" i="549" a="1"/>
  <c r="J501" i="549" s="1"/>
  <c r="H501" i="549"/>
  <c r="H500" i="549"/>
  <c r="H499" i="549"/>
  <c r="V498" i="549"/>
  <c r="W498" i="549" s="1"/>
  <c r="N498" i="549"/>
  <c r="K498" i="549" a="1"/>
  <c r="K498" i="549" s="1"/>
  <c r="M498" i="549" s="1"/>
  <c r="J498" i="549" a="1"/>
  <c r="J498" i="549" s="1"/>
  <c r="H498" i="549"/>
  <c r="V497" i="549"/>
  <c r="W497" i="549" s="1"/>
  <c r="N497" i="549"/>
  <c r="K497" i="549"/>
  <c r="M497" i="549" s="1"/>
  <c r="K497" i="549" a="1"/>
  <c r="J497" i="549"/>
  <c r="J497" i="549" a="1"/>
  <c r="H497" i="549"/>
  <c r="H496" i="549"/>
  <c r="H495" i="549"/>
  <c r="V494" i="549"/>
  <c r="W494" i="549" s="1"/>
  <c r="N494" i="549"/>
  <c r="K494" i="549" a="1"/>
  <c r="K494" i="549" s="1"/>
  <c r="M494" i="549" s="1"/>
  <c r="J494" i="549" a="1"/>
  <c r="J494" i="549" s="1"/>
  <c r="H494" i="549"/>
  <c r="W493" i="549"/>
  <c r="V493" i="549"/>
  <c r="N493" i="549"/>
  <c r="K493" i="549" a="1"/>
  <c r="K493" i="549" s="1"/>
  <c r="M493" i="549" s="1"/>
  <c r="J493" i="549" a="1"/>
  <c r="J493" i="549" s="1"/>
  <c r="H493" i="549"/>
  <c r="V492" i="549"/>
  <c r="W492" i="549" s="1"/>
  <c r="N492" i="549"/>
  <c r="K492" i="549" a="1"/>
  <c r="K492" i="549" s="1"/>
  <c r="M492" i="549" s="1"/>
  <c r="J492" i="549" a="1"/>
  <c r="J492" i="549" s="1"/>
  <c r="H492" i="549"/>
  <c r="V491" i="549"/>
  <c r="W491" i="549" s="1"/>
  <c r="N491" i="549"/>
  <c r="N506" i="549" s="1"/>
  <c r="K491" i="549"/>
  <c r="K491" i="549" a="1"/>
  <c r="J491" i="549"/>
  <c r="J491" i="549" a="1"/>
  <c r="H491" i="549"/>
  <c r="H506" i="549" s="1"/>
  <c r="AA490" i="549"/>
  <c r="Z490" i="549"/>
  <c r="Y490" i="549"/>
  <c r="X490" i="549"/>
  <c r="U490" i="549"/>
  <c r="T490" i="549"/>
  <c r="S490" i="549"/>
  <c r="Q490" i="549"/>
  <c r="P490" i="549"/>
  <c r="O490" i="549"/>
  <c r="R513" i="549" s="1"/>
  <c r="I490" i="549"/>
  <c r="G490" i="549"/>
  <c r="J490" i="549" s="1" a="1"/>
  <c r="J490" i="549" s="1"/>
  <c r="V489" i="549"/>
  <c r="W489" i="549" s="1"/>
  <c r="N489" i="549"/>
  <c r="K489" i="549" a="1"/>
  <c r="K489" i="549" s="1"/>
  <c r="M489" i="549" s="1"/>
  <c r="J489" i="549" a="1"/>
  <c r="J489" i="549" s="1"/>
  <c r="H489" i="549"/>
  <c r="H488" i="549"/>
  <c r="H487" i="549"/>
  <c r="H486" i="549"/>
  <c r="H485" i="549"/>
  <c r="W484" i="549"/>
  <c r="V484" i="549"/>
  <c r="N484" i="549"/>
  <c r="K484" i="549" a="1"/>
  <c r="K484" i="549" s="1"/>
  <c r="M484" i="549" s="1"/>
  <c r="J484" i="549" a="1"/>
  <c r="J484" i="549" s="1"/>
  <c r="H484" i="549"/>
  <c r="V483" i="549"/>
  <c r="W483" i="549" s="1"/>
  <c r="N483" i="549"/>
  <c r="K483" i="549" a="1"/>
  <c r="K483" i="549" s="1"/>
  <c r="M483" i="549" s="1"/>
  <c r="J483" i="549" a="1"/>
  <c r="J483" i="549" s="1"/>
  <c r="H483" i="549"/>
  <c r="V482" i="549"/>
  <c r="W482" i="549" s="1"/>
  <c r="N482" i="549"/>
  <c r="K482" i="549"/>
  <c r="M482" i="549" s="1"/>
  <c r="K482" i="549" a="1"/>
  <c r="J482" i="549"/>
  <c r="J482" i="549" a="1"/>
  <c r="H482" i="549"/>
  <c r="V481" i="549"/>
  <c r="W481" i="549" s="1"/>
  <c r="N481" i="549"/>
  <c r="K481" i="549" a="1"/>
  <c r="K481" i="549" s="1"/>
  <c r="M481" i="549" s="1"/>
  <c r="J481" i="549" a="1"/>
  <c r="J481" i="549" s="1"/>
  <c r="H481" i="549"/>
  <c r="W480" i="549"/>
  <c r="V480" i="549"/>
  <c r="N480" i="549"/>
  <c r="N490" i="549" s="1"/>
  <c r="K480" i="549" a="1"/>
  <c r="K480" i="549" s="1"/>
  <c r="K490" i="549" s="1"/>
  <c r="J480" i="549" a="1"/>
  <c r="J480" i="549" s="1"/>
  <c r="H480" i="549"/>
  <c r="H490" i="549" s="1"/>
  <c r="AA479" i="549"/>
  <c r="Z479" i="549"/>
  <c r="Y479" i="549"/>
  <c r="X479" i="549"/>
  <c r="U479" i="549"/>
  <c r="T479" i="549"/>
  <c r="S479" i="549"/>
  <c r="Q479" i="549"/>
  <c r="P479" i="549"/>
  <c r="O479" i="549"/>
  <c r="I479" i="549"/>
  <c r="G479" i="549"/>
  <c r="V478" i="549"/>
  <c r="W478" i="549" s="1"/>
  <c r="N478" i="549"/>
  <c r="K478" i="549" a="1"/>
  <c r="K478" i="549" s="1"/>
  <c r="M478" i="549" s="1"/>
  <c r="J478" i="549" a="1"/>
  <c r="J478" i="549" s="1"/>
  <c r="H478" i="549"/>
  <c r="V477" i="549"/>
  <c r="W477" i="549" s="1"/>
  <c r="N477" i="549"/>
  <c r="K477" i="549" a="1"/>
  <c r="K477" i="549" s="1"/>
  <c r="M477" i="549" s="1"/>
  <c r="J477" i="549" a="1"/>
  <c r="J477" i="549" s="1"/>
  <c r="H477" i="549"/>
  <c r="V476" i="549"/>
  <c r="W476" i="549" s="1"/>
  <c r="N476" i="549"/>
  <c r="M476" i="549"/>
  <c r="K476" i="549" a="1"/>
  <c r="K476" i="549" s="1"/>
  <c r="J476" i="549" a="1"/>
  <c r="J476" i="549" s="1"/>
  <c r="H476" i="549"/>
  <c r="W475" i="549"/>
  <c r="V475" i="549"/>
  <c r="N475" i="549"/>
  <c r="K475" i="549" a="1"/>
  <c r="K475" i="549" s="1"/>
  <c r="M475" i="549" s="1"/>
  <c r="J475" i="549" a="1"/>
  <c r="J475" i="549" s="1"/>
  <c r="H475" i="549"/>
  <c r="V474" i="549"/>
  <c r="W474" i="549" s="1"/>
  <c r="N474" i="549"/>
  <c r="M474" i="549"/>
  <c r="K474" i="549" a="1"/>
  <c r="K474" i="549" s="1"/>
  <c r="J474" i="549" a="1"/>
  <c r="J474" i="549" s="1"/>
  <c r="H474" i="549"/>
  <c r="W473" i="549"/>
  <c r="V473" i="549"/>
  <c r="N473" i="549"/>
  <c r="K473" i="549" a="1"/>
  <c r="K473" i="549" s="1"/>
  <c r="M473" i="549" s="1"/>
  <c r="J473" i="549" a="1"/>
  <c r="J473" i="549" s="1"/>
  <c r="H473" i="549"/>
  <c r="V472" i="549"/>
  <c r="W472" i="549" s="1"/>
  <c r="N472" i="549"/>
  <c r="M472" i="549"/>
  <c r="K472" i="549" a="1"/>
  <c r="K472" i="549" s="1"/>
  <c r="J472" i="549" a="1"/>
  <c r="J472" i="549" s="1"/>
  <c r="H472" i="549"/>
  <c r="W471" i="549"/>
  <c r="V471" i="549"/>
  <c r="N471" i="549"/>
  <c r="K471" i="549" a="1"/>
  <c r="K471" i="549" s="1"/>
  <c r="M471" i="549" s="1"/>
  <c r="J471" i="549" a="1"/>
  <c r="J471" i="549" s="1"/>
  <c r="H471" i="549"/>
  <c r="V470" i="549"/>
  <c r="W470" i="549" s="1"/>
  <c r="N470" i="549"/>
  <c r="M470" i="549"/>
  <c r="K470" i="549" a="1"/>
  <c r="K470" i="549" s="1"/>
  <c r="J470" i="549" a="1"/>
  <c r="J470" i="549" s="1"/>
  <c r="H470" i="549"/>
  <c r="W469" i="549"/>
  <c r="V469" i="549"/>
  <c r="N469" i="549"/>
  <c r="K469" i="549" a="1"/>
  <c r="K469" i="549" s="1"/>
  <c r="M469" i="549" s="1"/>
  <c r="J469" i="549" a="1"/>
  <c r="J469" i="549" s="1"/>
  <c r="H469" i="549"/>
  <c r="V468" i="549"/>
  <c r="W468" i="549" s="1"/>
  <c r="N468" i="549"/>
  <c r="M468" i="549"/>
  <c r="K468" i="549" a="1"/>
  <c r="K468" i="549" s="1"/>
  <c r="J468" i="549" a="1"/>
  <c r="J468" i="549" s="1"/>
  <c r="H468" i="549"/>
  <c r="W467" i="549"/>
  <c r="V467" i="549"/>
  <c r="N467" i="549"/>
  <c r="K467" i="549" a="1"/>
  <c r="K467" i="549" s="1"/>
  <c r="M467" i="549" s="1"/>
  <c r="J467" i="549" a="1"/>
  <c r="J467" i="549" s="1"/>
  <c r="H467" i="549"/>
  <c r="V466" i="549"/>
  <c r="W466" i="549" s="1"/>
  <c r="N466" i="549"/>
  <c r="M466" i="549"/>
  <c r="K466" i="549" a="1"/>
  <c r="K466" i="549" s="1"/>
  <c r="J466" i="549" a="1"/>
  <c r="J466" i="549" s="1"/>
  <c r="H466" i="549"/>
  <c r="W465" i="549"/>
  <c r="V465" i="549"/>
  <c r="N465" i="549"/>
  <c r="K465" i="549" a="1"/>
  <c r="K465" i="549" s="1"/>
  <c r="M465" i="549" s="1"/>
  <c r="J465" i="549" a="1"/>
  <c r="J465" i="549" s="1"/>
  <c r="H465" i="549"/>
  <c r="V464" i="549"/>
  <c r="N464" i="549"/>
  <c r="M464" i="549"/>
  <c r="K464" i="549" a="1"/>
  <c r="K464" i="549" s="1"/>
  <c r="J464" i="549" a="1"/>
  <c r="J464" i="549" s="1"/>
  <c r="H464" i="549"/>
  <c r="H479" i="549" s="1"/>
  <c r="AA463" i="549"/>
  <c r="Z463" i="549"/>
  <c r="Y463" i="549"/>
  <c r="X463" i="549"/>
  <c r="U463" i="549"/>
  <c r="T463" i="549"/>
  <c r="S463" i="549"/>
  <c r="R463" i="549"/>
  <c r="Q463" i="549"/>
  <c r="P463" i="549"/>
  <c r="O463" i="549"/>
  <c r="R511" i="549" s="1"/>
  <c r="I463" i="549"/>
  <c r="G463" i="549"/>
  <c r="V462" i="549"/>
  <c r="W462" i="549" s="1"/>
  <c r="N462" i="549"/>
  <c r="K462" i="549" a="1"/>
  <c r="K462" i="549" s="1"/>
  <c r="M462" i="549" s="1"/>
  <c r="J462" i="549" a="1"/>
  <c r="J462" i="549" s="1"/>
  <c r="H462" i="549"/>
  <c r="V461" i="549"/>
  <c r="W461" i="549" s="1"/>
  <c r="N461" i="549"/>
  <c r="K461" i="549" a="1"/>
  <c r="K461" i="549" s="1"/>
  <c r="M461" i="549" s="1"/>
  <c r="J461" i="549" a="1"/>
  <c r="J461" i="549" s="1"/>
  <c r="H461" i="549"/>
  <c r="V460" i="549"/>
  <c r="W460" i="549" s="1"/>
  <c r="N460" i="549"/>
  <c r="K460" i="549" a="1"/>
  <c r="K460" i="549" s="1"/>
  <c r="M460" i="549" s="1"/>
  <c r="J460" i="549" a="1"/>
  <c r="J460" i="549" s="1"/>
  <c r="H460" i="549"/>
  <c r="K459" i="549" a="1"/>
  <c r="K459" i="549" s="1"/>
  <c r="M459" i="549" s="1"/>
  <c r="H459" i="549"/>
  <c r="K458" i="549" a="1"/>
  <c r="K458" i="549" s="1"/>
  <c r="M458" i="549" s="1"/>
  <c r="H458" i="549"/>
  <c r="K457" i="549" a="1"/>
  <c r="K457" i="549" s="1"/>
  <c r="M457" i="549" s="1"/>
  <c r="H457" i="549"/>
  <c r="W456" i="549"/>
  <c r="V456" i="549"/>
  <c r="N456" i="549"/>
  <c r="K456" i="549" a="1"/>
  <c r="K456" i="549" s="1"/>
  <c r="M456" i="549" s="1"/>
  <c r="J456" i="549" a="1"/>
  <c r="J456" i="549" s="1"/>
  <c r="H456" i="549"/>
  <c r="V455" i="549"/>
  <c r="W455" i="549" s="1"/>
  <c r="N455" i="549"/>
  <c r="K455" i="549" a="1"/>
  <c r="K455" i="549" s="1"/>
  <c r="M455" i="549" s="1"/>
  <c r="J455" i="549" a="1"/>
  <c r="J455" i="549" s="1"/>
  <c r="H455" i="549"/>
  <c r="N454" i="549"/>
  <c r="K454" i="549"/>
  <c r="M454" i="549" s="1"/>
  <c r="K454" i="549" a="1"/>
  <c r="H454" i="549"/>
  <c r="N453" i="549"/>
  <c r="K453" i="549" a="1"/>
  <c r="K453" i="549" s="1"/>
  <c r="M453" i="549" s="1"/>
  <c r="H453" i="549"/>
  <c r="N452" i="549"/>
  <c r="K452" i="549" a="1"/>
  <c r="K452" i="549" s="1"/>
  <c r="M452" i="549" s="1"/>
  <c r="H452" i="549"/>
  <c r="N451" i="549"/>
  <c r="K451" i="549" a="1"/>
  <c r="K451" i="549" s="1"/>
  <c r="M451" i="549" s="1"/>
  <c r="H451" i="549"/>
  <c r="N450" i="549"/>
  <c r="K450" i="549" a="1"/>
  <c r="K450" i="549" s="1"/>
  <c r="M450" i="549" s="1"/>
  <c r="H450" i="549"/>
  <c r="N449" i="549"/>
  <c r="K449" i="549" a="1"/>
  <c r="K449" i="549" s="1"/>
  <c r="M449" i="549" s="1"/>
  <c r="H449" i="549"/>
  <c r="V448" i="549"/>
  <c r="W448" i="549" s="1"/>
  <c r="N448" i="549"/>
  <c r="K448" i="549" a="1"/>
  <c r="K448" i="549" s="1"/>
  <c r="M448" i="549" s="1"/>
  <c r="J448" i="549" a="1"/>
  <c r="J448" i="549" s="1"/>
  <c r="H448" i="549"/>
  <c r="V447" i="549"/>
  <c r="W447" i="549" s="1"/>
  <c r="N447" i="549"/>
  <c r="K447" i="549" a="1"/>
  <c r="K447" i="549" s="1"/>
  <c r="M447" i="549" s="1"/>
  <c r="J447" i="549" a="1"/>
  <c r="J447" i="549" s="1"/>
  <c r="H447" i="549"/>
  <c r="V446" i="549"/>
  <c r="W446" i="549" s="1"/>
  <c r="N446" i="549"/>
  <c r="K446" i="549" a="1"/>
  <c r="K446" i="549" s="1"/>
  <c r="M446" i="549" s="1"/>
  <c r="J446" i="549" a="1"/>
  <c r="J446" i="549" s="1"/>
  <c r="H446" i="549"/>
  <c r="V445" i="549"/>
  <c r="W445" i="549" s="1"/>
  <c r="N445" i="549"/>
  <c r="K445" i="549" a="1"/>
  <c r="K445" i="549" s="1"/>
  <c r="M445" i="549" s="1"/>
  <c r="J445" i="549" a="1"/>
  <c r="J445" i="549" s="1"/>
  <c r="H445" i="549"/>
  <c r="V444" i="549"/>
  <c r="W444" i="549" s="1"/>
  <c r="N444" i="549"/>
  <c r="K444" i="549" a="1"/>
  <c r="K444" i="549" s="1"/>
  <c r="M444" i="549" s="1"/>
  <c r="J444" i="549" a="1"/>
  <c r="J444" i="549" s="1"/>
  <c r="H444" i="549"/>
  <c r="V443" i="549"/>
  <c r="W443" i="549" s="1"/>
  <c r="N443" i="549"/>
  <c r="K443" i="549" a="1"/>
  <c r="K443" i="549" s="1"/>
  <c r="M443" i="549" s="1"/>
  <c r="J443" i="549" a="1"/>
  <c r="J443" i="549" s="1"/>
  <c r="H443" i="549"/>
  <c r="V442" i="549"/>
  <c r="W442" i="549" s="1"/>
  <c r="N442" i="549"/>
  <c r="K442" i="549"/>
  <c r="M442" i="549" s="1"/>
  <c r="K442" i="549" a="1"/>
  <c r="J442" i="549"/>
  <c r="J442" i="549" a="1"/>
  <c r="H442" i="549"/>
  <c r="V441" i="549"/>
  <c r="W441" i="549" s="1"/>
  <c r="N441" i="549"/>
  <c r="K441" i="549" a="1"/>
  <c r="K441" i="549" s="1"/>
  <c r="M441" i="549" s="1"/>
  <c r="J441" i="549" a="1"/>
  <c r="J441" i="549" s="1"/>
  <c r="H441" i="549"/>
  <c r="W440" i="549"/>
  <c r="V440" i="549"/>
  <c r="N440" i="549"/>
  <c r="K440" i="549" a="1"/>
  <c r="K440" i="549" s="1"/>
  <c r="M440" i="549" s="1"/>
  <c r="J440" i="549" a="1"/>
  <c r="J440" i="549" s="1"/>
  <c r="H440" i="549"/>
  <c r="V439" i="549"/>
  <c r="W439" i="549" s="1"/>
  <c r="N439" i="549"/>
  <c r="K439" i="549" a="1"/>
  <c r="K439" i="549" s="1"/>
  <c r="M439" i="549" s="1"/>
  <c r="J439" i="549" a="1"/>
  <c r="J439" i="549" s="1"/>
  <c r="H439" i="549"/>
  <c r="V438" i="549"/>
  <c r="W438" i="549" s="1"/>
  <c r="N438" i="549"/>
  <c r="K438" i="549" a="1"/>
  <c r="K438" i="549" s="1"/>
  <c r="M438" i="549" s="1"/>
  <c r="J438" i="549" a="1"/>
  <c r="J438" i="549" s="1"/>
  <c r="H438" i="549"/>
  <c r="V437" i="549"/>
  <c r="W437" i="549" s="1"/>
  <c r="N437" i="549"/>
  <c r="K437" i="549" a="1"/>
  <c r="K437" i="549" s="1"/>
  <c r="M437" i="549" s="1"/>
  <c r="J437" i="549" a="1"/>
  <c r="J437" i="549" s="1"/>
  <c r="H437" i="549"/>
  <c r="N436" i="549"/>
  <c r="K436" i="549" a="1"/>
  <c r="K436" i="549" s="1"/>
  <c r="M436" i="549" s="1"/>
  <c r="H436" i="549"/>
  <c r="V435" i="549"/>
  <c r="W435" i="549" s="1"/>
  <c r="N435" i="549"/>
  <c r="K435" i="549" a="1"/>
  <c r="K435" i="549" s="1"/>
  <c r="M435" i="549" s="1"/>
  <c r="J435" i="549" a="1"/>
  <c r="J435" i="549" s="1"/>
  <c r="H435" i="549"/>
  <c r="V434" i="549"/>
  <c r="W434" i="549" s="1"/>
  <c r="N434" i="549"/>
  <c r="K434" i="549" a="1"/>
  <c r="K434" i="549" s="1"/>
  <c r="M434" i="549" s="1"/>
  <c r="J434" i="549" a="1"/>
  <c r="J434" i="549" s="1"/>
  <c r="H434" i="549"/>
  <c r="V433" i="549"/>
  <c r="W433" i="549" s="1"/>
  <c r="N433" i="549"/>
  <c r="K433" i="549" a="1"/>
  <c r="K433" i="549" s="1"/>
  <c r="M433" i="549" s="1"/>
  <c r="J433" i="549" a="1"/>
  <c r="J433" i="549" s="1"/>
  <c r="H433" i="549"/>
  <c r="V432" i="549"/>
  <c r="W432" i="549" s="1"/>
  <c r="N432" i="549"/>
  <c r="K432" i="549" a="1"/>
  <c r="K432" i="549" s="1"/>
  <c r="M432" i="549" s="1"/>
  <c r="J432" i="549" a="1"/>
  <c r="J432" i="549" s="1"/>
  <c r="H432" i="549"/>
  <c r="V431" i="549"/>
  <c r="W431" i="549" s="1"/>
  <c r="N431" i="549"/>
  <c r="K431" i="549" a="1"/>
  <c r="K431" i="549" s="1"/>
  <c r="M431" i="549" s="1"/>
  <c r="J431" i="549" a="1"/>
  <c r="J431" i="549" s="1"/>
  <c r="H431" i="549"/>
  <c r="W430" i="549"/>
  <c r="V430" i="549"/>
  <c r="N430" i="549"/>
  <c r="K430" i="549" a="1"/>
  <c r="K430" i="549" s="1"/>
  <c r="M430" i="549" s="1"/>
  <c r="J430" i="549" a="1"/>
  <c r="J430" i="549" s="1"/>
  <c r="H430" i="549"/>
  <c r="V429" i="549"/>
  <c r="N429" i="549"/>
  <c r="K429" i="549" a="1"/>
  <c r="K429" i="549" s="1"/>
  <c r="J429" i="549" a="1"/>
  <c r="J429" i="549" s="1"/>
  <c r="H429" i="549"/>
  <c r="AA428" i="549"/>
  <c r="Z428" i="549"/>
  <c r="Y428" i="549"/>
  <c r="X428" i="549"/>
  <c r="U428" i="549"/>
  <c r="T428" i="549"/>
  <c r="S428" i="549"/>
  <c r="R428" i="549"/>
  <c r="Q428" i="549"/>
  <c r="P428" i="549"/>
  <c r="O428" i="549"/>
  <c r="R510" i="549" s="1"/>
  <c r="I428" i="549"/>
  <c r="G428" i="549"/>
  <c r="J428" i="549" s="1" a="1"/>
  <c r="J428" i="549" s="1"/>
  <c r="K427" i="549" a="1"/>
  <c r="K427" i="549" s="1"/>
  <c r="M427" i="549" s="1"/>
  <c r="H427" i="549"/>
  <c r="K426" i="549"/>
  <c r="M426" i="549" s="1"/>
  <c r="K426" i="549" a="1"/>
  <c r="H426" i="549"/>
  <c r="K425" i="549" a="1"/>
  <c r="K425" i="549" s="1"/>
  <c r="M425" i="549" s="1"/>
  <c r="H425" i="549"/>
  <c r="K424" i="549"/>
  <c r="M424" i="549" s="1"/>
  <c r="K424" i="549" a="1"/>
  <c r="H424" i="549"/>
  <c r="K423" i="549" a="1"/>
  <c r="K423" i="549" s="1"/>
  <c r="M423" i="549" s="1"/>
  <c r="H423" i="549"/>
  <c r="K422" i="549"/>
  <c r="M422" i="549" s="1"/>
  <c r="K422" i="549" a="1"/>
  <c r="H422" i="549"/>
  <c r="K421" i="549" a="1"/>
  <c r="K421" i="549" s="1"/>
  <c r="M421" i="549" s="1"/>
  <c r="H421" i="549"/>
  <c r="K420" i="549"/>
  <c r="M420" i="549" s="1"/>
  <c r="K420" i="549" a="1"/>
  <c r="H420" i="549"/>
  <c r="K419" i="549" a="1"/>
  <c r="K419" i="549" s="1"/>
  <c r="M419" i="549" s="1"/>
  <c r="H419" i="549"/>
  <c r="K418" i="549"/>
  <c r="M418" i="549" s="1"/>
  <c r="K418" i="549" a="1"/>
  <c r="H418" i="549"/>
  <c r="V417" i="549"/>
  <c r="W417" i="549" s="1"/>
  <c r="N417" i="549"/>
  <c r="K417" i="549" a="1"/>
  <c r="K417" i="549" s="1"/>
  <c r="M417" i="549" s="1"/>
  <c r="J417" i="549" a="1"/>
  <c r="J417" i="549" s="1"/>
  <c r="H417" i="549"/>
  <c r="V416" i="549"/>
  <c r="W416" i="549" s="1"/>
  <c r="N416" i="549"/>
  <c r="K416" i="549"/>
  <c r="M416" i="549" s="1"/>
  <c r="K416" i="549" a="1"/>
  <c r="J416" i="549"/>
  <c r="J416" i="549" a="1"/>
  <c r="H416" i="549"/>
  <c r="V415" i="549"/>
  <c r="W415" i="549" s="1"/>
  <c r="N415" i="549"/>
  <c r="K415" i="549" a="1"/>
  <c r="K415" i="549" s="1"/>
  <c r="M415" i="549" s="1"/>
  <c r="J415" i="549" a="1"/>
  <c r="J415" i="549" s="1"/>
  <c r="H415" i="549"/>
  <c r="W414" i="549"/>
  <c r="V414" i="549"/>
  <c r="N414" i="549"/>
  <c r="K414" i="549" a="1"/>
  <c r="K414" i="549" s="1"/>
  <c r="M414" i="549" s="1"/>
  <c r="J414" i="549" a="1"/>
  <c r="J414" i="549" s="1"/>
  <c r="H414" i="549"/>
  <c r="H413" i="549"/>
  <c r="V412" i="549"/>
  <c r="W412" i="549" s="1"/>
  <c r="N412" i="549"/>
  <c r="K412" i="549"/>
  <c r="M412" i="549" s="1"/>
  <c r="K412" i="549" a="1"/>
  <c r="J412" i="549"/>
  <c r="J412" i="549" a="1"/>
  <c r="H412" i="549"/>
  <c r="V411" i="549"/>
  <c r="W411" i="549" s="1"/>
  <c r="N411" i="549"/>
  <c r="K411" i="549" a="1"/>
  <c r="K411" i="549" s="1"/>
  <c r="M411" i="549" s="1"/>
  <c r="J411" i="549" a="1"/>
  <c r="J411" i="549" s="1"/>
  <c r="H411" i="549"/>
  <c r="H410" i="549"/>
  <c r="K409" i="549" a="1"/>
  <c r="K409" i="549" s="1"/>
  <c r="H409" i="549"/>
  <c r="V408" i="549"/>
  <c r="W408" i="549" s="1"/>
  <c r="N408" i="549"/>
  <c r="K408" i="549"/>
  <c r="M408" i="549" s="1"/>
  <c r="K408" i="549" a="1"/>
  <c r="J408" i="549"/>
  <c r="J408" i="549" a="1"/>
  <c r="H408" i="549"/>
  <c r="V407" i="549"/>
  <c r="W407" i="549" s="1"/>
  <c r="N407" i="549"/>
  <c r="K407" i="549" a="1"/>
  <c r="K407" i="549" s="1"/>
  <c r="M407" i="549" s="1"/>
  <c r="J407" i="549" a="1"/>
  <c r="J407" i="549" s="1"/>
  <c r="H407" i="549"/>
  <c r="W406" i="549"/>
  <c r="V406" i="549"/>
  <c r="N406" i="549"/>
  <c r="K406" i="549" a="1"/>
  <c r="K406" i="549" s="1"/>
  <c r="M406" i="549" s="1"/>
  <c r="J406" i="549" a="1"/>
  <c r="J406" i="549" s="1"/>
  <c r="H406" i="549"/>
  <c r="V405" i="549"/>
  <c r="W405" i="549" s="1"/>
  <c r="N405" i="549"/>
  <c r="K405" i="549" a="1"/>
  <c r="K405" i="549" s="1"/>
  <c r="M405" i="549" s="1"/>
  <c r="J405" i="549" a="1"/>
  <c r="J405" i="549" s="1"/>
  <c r="H405" i="549"/>
  <c r="V404" i="549"/>
  <c r="W404" i="549" s="1"/>
  <c r="N404" i="549"/>
  <c r="K404" i="549"/>
  <c r="M404" i="549" s="1"/>
  <c r="K404" i="549" a="1"/>
  <c r="J404" i="549"/>
  <c r="J404" i="549" a="1"/>
  <c r="H404" i="549"/>
  <c r="V403" i="549"/>
  <c r="W403" i="549" s="1"/>
  <c r="N403" i="549"/>
  <c r="K403" i="549" a="1"/>
  <c r="K403" i="549" s="1"/>
  <c r="M403" i="549" s="1"/>
  <c r="J403" i="549" a="1"/>
  <c r="J403" i="549" s="1"/>
  <c r="H403" i="549"/>
  <c r="W402" i="549"/>
  <c r="V402" i="549"/>
  <c r="N402" i="549"/>
  <c r="K402" i="549" a="1"/>
  <c r="K402" i="549" s="1"/>
  <c r="M402" i="549" s="1"/>
  <c r="J402" i="549" a="1"/>
  <c r="J402" i="549" s="1"/>
  <c r="H402" i="549"/>
  <c r="V401" i="549"/>
  <c r="W401" i="549" s="1"/>
  <c r="N401" i="549"/>
  <c r="K401" i="549" a="1"/>
  <c r="K401" i="549" s="1"/>
  <c r="M401" i="549" s="1"/>
  <c r="J401" i="549" a="1"/>
  <c r="J401" i="549" s="1"/>
  <c r="H401" i="549"/>
  <c r="V400" i="549"/>
  <c r="W400" i="549" s="1"/>
  <c r="N400" i="549"/>
  <c r="K400" i="549"/>
  <c r="M400" i="549" s="1"/>
  <c r="K400" i="549" a="1"/>
  <c r="J400" i="549"/>
  <c r="J400" i="549" a="1"/>
  <c r="H400" i="549"/>
  <c r="V399" i="549"/>
  <c r="W399" i="549" s="1"/>
  <c r="N399" i="549"/>
  <c r="K399" i="549" a="1"/>
  <c r="K399" i="549" s="1"/>
  <c r="M399" i="549" s="1"/>
  <c r="J399" i="549" a="1"/>
  <c r="J399" i="549" s="1"/>
  <c r="H399" i="549"/>
  <c r="K398" i="549" a="1"/>
  <c r="K398" i="549" s="1"/>
  <c r="M398" i="549" s="1"/>
  <c r="H398" i="549"/>
  <c r="K397" i="549" a="1"/>
  <c r="K397" i="549" s="1"/>
  <c r="M397" i="549" s="1"/>
  <c r="H397" i="549"/>
  <c r="K396" i="549" a="1"/>
  <c r="K396" i="549" s="1"/>
  <c r="M396" i="549" s="1"/>
  <c r="H396" i="549"/>
  <c r="K395" i="549" a="1"/>
  <c r="K395" i="549" s="1"/>
  <c r="M395" i="549" s="1"/>
  <c r="H395" i="549"/>
  <c r="N394" i="549"/>
  <c r="K394" i="549" a="1"/>
  <c r="K394" i="549" s="1"/>
  <c r="M394" i="549" s="1"/>
  <c r="H394" i="549"/>
  <c r="N393" i="549"/>
  <c r="K393" i="549" a="1"/>
  <c r="K393" i="549" s="1"/>
  <c r="M393" i="549" s="1"/>
  <c r="H393" i="549"/>
  <c r="N392" i="549"/>
  <c r="K392" i="549"/>
  <c r="M392" i="549" s="1"/>
  <c r="K392" i="549" a="1"/>
  <c r="H392" i="549"/>
  <c r="N391" i="549"/>
  <c r="K391" i="549" a="1"/>
  <c r="K391" i="549" s="1"/>
  <c r="M391" i="549" s="1"/>
  <c r="H391" i="549"/>
  <c r="W390" i="549"/>
  <c r="V390" i="549"/>
  <c r="N390" i="549"/>
  <c r="K390" i="549" a="1"/>
  <c r="K390" i="549" s="1"/>
  <c r="M390" i="549" s="1"/>
  <c r="J390" i="549" a="1"/>
  <c r="J390" i="549" s="1"/>
  <c r="H390" i="549"/>
  <c r="V389" i="549"/>
  <c r="W389" i="549" s="1"/>
  <c r="N389" i="549"/>
  <c r="K389" i="549" a="1"/>
  <c r="K389" i="549" s="1"/>
  <c r="M389" i="549" s="1"/>
  <c r="J389" i="549" a="1"/>
  <c r="J389" i="549" s="1"/>
  <c r="H389" i="549"/>
  <c r="V388" i="549"/>
  <c r="W388" i="549" s="1"/>
  <c r="N388" i="549"/>
  <c r="K388" i="549"/>
  <c r="M388" i="549" s="1"/>
  <c r="K388" i="549" a="1"/>
  <c r="J388" i="549"/>
  <c r="J388" i="549" a="1"/>
  <c r="H388" i="549"/>
  <c r="V387" i="549"/>
  <c r="W387" i="549" s="1"/>
  <c r="N387" i="549"/>
  <c r="K387" i="549" a="1"/>
  <c r="K387" i="549" s="1"/>
  <c r="M387" i="549" s="1"/>
  <c r="J387" i="549" a="1"/>
  <c r="J387" i="549" s="1"/>
  <c r="H387" i="549"/>
  <c r="W386" i="549"/>
  <c r="V386" i="549"/>
  <c r="N386" i="549"/>
  <c r="K386" i="549" a="1"/>
  <c r="K386" i="549" s="1"/>
  <c r="M386" i="549" s="1"/>
  <c r="J386" i="549" a="1"/>
  <c r="J386" i="549" s="1"/>
  <c r="H386" i="549"/>
  <c r="V385" i="549"/>
  <c r="W385" i="549" s="1"/>
  <c r="N385" i="549"/>
  <c r="K385" i="549" a="1"/>
  <c r="K385" i="549" s="1"/>
  <c r="M385" i="549" s="1"/>
  <c r="J385" i="549" a="1"/>
  <c r="J385" i="549" s="1"/>
  <c r="H385" i="549"/>
  <c r="V384" i="549"/>
  <c r="W384" i="549" s="1"/>
  <c r="N384" i="549"/>
  <c r="K384" i="549"/>
  <c r="M384" i="549" s="1"/>
  <c r="K384" i="549" a="1"/>
  <c r="J384" i="549"/>
  <c r="J384" i="549" a="1"/>
  <c r="H384" i="549"/>
  <c r="V383" i="549"/>
  <c r="W383" i="549" s="1"/>
  <c r="N383" i="549"/>
  <c r="K383" i="549" a="1"/>
  <c r="K383" i="549" s="1"/>
  <c r="M383" i="549" s="1"/>
  <c r="J383" i="549" a="1"/>
  <c r="J383" i="549" s="1"/>
  <c r="H383" i="549"/>
  <c r="W382" i="549"/>
  <c r="V382" i="549"/>
  <c r="N382" i="549"/>
  <c r="K382" i="549" a="1"/>
  <c r="K382" i="549" s="1"/>
  <c r="M382" i="549" s="1"/>
  <c r="J382" i="549" a="1"/>
  <c r="J382" i="549" s="1"/>
  <c r="H382" i="549"/>
  <c r="V381" i="549"/>
  <c r="W381" i="549" s="1"/>
  <c r="N381" i="549"/>
  <c r="K381" i="549" a="1"/>
  <c r="K381" i="549" s="1"/>
  <c r="M381" i="549" s="1"/>
  <c r="J381" i="549" a="1"/>
  <c r="J381" i="549" s="1"/>
  <c r="H381" i="549"/>
  <c r="V380" i="549"/>
  <c r="W380" i="549" s="1"/>
  <c r="N380" i="549"/>
  <c r="K380" i="549"/>
  <c r="M380" i="549" s="1"/>
  <c r="K380" i="549" a="1"/>
  <c r="J380" i="549"/>
  <c r="J380" i="549" a="1"/>
  <c r="H380" i="549"/>
  <c r="V379" i="549"/>
  <c r="W379" i="549" s="1"/>
  <c r="N379" i="549"/>
  <c r="K379" i="549" a="1"/>
  <c r="K379" i="549" s="1"/>
  <c r="M379" i="549" s="1"/>
  <c r="J379" i="549" a="1"/>
  <c r="J379" i="549" s="1"/>
  <c r="H379" i="549"/>
  <c r="K378" i="549" a="1"/>
  <c r="K378" i="549" s="1"/>
  <c r="M378" i="549" s="1"/>
  <c r="H378" i="549"/>
  <c r="K377" i="549" a="1"/>
  <c r="K377" i="549" s="1"/>
  <c r="M377" i="549" s="1"/>
  <c r="H377" i="549"/>
  <c r="K376" i="549" a="1"/>
  <c r="K376" i="549" s="1"/>
  <c r="M376" i="549" s="1"/>
  <c r="H376" i="549"/>
  <c r="W375" i="549"/>
  <c r="V375" i="549"/>
  <c r="N375" i="549"/>
  <c r="K375" i="549" a="1"/>
  <c r="K375" i="549" s="1"/>
  <c r="M375" i="549" s="1"/>
  <c r="J375" i="549" a="1"/>
  <c r="J375" i="549" s="1"/>
  <c r="H375" i="549"/>
  <c r="V374" i="549"/>
  <c r="W374" i="549" s="1"/>
  <c r="N374" i="549"/>
  <c r="K374" i="549" a="1"/>
  <c r="K374" i="549" s="1"/>
  <c r="M374" i="549" s="1"/>
  <c r="J374" i="549" a="1"/>
  <c r="J374" i="549" s="1"/>
  <c r="H374" i="549"/>
  <c r="V373" i="549"/>
  <c r="W373" i="549" s="1"/>
  <c r="N373" i="549"/>
  <c r="K373" i="549"/>
  <c r="M373" i="549" s="1"/>
  <c r="K373" i="549" a="1"/>
  <c r="J373" i="549"/>
  <c r="J373" i="549" a="1"/>
  <c r="H373" i="549"/>
  <c r="K372" i="549" a="1"/>
  <c r="K372" i="549" s="1"/>
  <c r="H372" i="549"/>
  <c r="V371" i="549"/>
  <c r="V428" i="549" s="1"/>
  <c r="W428" i="549" s="1"/>
  <c r="N371" i="549"/>
  <c r="K371" i="549"/>
  <c r="K371" i="549" a="1"/>
  <c r="J371" i="549"/>
  <c r="J371" i="549" a="1"/>
  <c r="H371" i="549"/>
  <c r="H428" i="549" s="1"/>
  <c r="AA370" i="549"/>
  <c r="AA507" i="549" s="1"/>
  <c r="Z370" i="549"/>
  <c r="Z507" i="549" s="1"/>
  <c r="Y370" i="549"/>
  <c r="Y507" i="549" s="1"/>
  <c r="X370" i="549"/>
  <c r="X507" i="549" s="1"/>
  <c r="U370" i="549"/>
  <c r="U507" i="549" s="1"/>
  <c r="T370" i="549"/>
  <c r="T507" i="549" s="1"/>
  <c r="S370" i="549"/>
  <c r="S507" i="549" s="1"/>
  <c r="R370" i="549"/>
  <c r="R507" i="549" s="1"/>
  <c r="Q370" i="549"/>
  <c r="Q507" i="549" s="1"/>
  <c r="P370" i="549"/>
  <c r="P507" i="549" s="1"/>
  <c r="O370" i="549"/>
  <c r="I370" i="549"/>
  <c r="I507" i="549" s="1"/>
  <c r="B515" i="549" s="1"/>
  <c r="G370" i="549"/>
  <c r="G507" i="549" s="1"/>
  <c r="V369" i="549"/>
  <c r="W369" i="549" s="1"/>
  <c r="N369" i="549"/>
  <c r="K369" i="549"/>
  <c r="M369" i="549" s="1"/>
  <c r="K369" i="549" a="1"/>
  <c r="J369" i="549"/>
  <c r="J369" i="549" a="1"/>
  <c r="H369" i="549"/>
  <c r="V368" i="549"/>
  <c r="W368" i="549" s="1"/>
  <c r="N368" i="549"/>
  <c r="K368" i="549" a="1"/>
  <c r="K368" i="549" s="1"/>
  <c r="M368" i="549" s="1"/>
  <c r="J368" i="549" a="1"/>
  <c r="J368" i="549" s="1"/>
  <c r="H368" i="549"/>
  <c r="K367" i="549" a="1"/>
  <c r="K367" i="549" s="1"/>
  <c r="M367" i="549" s="1"/>
  <c r="H367" i="549"/>
  <c r="K366" i="549" a="1"/>
  <c r="K366" i="549" s="1"/>
  <c r="M366" i="549" s="1"/>
  <c r="H366" i="549"/>
  <c r="M365" i="549"/>
  <c r="K365" i="549" a="1"/>
  <c r="K365" i="549" s="1"/>
  <c r="H365" i="549"/>
  <c r="K364" i="549" a="1"/>
  <c r="K364" i="549" s="1"/>
  <c r="M364" i="549" s="1"/>
  <c r="H364" i="549"/>
  <c r="V363" i="549"/>
  <c r="W363" i="549" s="1"/>
  <c r="N363" i="549"/>
  <c r="K363" i="549" a="1"/>
  <c r="K363" i="549" s="1"/>
  <c r="M363" i="549" s="1"/>
  <c r="J363" i="549" a="1"/>
  <c r="J363" i="549" s="1"/>
  <c r="H363" i="549"/>
  <c r="V362" i="549"/>
  <c r="W362" i="549" s="1"/>
  <c r="N362" i="549"/>
  <c r="M362" i="549"/>
  <c r="K362" i="549" a="1"/>
  <c r="K362" i="549" s="1"/>
  <c r="J362" i="549"/>
  <c r="J362" i="549" a="1"/>
  <c r="H362" i="549"/>
  <c r="V361" i="549"/>
  <c r="W361" i="549" s="1"/>
  <c r="N361" i="549"/>
  <c r="K361" i="549" a="1"/>
  <c r="K361" i="549" s="1"/>
  <c r="M361" i="549" s="1"/>
  <c r="J361" i="549" a="1"/>
  <c r="J361" i="549" s="1"/>
  <c r="H361" i="549"/>
  <c r="H360" i="549"/>
  <c r="H359" i="549"/>
  <c r="V358" i="549"/>
  <c r="W358" i="549" s="1"/>
  <c r="N358" i="549"/>
  <c r="K358" i="549" a="1"/>
  <c r="K358" i="549" s="1"/>
  <c r="M358" i="549" s="1"/>
  <c r="J358" i="549" a="1"/>
  <c r="J358" i="549" s="1"/>
  <c r="H358" i="549"/>
  <c r="V357" i="549"/>
  <c r="W357" i="549" s="1"/>
  <c r="N357" i="549"/>
  <c r="K357" i="549" a="1"/>
  <c r="K357" i="549" s="1"/>
  <c r="M357" i="549" s="1"/>
  <c r="J357" i="549" a="1"/>
  <c r="J357" i="549" s="1"/>
  <c r="H357" i="549"/>
  <c r="K356" i="549" a="1"/>
  <c r="K356" i="549" s="1"/>
  <c r="M356" i="549" s="1"/>
  <c r="H356" i="549"/>
  <c r="K355" i="549" a="1"/>
  <c r="K355" i="549" s="1"/>
  <c r="M355" i="549" s="1"/>
  <c r="H355" i="549"/>
  <c r="W354" i="549"/>
  <c r="V354" i="549"/>
  <c r="N354" i="549"/>
  <c r="K354" i="549" a="1"/>
  <c r="K354" i="549" s="1"/>
  <c r="M354" i="549" s="1"/>
  <c r="J354" i="549" a="1"/>
  <c r="J354" i="549" s="1"/>
  <c r="H354" i="549"/>
  <c r="V353" i="549"/>
  <c r="W353" i="549" s="1"/>
  <c r="N353" i="549"/>
  <c r="K353" i="549" a="1"/>
  <c r="K353" i="549" s="1"/>
  <c r="M353" i="549" s="1"/>
  <c r="J353" i="549" a="1"/>
  <c r="J353" i="549" s="1"/>
  <c r="H353" i="549"/>
  <c r="V352" i="549"/>
  <c r="W352" i="549" s="1"/>
  <c r="N352" i="549"/>
  <c r="K352" i="549"/>
  <c r="M352" i="549" s="1"/>
  <c r="K352" i="549" a="1"/>
  <c r="J352" i="549"/>
  <c r="J352" i="549" a="1"/>
  <c r="H352" i="549"/>
  <c r="V351" i="549"/>
  <c r="W351" i="549" s="1"/>
  <c r="N351" i="549"/>
  <c r="K351" i="549" a="1"/>
  <c r="K351" i="549" s="1"/>
  <c r="M351" i="549" s="1"/>
  <c r="J351" i="549" a="1"/>
  <c r="J351" i="549" s="1"/>
  <c r="H351" i="549"/>
  <c r="W350" i="549"/>
  <c r="V350" i="549"/>
  <c r="N350" i="549"/>
  <c r="K350" i="549" a="1"/>
  <c r="K350" i="549" s="1"/>
  <c r="M350" i="549" s="1"/>
  <c r="J350" i="549" a="1"/>
  <c r="J350" i="549" s="1"/>
  <c r="H350" i="549"/>
  <c r="V349" i="549"/>
  <c r="V370" i="549" s="1"/>
  <c r="N349" i="549"/>
  <c r="K349" i="549" a="1"/>
  <c r="K349" i="549" s="1"/>
  <c r="J349" i="549" a="1"/>
  <c r="J349" i="549" s="1"/>
  <c r="H349" i="549"/>
  <c r="X343" i="549"/>
  <c r="X342" i="549"/>
  <c r="X341" i="549"/>
  <c r="G341" i="549"/>
  <c r="C341" i="549"/>
  <c r="X340" i="549"/>
  <c r="I340" i="549"/>
  <c r="E340" i="549"/>
  <c r="K340" i="549" s="1"/>
  <c r="M340" i="549" s="1"/>
  <c r="I339" i="549"/>
  <c r="E339" i="549"/>
  <c r="K339" i="549" s="1"/>
  <c r="M339" i="549" s="1"/>
  <c r="I338" i="549"/>
  <c r="E338" i="549"/>
  <c r="K338" i="549" s="1"/>
  <c r="M338" i="549" s="1"/>
  <c r="X337" i="549"/>
  <c r="I337" i="549"/>
  <c r="I341" i="549" s="1"/>
  <c r="E337" i="549"/>
  <c r="K337" i="549" s="1"/>
  <c r="AA334" i="549"/>
  <c r="Z334" i="549"/>
  <c r="Y334" i="549"/>
  <c r="X334" i="549"/>
  <c r="U334" i="549"/>
  <c r="T334" i="549"/>
  <c r="S334" i="549"/>
  <c r="R334" i="549"/>
  <c r="Q334" i="549"/>
  <c r="P334" i="549"/>
  <c r="O334" i="549"/>
  <c r="I334" i="549"/>
  <c r="G334" i="549"/>
  <c r="J334" i="549" s="1" a="1"/>
  <c r="J334" i="549" s="1"/>
  <c r="K333" i="549" a="1"/>
  <c r="K333" i="549" s="1"/>
  <c r="H333" i="549"/>
  <c r="K332" i="549"/>
  <c r="K332" i="549" a="1"/>
  <c r="H332" i="549"/>
  <c r="K331" i="549" a="1"/>
  <c r="K331" i="549" s="1"/>
  <c r="H331" i="549"/>
  <c r="V330" i="549"/>
  <c r="W330" i="549" s="1"/>
  <c r="N330" i="549"/>
  <c r="K330" i="549" a="1"/>
  <c r="K330" i="549" s="1"/>
  <c r="D330" i="549"/>
  <c r="H330" i="549" s="1"/>
  <c r="H329" i="549"/>
  <c r="K328" i="549" a="1"/>
  <c r="K328" i="549" s="1"/>
  <c r="H328" i="549"/>
  <c r="H327" i="549"/>
  <c r="V326" i="549"/>
  <c r="W326" i="549" s="1"/>
  <c r="N326" i="549"/>
  <c r="K326" i="549"/>
  <c r="M326" i="549" s="1"/>
  <c r="K326" i="549" a="1"/>
  <c r="J326" i="549"/>
  <c r="J326" i="549" a="1"/>
  <c r="H326" i="549"/>
  <c r="V325" i="549"/>
  <c r="W325" i="549" s="1"/>
  <c r="N325" i="549"/>
  <c r="K325" i="549" a="1"/>
  <c r="K325" i="549" s="1"/>
  <c r="M325" i="549" s="1"/>
  <c r="J325" i="549" a="1"/>
  <c r="J325" i="549" s="1"/>
  <c r="H325" i="549"/>
  <c r="H324" i="549"/>
  <c r="V323" i="549"/>
  <c r="W323" i="549" s="1"/>
  <c r="N323" i="549"/>
  <c r="K323" i="549" a="1"/>
  <c r="K323" i="549" s="1"/>
  <c r="M323" i="549" s="1"/>
  <c r="J323" i="549" a="1"/>
  <c r="J323" i="549" s="1"/>
  <c r="H323" i="549"/>
  <c r="W322" i="549"/>
  <c r="V322" i="549"/>
  <c r="N322" i="549"/>
  <c r="K322" i="549" a="1"/>
  <c r="K322" i="549" s="1"/>
  <c r="M322" i="549" s="1"/>
  <c r="J322" i="549" a="1"/>
  <c r="J322" i="549" s="1"/>
  <c r="H322" i="549"/>
  <c r="V321" i="549"/>
  <c r="W321" i="549" s="1"/>
  <c r="N321" i="549"/>
  <c r="K321" i="549" a="1"/>
  <c r="K321" i="549" s="1"/>
  <c r="M321" i="549" s="1"/>
  <c r="J321" i="549" a="1"/>
  <c r="J321" i="549" s="1"/>
  <c r="H321" i="549"/>
  <c r="V320" i="549"/>
  <c r="V334" i="549" s="1"/>
  <c r="N320" i="549"/>
  <c r="N334" i="549" s="1"/>
  <c r="K320" i="549" a="1"/>
  <c r="K320" i="549" s="1"/>
  <c r="J320" i="549" a="1"/>
  <c r="J320" i="549" s="1"/>
  <c r="H320" i="549"/>
  <c r="AA319" i="549"/>
  <c r="Z319" i="549"/>
  <c r="Y319" i="549"/>
  <c r="X319" i="549"/>
  <c r="U319" i="549"/>
  <c r="T319" i="549"/>
  <c r="S319" i="549"/>
  <c r="Q319" i="549"/>
  <c r="P319" i="549"/>
  <c r="O319" i="549"/>
  <c r="R341" i="549" s="1"/>
  <c r="I319" i="549"/>
  <c r="G319" i="549"/>
  <c r="V318" i="549"/>
  <c r="W318" i="549" s="1"/>
  <c r="N318" i="549"/>
  <c r="K318" i="549" a="1"/>
  <c r="K318" i="549" s="1"/>
  <c r="M318" i="549" s="1"/>
  <c r="J318" i="549" a="1"/>
  <c r="J318" i="549" s="1"/>
  <c r="H318" i="549"/>
  <c r="H317" i="549"/>
  <c r="H316" i="549"/>
  <c r="H315" i="549"/>
  <c r="H314" i="549"/>
  <c r="W313" i="549"/>
  <c r="V313" i="549"/>
  <c r="N313" i="549"/>
  <c r="K313" i="549" a="1"/>
  <c r="K313" i="549" s="1"/>
  <c r="M313" i="549" s="1"/>
  <c r="J313" i="549" a="1"/>
  <c r="J313" i="549" s="1"/>
  <c r="H313" i="549"/>
  <c r="V312" i="549"/>
  <c r="W312" i="549" s="1"/>
  <c r="N312" i="549"/>
  <c r="K312" i="549" a="1"/>
  <c r="K312" i="549" s="1"/>
  <c r="M312" i="549" s="1"/>
  <c r="J312" i="549" a="1"/>
  <c r="J312" i="549" s="1"/>
  <c r="H312" i="549"/>
  <c r="V311" i="549"/>
  <c r="W311" i="549" s="1"/>
  <c r="N311" i="549"/>
  <c r="K311" i="549"/>
  <c r="M311" i="549" s="1"/>
  <c r="K311" i="549" a="1"/>
  <c r="J311" i="549"/>
  <c r="J311" i="549" a="1"/>
  <c r="H311" i="549"/>
  <c r="V310" i="549"/>
  <c r="W310" i="549" s="1"/>
  <c r="N310" i="549"/>
  <c r="K310" i="549" a="1"/>
  <c r="K310" i="549" s="1"/>
  <c r="M310" i="549" s="1"/>
  <c r="J310" i="549" a="1"/>
  <c r="J310" i="549" s="1"/>
  <c r="H310" i="549"/>
  <c r="W309" i="549"/>
  <c r="V309" i="549"/>
  <c r="V319" i="549" s="1"/>
  <c r="W319" i="549" s="1"/>
  <c r="N309" i="549"/>
  <c r="N319" i="549" s="1"/>
  <c r="K309" i="549" a="1"/>
  <c r="K309" i="549" s="1"/>
  <c r="K319" i="549" s="1"/>
  <c r="J309" i="549" a="1"/>
  <c r="J309" i="549" s="1"/>
  <c r="H309" i="549"/>
  <c r="H319" i="549" s="1"/>
  <c r="AA308" i="549"/>
  <c r="Z308" i="549"/>
  <c r="Y308" i="549"/>
  <c r="X308" i="549"/>
  <c r="U308" i="549"/>
  <c r="T308" i="549"/>
  <c r="S308" i="549"/>
  <c r="Q308" i="549"/>
  <c r="P308" i="549"/>
  <c r="O308" i="549"/>
  <c r="R340" i="549" s="1"/>
  <c r="I308" i="549"/>
  <c r="G308" i="549"/>
  <c r="V307" i="549"/>
  <c r="W307" i="549" s="1"/>
  <c r="N307" i="549"/>
  <c r="K307" i="549" a="1"/>
  <c r="K307" i="549" s="1"/>
  <c r="M307" i="549" s="1"/>
  <c r="J307" i="549" a="1"/>
  <c r="J307" i="549" s="1"/>
  <c r="H307" i="549"/>
  <c r="W306" i="549"/>
  <c r="V306" i="549"/>
  <c r="N306" i="549"/>
  <c r="K306" i="549" a="1"/>
  <c r="K306" i="549" s="1"/>
  <c r="M306" i="549" s="1"/>
  <c r="J306" i="549" a="1"/>
  <c r="J306" i="549" s="1"/>
  <c r="H306" i="549"/>
  <c r="V305" i="549"/>
  <c r="W305" i="549" s="1"/>
  <c r="N305" i="549"/>
  <c r="K305" i="549" a="1"/>
  <c r="K305" i="549" s="1"/>
  <c r="M305" i="549" s="1"/>
  <c r="J305" i="549" a="1"/>
  <c r="J305" i="549" s="1"/>
  <c r="H305" i="549"/>
  <c r="V304" i="549"/>
  <c r="W304" i="549" s="1"/>
  <c r="N304" i="549"/>
  <c r="K304" i="549"/>
  <c r="M304" i="549" s="1"/>
  <c r="K304" i="549" a="1"/>
  <c r="J304" i="549"/>
  <c r="J304" i="549" a="1"/>
  <c r="H304" i="549"/>
  <c r="V303" i="549"/>
  <c r="W303" i="549" s="1"/>
  <c r="N303" i="549"/>
  <c r="K303" i="549" a="1"/>
  <c r="K303" i="549" s="1"/>
  <c r="M303" i="549" s="1"/>
  <c r="J303" i="549" a="1"/>
  <c r="J303" i="549" s="1"/>
  <c r="H303" i="549"/>
  <c r="W302" i="549"/>
  <c r="V302" i="549"/>
  <c r="N302" i="549"/>
  <c r="K302" i="549" a="1"/>
  <c r="K302" i="549" s="1"/>
  <c r="M302" i="549" s="1"/>
  <c r="J302" i="549" a="1"/>
  <c r="J302" i="549" s="1"/>
  <c r="H302" i="549"/>
  <c r="V301" i="549"/>
  <c r="W301" i="549" s="1"/>
  <c r="N301" i="549"/>
  <c r="K301" i="549" a="1"/>
  <c r="K301" i="549" s="1"/>
  <c r="M301" i="549" s="1"/>
  <c r="J301" i="549" a="1"/>
  <c r="J301" i="549" s="1"/>
  <c r="H301" i="549"/>
  <c r="V300" i="549"/>
  <c r="W300" i="549" s="1"/>
  <c r="N300" i="549"/>
  <c r="K300" i="549"/>
  <c r="M300" i="549" s="1"/>
  <c r="K300" i="549" a="1"/>
  <c r="J300" i="549"/>
  <c r="J300" i="549" a="1"/>
  <c r="H300" i="549"/>
  <c r="V299" i="549"/>
  <c r="W299" i="549" s="1"/>
  <c r="N299" i="549"/>
  <c r="K299" i="549" a="1"/>
  <c r="K299" i="549" s="1"/>
  <c r="M299" i="549" s="1"/>
  <c r="J299" i="549" a="1"/>
  <c r="J299" i="549" s="1"/>
  <c r="H299" i="549"/>
  <c r="W298" i="549"/>
  <c r="V298" i="549"/>
  <c r="N298" i="549"/>
  <c r="K298" i="549" a="1"/>
  <c r="K298" i="549" s="1"/>
  <c r="M298" i="549" s="1"/>
  <c r="J298" i="549" a="1"/>
  <c r="J298" i="549" s="1"/>
  <c r="H298" i="549"/>
  <c r="V297" i="549"/>
  <c r="W297" i="549" s="1"/>
  <c r="N297" i="549"/>
  <c r="K297" i="549" a="1"/>
  <c r="K297" i="549" s="1"/>
  <c r="M297" i="549" s="1"/>
  <c r="J297" i="549" a="1"/>
  <c r="J297" i="549" s="1"/>
  <c r="H297" i="549"/>
  <c r="V296" i="549"/>
  <c r="W296" i="549" s="1"/>
  <c r="N296" i="549"/>
  <c r="K296" i="549"/>
  <c r="M296" i="549" s="1"/>
  <c r="K296" i="549" a="1"/>
  <c r="J296" i="549"/>
  <c r="J296" i="549" a="1"/>
  <c r="H296" i="549"/>
  <c r="V295" i="549"/>
  <c r="W295" i="549" s="1"/>
  <c r="N295" i="549"/>
  <c r="K295" i="549" a="1"/>
  <c r="K295" i="549" s="1"/>
  <c r="M295" i="549" s="1"/>
  <c r="J295" i="549" a="1"/>
  <c r="J295" i="549" s="1"/>
  <c r="H295" i="549"/>
  <c r="W294" i="549"/>
  <c r="V294" i="549"/>
  <c r="N294" i="549"/>
  <c r="K294" i="549" a="1"/>
  <c r="K294" i="549" s="1"/>
  <c r="M294" i="549" s="1"/>
  <c r="J294" i="549" a="1"/>
  <c r="J294" i="549" s="1"/>
  <c r="H294" i="549"/>
  <c r="V293" i="549"/>
  <c r="W293" i="549" s="1"/>
  <c r="N293" i="549"/>
  <c r="K293" i="549" a="1"/>
  <c r="K293" i="549" s="1"/>
  <c r="J293" i="549" a="1"/>
  <c r="J293" i="549" s="1"/>
  <c r="H293" i="549"/>
  <c r="H308" i="549" s="1"/>
  <c r="AA292" i="549"/>
  <c r="Z292" i="549"/>
  <c r="Y292" i="549"/>
  <c r="X292" i="549"/>
  <c r="U292" i="549"/>
  <c r="T292" i="549"/>
  <c r="S292" i="549"/>
  <c r="R292" i="549"/>
  <c r="Q292" i="549"/>
  <c r="P292" i="549"/>
  <c r="O292" i="549"/>
  <c r="R339" i="549" s="1"/>
  <c r="I292" i="549"/>
  <c r="G292" i="549"/>
  <c r="V291" i="549"/>
  <c r="W291" i="549" s="1"/>
  <c r="N291" i="549"/>
  <c r="K291" i="549" a="1"/>
  <c r="K291" i="549" s="1"/>
  <c r="M291" i="549" s="1"/>
  <c r="J291" i="549" a="1"/>
  <c r="J291" i="549" s="1"/>
  <c r="H291" i="549"/>
  <c r="V290" i="549"/>
  <c r="W290" i="549" s="1"/>
  <c r="N290" i="549"/>
  <c r="K290" i="549" a="1"/>
  <c r="K290" i="549" s="1"/>
  <c r="M290" i="549" s="1"/>
  <c r="J290" i="549" a="1"/>
  <c r="J290" i="549" s="1"/>
  <c r="H290" i="549"/>
  <c r="V289" i="549"/>
  <c r="W289" i="549" s="1"/>
  <c r="N289" i="549"/>
  <c r="K289" i="549" a="1"/>
  <c r="K289" i="549" s="1"/>
  <c r="M289" i="549" s="1"/>
  <c r="J289" i="549" a="1"/>
  <c r="J289" i="549" s="1"/>
  <c r="H289" i="549"/>
  <c r="H288" i="549"/>
  <c r="H287" i="549"/>
  <c r="H286" i="549"/>
  <c r="V285" i="549"/>
  <c r="W285" i="549" s="1"/>
  <c r="N285" i="549"/>
  <c r="K285" i="549" a="1"/>
  <c r="K285" i="549" s="1"/>
  <c r="M285" i="549" s="1"/>
  <c r="J285" i="549" a="1"/>
  <c r="J285" i="549" s="1"/>
  <c r="H285" i="549"/>
  <c r="V284" i="549"/>
  <c r="W284" i="549" s="1"/>
  <c r="N284" i="549"/>
  <c r="K284" i="549"/>
  <c r="M284" i="549" s="1"/>
  <c r="K284" i="549" a="1"/>
  <c r="J284" i="549" a="1"/>
  <c r="J284" i="549" s="1"/>
  <c r="H284" i="549"/>
  <c r="N283" i="549"/>
  <c r="K283" i="549" a="1"/>
  <c r="K283" i="549" s="1"/>
  <c r="M283" i="549" s="1"/>
  <c r="H283" i="549"/>
  <c r="N282" i="549"/>
  <c r="K282" i="549" a="1"/>
  <c r="K282" i="549" s="1"/>
  <c r="M282" i="549" s="1"/>
  <c r="H282" i="549"/>
  <c r="N281" i="549"/>
  <c r="K281" i="549" a="1"/>
  <c r="K281" i="549" s="1"/>
  <c r="M281" i="549" s="1"/>
  <c r="H281" i="549"/>
  <c r="N280" i="549"/>
  <c r="K280" i="549"/>
  <c r="M280" i="549" s="1"/>
  <c r="K280" i="549" a="1"/>
  <c r="H280" i="549"/>
  <c r="N279" i="549"/>
  <c r="K279" i="549" a="1"/>
  <c r="K279" i="549" s="1"/>
  <c r="M279" i="549" s="1"/>
  <c r="H279" i="549"/>
  <c r="N278" i="549"/>
  <c r="K278" i="549" a="1"/>
  <c r="K278" i="549" s="1"/>
  <c r="M278" i="549" s="1"/>
  <c r="H278" i="549"/>
  <c r="V277" i="549"/>
  <c r="W277" i="549" s="1"/>
  <c r="N277" i="549"/>
  <c r="K277" i="549" a="1"/>
  <c r="K277" i="549" s="1"/>
  <c r="M277" i="549" s="1"/>
  <c r="J277" i="549" a="1"/>
  <c r="J277" i="549" s="1"/>
  <c r="H277" i="549"/>
  <c r="V276" i="549"/>
  <c r="W276" i="549" s="1"/>
  <c r="N276" i="549"/>
  <c r="K276" i="549"/>
  <c r="M276" i="549" s="1"/>
  <c r="K276" i="549" a="1"/>
  <c r="J276" i="549"/>
  <c r="J276" i="549" a="1"/>
  <c r="H276" i="549"/>
  <c r="V275" i="549"/>
  <c r="W275" i="549" s="1"/>
  <c r="N275" i="549"/>
  <c r="K275" i="549" a="1"/>
  <c r="K275" i="549" s="1"/>
  <c r="M275" i="549" s="1"/>
  <c r="J275" i="549" a="1"/>
  <c r="J275" i="549" s="1"/>
  <c r="H275" i="549"/>
  <c r="W274" i="549"/>
  <c r="V274" i="549"/>
  <c r="N274" i="549"/>
  <c r="K274" i="549" a="1"/>
  <c r="K274" i="549" s="1"/>
  <c r="M274" i="549" s="1"/>
  <c r="J274" i="549" a="1"/>
  <c r="J274" i="549" s="1"/>
  <c r="H274" i="549"/>
  <c r="V273" i="549"/>
  <c r="W273" i="549" s="1"/>
  <c r="N273" i="549"/>
  <c r="K273" i="549" a="1"/>
  <c r="K273" i="549" s="1"/>
  <c r="M273" i="549" s="1"/>
  <c r="J273" i="549" a="1"/>
  <c r="J273" i="549" s="1"/>
  <c r="H273" i="549"/>
  <c r="V272" i="549"/>
  <c r="W272" i="549" s="1"/>
  <c r="N272" i="549"/>
  <c r="K272" i="549"/>
  <c r="M272" i="549" s="1"/>
  <c r="K272" i="549" a="1"/>
  <c r="J272" i="549"/>
  <c r="J272" i="549" a="1"/>
  <c r="H272" i="549"/>
  <c r="V271" i="549"/>
  <c r="W271" i="549" s="1"/>
  <c r="N271" i="549"/>
  <c r="K271" i="549" a="1"/>
  <c r="K271" i="549" s="1"/>
  <c r="M271" i="549" s="1"/>
  <c r="J271" i="549" a="1"/>
  <c r="J271" i="549" s="1"/>
  <c r="H271" i="549"/>
  <c r="V270" i="549"/>
  <c r="W270" i="549" s="1"/>
  <c r="N270" i="549"/>
  <c r="K270" i="549" a="1"/>
  <c r="K270" i="549" s="1"/>
  <c r="M270" i="549" s="1"/>
  <c r="J270" i="549" a="1"/>
  <c r="J270" i="549" s="1"/>
  <c r="H270" i="549"/>
  <c r="V269" i="549"/>
  <c r="W269" i="549" s="1"/>
  <c r="N269" i="549"/>
  <c r="K269" i="549"/>
  <c r="M269" i="549" s="1"/>
  <c r="K269" i="549" a="1"/>
  <c r="J269" i="549"/>
  <c r="J269" i="549" a="1"/>
  <c r="H269" i="549"/>
  <c r="V268" i="549"/>
  <c r="W268" i="549" s="1"/>
  <c r="N268" i="549"/>
  <c r="K268" i="549" a="1"/>
  <c r="K268" i="549" s="1"/>
  <c r="M268" i="549" s="1"/>
  <c r="J268" i="549" a="1"/>
  <c r="J268" i="549" s="1"/>
  <c r="H268" i="549"/>
  <c r="W267" i="549"/>
  <c r="V267" i="549"/>
  <c r="N267" i="549"/>
  <c r="K267" i="549" a="1"/>
  <c r="K267" i="549" s="1"/>
  <c r="M267" i="549" s="1"/>
  <c r="J267" i="549" a="1"/>
  <c r="J267" i="549" s="1"/>
  <c r="H267" i="549"/>
  <c r="V266" i="549"/>
  <c r="W266" i="549" s="1"/>
  <c r="N266" i="549"/>
  <c r="K266" i="549" a="1"/>
  <c r="K266" i="549" s="1"/>
  <c r="M266" i="549" s="1"/>
  <c r="J266" i="549" a="1"/>
  <c r="J266" i="549" s="1"/>
  <c r="H266" i="549"/>
  <c r="N265" i="549"/>
  <c r="K265" i="549"/>
  <c r="M265" i="549" s="1"/>
  <c r="K265" i="549" a="1"/>
  <c r="H265" i="549"/>
  <c r="V264" i="549"/>
  <c r="W264" i="549" s="1"/>
  <c r="N264" i="549"/>
  <c r="K264" i="549" a="1"/>
  <c r="K264" i="549" s="1"/>
  <c r="M264" i="549" s="1"/>
  <c r="J264" i="549" a="1"/>
  <c r="J264" i="549" s="1"/>
  <c r="H264" i="549"/>
  <c r="W263" i="549"/>
  <c r="V263" i="549"/>
  <c r="N263" i="549"/>
  <c r="K263" i="549" a="1"/>
  <c r="K263" i="549" s="1"/>
  <c r="M263" i="549" s="1"/>
  <c r="J263" i="549" a="1"/>
  <c r="J263" i="549" s="1"/>
  <c r="H263" i="549"/>
  <c r="V262" i="549"/>
  <c r="W262" i="549" s="1"/>
  <c r="N262" i="549"/>
  <c r="K262" i="549" a="1"/>
  <c r="K262" i="549" s="1"/>
  <c r="M262" i="549" s="1"/>
  <c r="J262" i="549" a="1"/>
  <c r="J262" i="549" s="1"/>
  <c r="H262" i="549"/>
  <c r="V261" i="549"/>
  <c r="W261" i="549" s="1"/>
  <c r="N261" i="549"/>
  <c r="K261" i="549"/>
  <c r="M261" i="549" s="1"/>
  <c r="K261" i="549" a="1"/>
  <c r="J261" i="549"/>
  <c r="J261" i="549" a="1"/>
  <c r="H261" i="549"/>
  <c r="V260" i="549"/>
  <c r="W260" i="549" s="1"/>
  <c r="N260" i="549"/>
  <c r="K260" i="549" a="1"/>
  <c r="K260" i="549" s="1"/>
  <c r="M260" i="549" s="1"/>
  <c r="J260" i="549" a="1"/>
  <c r="J260" i="549" s="1"/>
  <c r="H260" i="549"/>
  <c r="W259" i="549"/>
  <c r="V259" i="549"/>
  <c r="N259" i="549"/>
  <c r="K259" i="549" a="1"/>
  <c r="K259" i="549" s="1"/>
  <c r="M259" i="549" s="1"/>
  <c r="J259" i="549" a="1"/>
  <c r="J259" i="549" s="1"/>
  <c r="H259" i="549"/>
  <c r="V258" i="549"/>
  <c r="V292" i="549" s="1"/>
  <c r="W292" i="549" s="1"/>
  <c r="N258" i="549"/>
  <c r="K258" i="549" a="1"/>
  <c r="K258" i="549" s="1"/>
  <c r="J258" i="549" a="1"/>
  <c r="J258" i="549" s="1"/>
  <c r="H258" i="549"/>
  <c r="AA257" i="549"/>
  <c r="Z257" i="549"/>
  <c r="Y257" i="549"/>
  <c r="X257" i="549"/>
  <c r="U257" i="549"/>
  <c r="T257" i="549"/>
  <c r="S257" i="549"/>
  <c r="R257" i="549"/>
  <c r="Q257" i="549"/>
  <c r="P257" i="549"/>
  <c r="O257" i="549"/>
  <c r="R338" i="549" s="1"/>
  <c r="I257" i="549"/>
  <c r="G257" i="549"/>
  <c r="H256" i="549"/>
  <c r="H255" i="549"/>
  <c r="H254" i="549"/>
  <c r="H253" i="549"/>
  <c r="H252" i="549"/>
  <c r="H251" i="549"/>
  <c r="K250" i="549" a="1"/>
  <c r="K250" i="549" s="1"/>
  <c r="M250" i="549" s="1"/>
  <c r="H250" i="549"/>
  <c r="K249" i="549"/>
  <c r="M249" i="549" s="1"/>
  <c r="K249" i="549" a="1"/>
  <c r="H249" i="549"/>
  <c r="K248" i="549" a="1"/>
  <c r="K248" i="549" s="1"/>
  <c r="M248" i="549" s="1"/>
  <c r="H248" i="549"/>
  <c r="K247" i="549"/>
  <c r="M247" i="549" s="1"/>
  <c r="K247" i="549" a="1"/>
  <c r="H247" i="549"/>
  <c r="V246" i="549"/>
  <c r="W246" i="549" s="1"/>
  <c r="N246" i="549"/>
  <c r="K246" i="549" a="1"/>
  <c r="K246" i="549" s="1"/>
  <c r="M246" i="549" s="1"/>
  <c r="J246" i="549" a="1"/>
  <c r="J246" i="549" s="1"/>
  <c r="H246" i="549"/>
  <c r="V245" i="549"/>
  <c r="W245" i="549" s="1"/>
  <c r="N245" i="549"/>
  <c r="K245" i="549"/>
  <c r="M245" i="549" s="1"/>
  <c r="K245" i="549" a="1"/>
  <c r="J245" i="549"/>
  <c r="J245" i="549" a="1"/>
  <c r="H245" i="549"/>
  <c r="V244" i="549"/>
  <c r="W244" i="549" s="1"/>
  <c r="N244" i="549"/>
  <c r="K244" i="549" a="1"/>
  <c r="K244" i="549" s="1"/>
  <c r="M244" i="549" s="1"/>
  <c r="J244" i="549" a="1"/>
  <c r="J244" i="549" s="1"/>
  <c r="H244" i="549"/>
  <c r="W243" i="549"/>
  <c r="V243" i="549"/>
  <c r="N243" i="549"/>
  <c r="K243" i="549" a="1"/>
  <c r="K243" i="549" s="1"/>
  <c r="M243" i="549" s="1"/>
  <c r="J243" i="549" a="1"/>
  <c r="J243" i="549" s="1"/>
  <c r="H243" i="549"/>
  <c r="M242" i="549"/>
  <c r="H242" i="549"/>
  <c r="V241" i="549"/>
  <c r="W241" i="549" s="1"/>
  <c r="N241" i="549"/>
  <c r="K241" i="549" a="1"/>
  <c r="K241" i="549" s="1"/>
  <c r="M241" i="549" s="1"/>
  <c r="J241" i="549" a="1"/>
  <c r="J241" i="549" s="1"/>
  <c r="H241" i="549"/>
  <c r="W240" i="549"/>
  <c r="V240" i="549"/>
  <c r="N240" i="549"/>
  <c r="K240" i="549" a="1"/>
  <c r="K240" i="549" s="1"/>
  <c r="M240" i="549" s="1"/>
  <c r="J240" i="549" a="1"/>
  <c r="J240" i="549" s="1"/>
  <c r="H240" i="549"/>
  <c r="K239" i="549"/>
  <c r="M239" i="549" s="1"/>
  <c r="K239" i="549" a="1"/>
  <c r="H239" i="549"/>
  <c r="H238" i="549"/>
  <c r="W237" i="549"/>
  <c r="V237" i="549"/>
  <c r="N237" i="549"/>
  <c r="K237" i="549" a="1"/>
  <c r="K237" i="549" s="1"/>
  <c r="M237" i="549" s="1"/>
  <c r="J237" i="549" a="1"/>
  <c r="J237" i="549" s="1"/>
  <c r="H237" i="549"/>
  <c r="V236" i="549"/>
  <c r="W236" i="549" s="1"/>
  <c r="N236" i="549"/>
  <c r="K236" i="549" a="1"/>
  <c r="K236" i="549" s="1"/>
  <c r="M236" i="549" s="1"/>
  <c r="J236" i="549" a="1"/>
  <c r="J236" i="549" s="1"/>
  <c r="H236" i="549"/>
  <c r="V235" i="549"/>
  <c r="W235" i="549" s="1"/>
  <c r="N235" i="549"/>
  <c r="K235" i="549"/>
  <c r="M235" i="549" s="1"/>
  <c r="K235" i="549" a="1"/>
  <c r="J235" i="549"/>
  <c r="J235" i="549" a="1"/>
  <c r="H235" i="549"/>
  <c r="V234" i="549"/>
  <c r="W234" i="549" s="1"/>
  <c r="N234" i="549"/>
  <c r="K234" i="549" a="1"/>
  <c r="K234" i="549" s="1"/>
  <c r="M234" i="549" s="1"/>
  <c r="J234" i="549" a="1"/>
  <c r="J234" i="549" s="1"/>
  <c r="H234" i="549"/>
  <c r="W233" i="549"/>
  <c r="V233" i="549"/>
  <c r="N233" i="549"/>
  <c r="K233" i="549" a="1"/>
  <c r="K233" i="549" s="1"/>
  <c r="M233" i="549" s="1"/>
  <c r="J233" i="549" a="1"/>
  <c r="J233" i="549" s="1"/>
  <c r="H233" i="549"/>
  <c r="V232" i="549"/>
  <c r="W232" i="549" s="1"/>
  <c r="N232" i="549"/>
  <c r="K232" i="549" a="1"/>
  <c r="K232" i="549" s="1"/>
  <c r="M232" i="549" s="1"/>
  <c r="J232" i="549" a="1"/>
  <c r="J232" i="549" s="1"/>
  <c r="H232" i="549"/>
  <c r="V231" i="549"/>
  <c r="W231" i="549" s="1"/>
  <c r="N231" i="549"/>
  <c r="K231" i="549"/>
  <c r="M231" i="549" s="1"/>
  <c r="K231" i="549" a="1"/>
  <c r="J231" i="549"/>
  <c r="J231" i="549" a="1"/>
  <c r="H231" i="549"/>
  <c r="V230" i="549"/>
  <c r="W230" i="549" s="1"/>
  <c r="N230" i="549"/>
  <c r="K230" i="549" a="1"/>
  <c r="K230" i="549" s="1"/>
  <c r="M230" i="549" s="1"/>
  <c r="J230" i="549" a="1"/>
  <c r="J230" i="549" s="1"/>
  <c r="H230" i="549"/>
  <c r="W229" i="549"/>
  <c r="V229" i="549"/>
  <c r="N229" i="549"/>
  <c r="K229" i="549" a="1"/>
  <c r="K229" i="549" s="1"/>
  <c r="M229" i="549" s="1"/>
  <c r="J229" i="549" a="1"/>
  <c r="J229" i="549" s="1"/>
  <c r="H229" i="549"/>
  <c r="V228" i="549"/>
  <c r="W228" i="549" s="1"/>
  <c r="N228" i="549"/>
  <c r="K228" i="549" a="1"/>
  <c r="K228" i="549" s="1"/>
  <c r="M228" i="549" s="1"/>
  <c r="J228" i="549" a="1"/>
  <c r="J228" i="549" s="1"/>
  <c r="H228" i="549"/>
  <c r="N227" i="549"/>
  <c r="K227" i="549"/>
  <c r="M227" i="549" s="1"/>
  <c r="K227" i="549" a="1"/>
  <c r="H227" i="549"/>
  <c r="N226" i="549"/>
  <c r="K226" i="549" a="1"/>
  <c r="K226" i="549" s="1"/>
  <c r="M226" i="549" s="1"/>
  <c r="H226" i="549"/>
  <c r="N225" i="549"/>
  <c r="K225" i="549" a="1"/>
  <c r="K225" i="549" s="1"/>
  <c r="M225" i="549" s="1"/>
  <c r="H225" i="549"/>
  <c r="N224" i="549"/>
  <c r="K224" i="549" a="1"/>
  <c r="K224" i="549" s="1"/>
  <c r="M224" i="549" s="1"/>
  <c r="H224" i="549"/>
  <c r="N223" i="549"/>
  <c r="K223" i="549"/>
  <c r="M223" i="549" s="1"/>
  <c r="K223" i="549" a="1"/>
  <c r="H223" i="549"/>
  <c r="N222" i="549"/>
  <c r="K222" i="549" a="1"/>
  <c r="K222" i="549" s="1"/>
  <c r="M222" i="549" s="1"/>
  <c r="H222" i="549"/>
  <c r="N221" i="549"/>
  <c r="K221" i="549" a="1"/>
  <c r="K221" i="549" s="1"/>
  <c r="M221" i="549" s="1"/>
  <c r="H221" i="549"/>
  <c r="N220" i="549"/>
  <c r="K220" i="549" a="1"/>
  <c r="K220" i="549" s="1"/>
  <c r="M220" i="549" s="1"/>
  <c r="H220" i="549"/>
  <c r="V219" i="549"/>
  <c r="W219" i="549" s="1"/>
  <c r="N219" i="549"/>
  <c r="K219" i="549"/>
  <c r="M219" i="549" s="1"/>
  <c r="K219" i="549" a="1"/>
  <c r="J219" i="549"/>
  <c r="J219" i="549" a="1"/>
  <c r="H219" i="549"/>
  <c r="V218" i="549"/>
  <c r="W218" i="549" s="1"/>
  <c r="N218" i="549"/>
  <c r="K218" i="549" a="1"/>
  <c r="K218" i="549" s="1"/>
  <c r="M218" i="549" s="1"/>
  <c r="J218" i="549" a="1"/>
  <c r="J218" i="549" s="1"/>
  <c r="H218" i="549"/>
  <c r="W217" i="549"/>
  <c r="V217" i="549"/>
  <c r="N217" i="549"/>
  <c r="K217" i="549" a="1"/>
  <c r="K217" i="549" s="1"/>
  <c r="M217" i="549" s="1"/>
  <c r="J217" i="549" a="1"/>
  <c r="J217" i="549" s="1"/>
  <c r="H217" i="549"/>
  <c r="V216" i="549"/>
  <c r="W216" i="549" s="1"/>
  <c r="N216" i="549"/>
  <c r="K216" i="549" a="1"/>
  <c r="K216" i="549" s="1"/>
  <c r="M216" i="549" s="1"/>
  <c r="J216" i="549" a="1"/>
  <c r="J216" i="549" s="1"/>
  <c r="H216" i="549"/>
  <c r="W215" i="549"/>
  <c r="V215" i="549"/>
  <c r="N215" i="549"/>
  <c r="K215" i="549"/>
  <c r="M215" i="549" s="1"/>
  <c r="K215" i="549" a="1"/>
  <c r="J215" i="549" a="1"/>
  <c r="J215" i="549" s="1"/>
  <c r="H215" i="549"/>
  <c r="V214" i="549"/>
  <c r="W214" i="549" s="1"/>
  <c r="N214" i="549"/>
  <c r="K214" i="549" a="1"/>
  <c r="K214" i="549" s="1"/>
  <c r="M214" i="549" s="1"/>
  <c r="J214" i="549" a="1"/>
  <c r="J214" i="549" s="1"/>
  <c r="H214" i="549"/>
  <c r="W213" i="549"/>
  <c r="V213" i="549"/>
  <c r="N213" i="549"/>
  <c r="K213" i="549" a="1"/>
  <c r="K213" i="549" s="1"/>
  <c r="M213" i="549" s="1"/>
  <c r="J213" i="549" a="1"/>
  <c r="J213" i="549" s="1"/>
  <c r="H213" i="549"/>
  <c r="V212" i="549"/>
  <c r="W212" i="549" s="1"/>
  <c r="N212" i="549"/>
  <c r="K212" i="549" a="1"/>
  <c r="K212" i="549" s="1"/>
  <c r="M212" i="549" s="1"/>
  <c r="J212" i="549" a="1"/>
  <c r="J212" i="549" s="1"/>
  <c r="H212" i="549"/>
  <c r="V211" i="549"/>
  <c r="W211" i="549" s="1"/>
  <c r="N211" i="549"/>
  <c r="K211" i="549"/>
  <c r="M211" i="549" s="1"/>
  <c r="K211" i="549" a="1"/>
  <c r="J211" i="549"/>
  <c r="J211" i="549" a="1"/>
  <c r="H211" i="549"/>
  <c r="V210" i="549"/>
  <c r="W210" i="549" s="1"/>
  <c r="N210" i="549"/>
  <c r="K210" i="549" a="1"/>
  <c r="K210" i="549" s="1"/>
  <c r="M210" i="549" s="1"/>
  <c r="J210" i="549" a="1"/>
  <c r="J210" i="549" s="1"/>
  <c r="H210" i="549"/>
  <c r="V209" i="549"/>
  <c r="W209" i="549" s="1"/>
  <c r="N209" i="549"/>
  <c r="K209" i="549" a="1"/>
  <c r="K209" i="549" s="1"/>
  <c r="M209" i="549" s="1"/>
  <c r="J209" i="549" a="1"/>
  <c r="J209" i="549" s="1"/>
  <c r="H209" i="549"/>
  <c r="V208" i="549"/>
  <c r="W208" i="549" s="1"/>
  <c r="N208" i="549"/>
  <c r="K208" i="549" a="1"/>
  <c r="K208" i="549" s="1"/>
  <c r="M208" i="549" s="1"/>
  <c r="J208" i="549" a="1"/>
  <c r="J208" i="549" s="1"/>
  <c r="H208" i="549"/>
  <c r="H207" i="549"/>
  <c r="H206" i="549"/>
  <c r="H205" i="549"/>
  <c r="V204" i="549"/>
  <c r="W204" i="549" s="1"/>
  <c r="N204" i="549"/>
  <c r="K204" i="549" a="1"/>
  <c r="K204" i="549" s="1"/>
  <c r="M204" i="549" s="1"/>
  <c r="J204" i="549" a="1"/>
  <c r="J204" i="549" s="1"/>
  <c r="H204" i="549"/>
  <c r="V203" i="549"/>
  <c r="W203" i="549" s="1"/>
  <c r="N203" i="549"/>
  <c r="K203" i="549"/>
  <c r="M203" i="549" s="1"/>
  <c r="K203" i="549" a="1"/>
  <c r="J203" i="549" a="1"/>
  <c r="J203" i="549" s="1"/>
  <c r="H203" i="549"/>
  <c r="V202" i="549"/>
  <c r="W202" i="549" s="1"/>
  <c r="N202" i="549"/>
  <c r="K202" i="549" a="1"/>
  <c r="K202" i="549" s="1"/>
  <c r="M202" i="549" s="1"/>
  <c r="J202" i="549" a="1"/>
  <c r="J202" i="549" s="1"/>
  <c r="H202" i="549"/>
  <c r="H201" i="549"/>
  <c r="V200" i="549"/>
  <c r="V257" i="549" s="1"/>
  <c r="W257" i="549" s="1"/>
  <c r="N200" i="549"/>
  <c r="N257" i="549" s="1"/>
  <c r="K200" i="549" a="1"/>
  <c r="K200" i="549" s="1"/>
  <c r="J200" i="549" a="1"/>
  <c r="J200" i="549" s="1"/>
  <c r="H200" i="549"/>
  <c r="AA199" i="549"/>
  <c r="AA335" i="549" s="1"/>
  <c r="Z199" i="549"/>
  <c r="Z335" i="549" s="1"/>
  <c r="Y199" i="549"/>
  <c r="Y335" i="549" s="1"/>
  <c r="X199" i="549"/>
  <c r="X335" i="549" s="1"/>
  <c r="U199" i="549"/>
  <c r="U335" i="549" s="1"/>
  <c r="T199" i="549"/>
  <c r="T335" i="549" s="1"/>
  <c r="S199" i="549"/>
  <c r="S335" i="549" s="1"/>
  <c r="R199" i="549"/>
  <c r="R335" i="549" s="1"/>
  <c r="Q199" i="549"/>
  <c r="Q335" i="549" s="1"/>
  <c r="P199" i="549"/>
  <c r="O199" i="549"/>
  <c r="I199" i="549"/>
  <c r="I335" i="549" s="1"/>
  <c r="B343" i="549" s="1"/>
  <c r="G199" i="549"/>
  <c r="G335" i="549" s="1"/>
  <c r="V198" i="549"/>
  <c r="W198" i="549" s="1"/>
  <c r="N198" i="549"/>
  <c r="K198" i="549" a="1"/>
  <c r="K198" i="549" s="1"/>
  <c r="M198" i="549" s="1"/>
  <c r="J198" i="549" a="1"/>
  <c r="J198" i="549" s="1"/>
  <c r="H198" i="549"/>
  <c r="V197" i="549"/>
  <c r="W197" i="549" s="1"/>
  <c r="N197" i="549"/>
  <c r="K197" i="549" a="1"/>
  <c r="K197" i="549" s="1"/>
  <c r="M197" i="549" s="1"/>
  <c r="J197" i="549" a="1"/>
  <c r="J197" i="549" s="1"/>
  <c r="H197" i="549"/>
  <c r="K196" i="549" a="1"/>
  <c r="K196" i="549" s="1"/>
  <c r="M196" i="549" s="1"/>
  <c r="H196" i="549"/>
  <c r="K195" i="549" a="1"/>
  <c r="K195" i="549" s="1"/>
  <c r="M195" i="549" s="1"/>
  <c r="H195" i="549"/>
  <c r="K194" i="549"/>
  <c r="M194" i="549" s="1"/>
  <c r="K194" i="549" a="1"/>
  <c r="H194" i="549"/>
  <c r="K193" i="549" a="1"/>
  <c r="K193" i="549" s="1"/>
  <c r="M193" i="549" s="1"/>
  <c r="H193" i="549"/>
  <c r="V192" i="549"/>
  <c r="W192" i="549" s="1"/>
  <c r="N192" i="549"/>
  <c r="K192" i="549" a="1"/>
  <c r="K192" i="549" s="1"/>
  <c r="M192" i="549" s="1"/>
  <c r="J192" i="549" a="1"/>
  <c r="J192" i="549" s="1"/>
  <c r="H192" i="549"/>
  <c r="V191" i="549"/>
  <c r="W191" i="549" s="1"/>
  <c r="N191" i="549"/>
  <c r="K191" i="549"/>
  <c r="M191" i="549" s="1"/>
  <c r="K191" i="549" a="1"/>
  <c r="J191" i="549"/>
  <c r="J191" i="549" a="1"/>
  <c r="H191" i="549"/>
  <c r="V190" i="549"/>
  <c r="W190" i="549" s="1"/>
  <c r="N190" i="549"/>
  <c r="K190" i="549" a="1"/>
  <c r="K190" i="549" s="1"/>
  <c r="M190" i="549" s="1"/>
  <c r="J190" i="549" a="1"/>
  <c r="J190" i="549" s="1"/>
  <c r="H190" i="549"/>
  <c r="N189" i="549"/>
  <c r="K189" i="549"/>
  <c r="M189" i="549" s="1"/>
  <c r="K189" i="549" a="1"/>
  <c r="J189" i="549" a="1"/>
  <c r="J189" i="549" s="1"/>
  <c r="H189" i="549"/>
  <c r="N188" i="549"/>
  <c r="K188" i="549" a="1"/>
  <c r="K188" i="549" s="1"/>
  <c r="M188" i="549" s="1"/>
  <c r="J188" i="549" a="1"/>
  <c r="J188" i="549" s="1"/>
  <c r="H188" i="549"/>
  <c r="V187" i="549"/>
  <c r="W187" i="549" s="1"/>
  <c r="N187" i="549"/>
  <c r="K187" i="549" a="1"/>
  <c r="K187" i="549" s="1"/>
  <c r="M187" i="549" s="1"/>
  <c r="J187" i="549" a="1"/>
  <c r="J187" i="549" s="1"/>
  <c r="H187" i="549"/>
  <c r="V186" i="549"/>
  <c r="W186" i="549" s="1"/>
  <c r="N186" i="549"/>
  <c r="K186" i="549" a="1"/>
  <c r="K186" i="549" s="1"/>
  <c r="M186" i="549" s="1"/>
  <c r="J186" i="549" a="1"/>
  <c r="J186" i="549" s="1"/>
  <c r="H186" i="549"/>
  <c r="N185" i="549"/>
  <c r="K185" i="549"/>
  <c r="M185" i="549" s="1"/>
  <c r="K185" i="549" a="1"/>
  <c r="H185" i="549"/>
  <c r="N184" i="549"/>
  <c r="K184" i="549" a="1"/>
  <c r="K184" i="549" s="1"/>
  <c r="M184" i="549" s="1"/>
  <c r="H184" i="549"/>
  <c r="W183" i="549"/>
  <c r="V183" i="549"/>
  <c r="N183" i="549"/>
  <c r="K183" i="549" a="1"/>
  <c r="K183" i="549" s="1"/>
  <c r="M183" i="549" s="1"/>
  <c r="J183" i="549" a="1"/>
  <c r="J183" i="549" s="1"/>
  <c r="H183" i="549"/>
  <c r="V182" i="549"/>
  <c r="W182" i="549" s="1"/>
  <c r="N182" i="549"/>
  <c r="K182" i="549" a="1"/>
  <c r="K182" i="549" s="1"/>
  <c r="M182" i="549" s="1"/>
  <c r="J182" i="549" a="1"/>
  <c r="J182" i="549" s="1"/>
  <c r="H182" i="549"/>
  <c r="W181" i="549"/>
  <c r="V181" i="549"/>
  <c r="N181" i="549"/>
  <c r="K181" i="549" a="1"/>
  <c r="K181" i="549" s="1"/>
  <c r="M181" i="549" s="1"/>
  <c r="J181" i="549" a="1"/>
  <c r="J181" i="549" s="1"/>
  <c r="H181" i="549"/>
  <c r="V180" i="549"/>
  <c r="W180" i="549" s="1"/>
  <c r="N180" i="549"/>
  <c r="K180" i="549" a="1"/>
  <c r="K180" i="549" s="1"/>
  <c r="M180" i="549" s="1"/>
  <c r="J180" i="549" a="1"/>
  <c r="J180" i="549" s="1"/>
  <c r="H180" i="549"/>
  <c r="V179" i="549"/>
  <c r="W179" i="549" s="1"/>
  <c r="N179" i="549"/>
  <c r="K179" i="549" a="1"/>
  <c r="K179" i="549" s="1"/>
  <c r="M179" i="549" s="1"/>
  <c r="J179" i="549" a="1"/>
  <c r="J179" i="549" s="1"/>
  <c r="H179" i="549"/>
  <c r="V178" i="549"/>
  <c r="V199" i="549" s="1"/>
  <c r="N178" i="549"/>
  <c r="N199" i="549" s="1"/>
  <c r="K178" i="549" a="1"/>
  <c r="K178" i="549" s="1"/>
  <c r="J178" i="549" a="1"/>
  <c r="J178" i="549" s="1"/>
  <c r="H178" i="549"/>
  <c r="H199" i="549" s="1"/>
  <c r="X171" i="549"/>
  <c r="Q529" i="549" s="1"/>
  <c r="X170" i="549"/>
  <c r="Q528" i="549" s="1"/>
  <c r="G170" i="549"/>
  <c r="C170" i="549"/>
  <c r="X169" i="549"/>
  <c r="Q527" i="549" s="1"/>
  <c r="I169" i="549"/>
  <c r="E169" i="549"/>
  <c r="K169" i="549" s="1"/>
  <c r="M169" i="549" s="1"/>
  <c r="I168" i="549"/>
  <c r="E168" i="549"/>
  <c r="K168" i="549" s="1"/>
  <c r="M168" i="549" s="1"/>
  <c r="I167" i="549"/>
  <c r="E167" i="549"/>
  <c r="K167" i="549" s="1"/>
  <c r="M167" i="549" s="1"/>
  <c r="X166" i="549"/>
  <c r="Q524" i="549" s="1"/>
  <c r="I166" i="549"/>
  <c r="I170" i="549" s="1"/>
  <c r="E166" i="549"/>
  <c r="K166" i="549" s="1"/>
  <c r="AA163" i="549"/>
  <c r="Z163" i="549"/>
  <c r="Y163" i="549"/>
  <c r="X163" i="549"/>
  <c r="U163" i="549"/>
  <c r="T163" i="549"/>
  <c r="S163" i="549"/>
  <c r="R163" i="549"/>
  <c r="Q163" i="549"/>
  <c r="P163" i="549"/>
  <c r="O163" i="549"/>
  <c r="R171" i="549" s="1"/>
  <c r="I163" i="549"/>
  <c r="G163" i="549"/>
  <c r="C529" i="549" s="1"/>
  <c r="H162" i="549"/>
  <c r="H161" i="549"/>
  <c r="H160" i="549"/>
  <c r="V159" i="549"/>
  <c r="W159" i="549" s="1"/>
  <c r="N159" i="549"/>
  <c r="K159" i="549"/>
  <c r="K159" i="549" a="1"/>
  <c r="J159" i="549"/>
  <c r="J159" i="549" a="1"/>
  <c r="H159" i="549"/>
  <c r="D159" i="549"/>
  <c r="W158" i="549"/>
  <c r="V158" i="549"/>
  <c r="N158" i="549"/>
  <c r="K158" i="549"/>
  <c r="M158" i="549" s="1"/>
  <c r="K158" i="549" a="1"/>
  <c r="J158" i="549"/>
  <c r="J158" i="549" a="1"/>
  <c r="H158" i="549"/>
  <c r="H157" i="549"/>
  <c r="H156" i="549"/>
  <c r="V155" i="549"/>
  <c r="W155" i="549" s="1"/>
  <c r="N155" i="549"/>
  <c r="K155" i="549" a="1"/>
  <c r="K155" i="549" s="1"/>
  <c r="M155" i="549" s="1"/>
  <c r="J155" i="549" a="1"/>
  <c r="J155" i="549" s="1"/>
  <c r="H155" i="549"/>
  <c r="W154" i="549"/>
  <c r="V154" i="549"/>
  <c r="N154" i="549"/>
  <c r="K154" i="549"/>
  <c r="M154" i="549" s="1"/>
  <c r="K154" i="549" a="1"/>
  <c r="J154" i="549"/>
  <c r="J154" i="549" a="1"/>
  <c r="H154" i="549"/>
  <c r="H153" i="549"/>
  <c r="W152" i="549"/>
  <c r="V152" i="549"/>
  <c r="N152" i="549"/>
  <c r="K152" i="549"/>
  <c r="M152" i="549" s="1"/>
  <c r="K152" i="549" a="1"/>
  <c r="J152" i="549"/>
  <c r="J152" i="549" a="1"/>
  <c r="H152" i="549"/>
  <c r="V151" i="549"/>
  <c r="W151" i="549" s="1"/>
  <c r="N151" i="549"/>
  <c r="K151" i="549" a="1"/>
  <c r="K151" i="549" s="1"/>
  <c r="M151" i="549" s="1"/>
  <c r="J151" i="549" a="1"/>
  <c r="J151" i="549" s="1"/>
  <c r="H151" i="549"/>
  <c r="W150" i="549"/>
  <c r="V150" i="549"/>
  <c r="N150" i="549"/>
  <c r="K150" i="549" a="1"/>
  <c r="K150" i="549" s="1"/>
  <c r="M150" i="549" s="1"/>
  <c r="J150" i="549" a="1"/>
  <c r="J150" i="549" s="1"/>
  <c r="H150" i="549"/>
  <c r="V149" i="549"/>
  <c r="V163" i="549" s="1"/>
  <c r="W163" i="549" s="1"/>
  <c r="N149" i="549"/>
  <c r="N163" i="549" s="1"/>
  <c r="K149" i="549" a="1"/>
  <c r="K149" i="549" s="1"/>
  <c r="J149" i="549" a="1"/>
  <c r="J149" i="549" s="1"/>
  <c r="H149" i="549"/>
  <c r="AA148" i="549"/>
  <c r="Z148" i="549"/>
  <c r="Y148" i="549"/>
  <c r="X148" i="549"/>
  <c r="U148" i="549"/>
  <c r="T148" i="549"/>
  <c r="S148" i="549"/>
  <c r="Q148" i="549"/>
  <c r="P148" i="549"/>
  <c r="O148" i="549"/>
  <c r="R170" i="549" s="1"/>
  <c r="I148" i="549"/>
  <c r="G148" i="549"/>
  <c r="C528" i="549" s="1"/>
  <c r="V147" i="549"/>
  <c r="W147" i="549" s="1"/>
  <c r="N147" i="549"/>
  <c r="K147" i="549" a="1"/>
  <c r="K147" i="549" s="1"/>
  <c r="M147" i="549" s="1"/>
  <c r="J147" i="549" a="1"/>
  <c r="J147" i="549" s="1"/>
  <c r="H147" i="549"/>
  <c r="K146" i="549" a="1"/>
  <c r="K146" i="549" s="1"/>
  <c r="H146" i="549"/>
  <c r="K145" i="549" a="1"/>
  <c r="K145" i="549" s="1"/>
  <c r="H145" i="549"/>
  <c r="K144" i="549" a="1"/>
  <c r="K144" i="549" s="1"/>
  <c r="H144" i="549"/>
  <c r="K143" i="549"/>
  <c r="K143" i="549" a="1"/>
  <c r="H143" i="549"/>
  <c r="V142" i="549"/>
  <c r="W142" i="549" s="1"/>
  <c r="N142" i="549"/>
  <c r="K142" i="549" a="1"/>
  <c r="K142" i="549" s="1"/>
  <c r="M142" i="549" s="1"/>
  <c r="J142" i="549" a="1"/>
  <c r="J142" i="549" s="1"/>
  <c r="H142" i="549"/>
  <c r="V141" i="549"/>
  <c r="W141" i="549" s="1"/>
  <c r="N141" i="549"/>
  <c r="K141" i="549" a="1"/>
  <c r="K141" i="549" s="1"/>
  <c r="M141" i="549" s="1"/>
  <c r="J141" i="549" a="1"/>
  <c r="J141" i="549" s="1"/>
  <c r="H141" i="549"/>
  <c r="V140" i="549"/>
  <c r="W140" i="549" s="1"/>
  <c r="N140" i="549"/>
  <c r="K140" i="549" a="1"/>
  <c r="K140" i="549" s="1"/>
  <c r="M140" i="549" s="1"/>
  <c r="J140" i="549" a="1"/>
  <c r="J140" i="549" s="1"/>
  <c r="H140" i="549"/>
  <c r="V139" i="549"/>
  <c r="W139" i="549" s="1"/>
  <c r="N139" i="549"/>
  <c r="K139" i="549"/>
  <c r="M139" i="549" s="1"/>
  <c r="K139" i="549" a="1"/>
  <c r="J139" i="549"/>
  <c r="J139" i="549" a="1"/>
  <c r="H139" i="549"/>
  <c r="V138" i="549"/>
  <c r="V148" i="549" s="1"/>
  <c r="W148" i="549" s="1"/>
  <c r="N138" i="549"/>
  <c r="N148" i="549" s="1"/>
  <c r="K138" i="549" a="1"/>
  <c r="K138" i="549" s="1"/>
  <c r="J138" i="549" a="1"/>
  <c r="J138" i="549" s="1"/>
  <c r="H138" i="549"/>
  <c r="H148" i="549" s="1"/>
  <c r="AA137" i="549"/>
  <c r="Z137" i="549"/>
  <c r="Y137" i="549"/>
  <c r="X137" i="549"/>
  <c r="U137" i="549"/>
  <c r="T137" i="549"/>
  <c r="S137" i="549"/>
  <c r="Q137" i="549"/>
  <c r="P137" i="549"/>
  <c r="O137" i="549"/>
  <c r="R169" i="549" s="1"/>
  <c r="I137" i="549"/>
  <c r="G137" i="549"/>
  <c r="C527" i="549" s="1"/>
  <c r="V136" i="549"/>
  <c r="W136" i="549" s="1"/>
  <c r="N136" i="549"/>
  <c r="K136" i="549" a="1"/>
  <c r="K136" i="549" s="1"/>
  <c r="M136" i="549" s="1"/>
  <c r="J136" i="549" a="1"/>
  <c r="J136" i="549" s="1"/>
  <c r="H136" i="549"/>
  <c r="V135" i="549"/>
  <c r="W135" i="549" s="1"/>
  <c r="N135" i="549"/>
  <c r="K135" i="549" a="1"/>
  <c r="K135" i="549" s="1"/>
  <c r="M135" i="549" s="1"/>
  <c r="J135" i="549" a="1"/>
  <c r="J135" i="549" s="1"/>
  <c r="H135" i="549"/>
  <c r="V134" i="549"/>
  <c r="W134" i="549" s="1"/>
  <c r="N134" i="549"/>
  <c r="K134" i="549" a="1"/>
  <c r="K134" i="549" s="1"/>
  <c r="M134" i="549" s="1"/>
  <c r="J134" i="549" a="1"/>
  <c r="J134" i="549" s="1"/>
  <c r="H134" i="549"/>
  <c r="V133" i="549"/>
  <c r="W133" i="549" s="1"/>
  <c r="N133" i="549"/>
  <c r="K133" i="549"/>
  <c r="M133" i="549" s="1"/>
  <c r="K133" i="549" a="1"/>
  <c r="J133" i="549"/>
  <c r="J133" i="549" a="1"/>
  <c r="H133" i="549"/>
  <c r="V132" i="549"/>
  <c r="W132" i="549" s="1"/>
  <c r="N132" i="549"/>
  <c r="K132" i="549" a="1"/>
  <c r="K132" i="549" s="1"/>
  <c r="M132" i="549" s="1"/>
  <c r="J132" i="549" a="1"/>
  <c r="J132" i="549" s="1"/>
  <c r="H132" i="549"/>
  <c r="W131" i="549"/>
  <c r="V131" i="549"/>
  <c r="N131" i="549"/>
  <c r="K131" i="549" a="1"/>
  <c r="K131" i="549" s="1"/>
  <c r="M131" i="549" s="1"/>
  <c r="J131" i="549" a="1"/>
  <c r="J131" i="549" s="1"/>
  <c r="H131" i="549"/>
  <c r="V130" i="549"/>
  <c r="W130" i="549" s="1"/>
  <c r="N130" i="549"/>
  <c r="K130" i="549" a="1"/>
  <c r="K130" i="549" s="1"/>
  <c r="M130" i="549" s="1"/>
  <c r="J130" i="549" a="1"/>
  <c r="J130" i="549" s="1"/>
  <c r="H130" i="549"/>
  <c r="V129" i="549"/>
  <c r="W129" i="549" s="1"/>
  <c r="N129" i="549"/>
  <c r="K129" i="549"/>
  <c r="M129" i="549" s="1"/>
  <c r="K129" i="549" a="1"/>
  <c r="J129" i="549"/>
  <c r="J129" i="549" a="1"/>
  <c r="H129" i="549"/>
  <c r="V128" i="549"/>
  <c r="W128" i="549" s="1"/>
  <c r="N128" i="549"/>
  <c r="K128" i="549" a="1"/>
  <c r="K128" i="549" s="1"/>
  <c r="M128" i="549" s="1"/>
  <c r="J128" i="549" a="1"/>
  <c r="J128" i="549" s="1"/>
  <c r="H128" i="549"/>
  <c r="W127" i="549"/>
  <c r="V127" i="549"/>
  <c r="N127" i="549"/>
  <c r="K127" i="549" a="1"/>
  <c r="K127" i="549" s="1"/>
  <c r="M127" i="549" s="1"/>
  <c r="J127" i="549" a="1"/>
  <c r="J127" i="549" s="1"/>
  <c r="H127" i="549"/>
  <c r="V126" i="549"/>
  <c r="W126" i="549" s="1"/>
  <c r="N126" i="549"/>
  <c r="K126" i="549" a="1"/>
  <c r="K126" i="549" s="1"/>
  <c r="M126" i="549" s="1"/>
  <c r="J126" i="549" a="1"/>
  <c r="J126" i="549" s="1"/>
  <c r="H126" i="549"/>
  <c r="V125" i="549"/>
  <c r="W125" i="549" s="1"/>
  <c r="N125" i="549"/>
  <c r="K125" i="549"/>
  <c r="M125" i="549" s="1"/>
  <c r="K125" i="549" a="1"/>
  <c r="J125" i="549"/>
  <c r="J125" i="549" a="1"/>
  <c r="H125" i="549"/>
  <c r="V124" i="549"/>
  <c r="W124" i="549" s="1"/>
  <c r="N124" i="549"/>
  <c r="K124" i="549" a="1"/>
  <c r="K124" i="549" s="1"/>
  <c r="M124" i="549" s="1"/>
  <c r="J124" i="549" a="1"/>
  <c r="J124" i="549" s="1"/>
  <c r="H124" i="549"/>
  <c r="W123" i="549"/>
  <c r="V123" i="549"/>
  <c r="N123" i="549"/>
  <c r="K123" i="549" a="1"/>
  <c r="K123" i="549" s="1"/>
  <c r="M123" i="549" s="1"/>
  <c r="J123" i="549" a="1"/>
  <c r="J123" i="549" s="1"/>
  <c r="H123" i="549"/>
  <c r="V122" i="549"/>
  <c r="W122" i="549" s="1"/>
  <c r="N122" i="549"/>
  <c r="K122" i="549" a="1"/>
  <c r="K122" i="549" s="1"/>
  <c r="J122" i="549" a="1"/>
  <c r="J122" i="549" s="1"/>
  <c r="H122" i="549"/>
  <c r="H137" i="549" s="1"/>
  <c r="AA121" i="549"/>
  <c r="Z121" i="549"/>
  <c r="Y121" i="549"/>
  <c r="X121" i="549"/>
  <c r="U121" i="549"/>
  <c r="T121" i="549"/>
  <c r="S121" i="549"/>
  <c r="R121" i="549"/>
  <c r="Q121" i="549"/>
  <c r="P121" i="549"/>
  <c r="O121" i="549"/>
  <c r="R168" i="549" s="1"/>
  <c r="I121" i="549"/>
  <c r="G121" i="549"/>
  <c r="C526" i="549" s="1"/>
  <c r="V120" i="549"/>
  <c r="W120" i="549" s="1"/>
  <c r="N120" i="549"/>
  <c r="K120" i="549" a="1"/>
  <c r="K120" i="549" s="1"/>
  <c r="M120" i="549" s="1"/>
  <c r="J120" i="549" a="1"/>
  <c r="J120" i="549" s="1"/>
  <c r="H120" i="549"/>
  <c r="V119" i="549"/>
  <c r="W119" i="549" s="1"/>
  <c r="N119" i="549"/>
  <c r="K119" i="549" a="1"/>
  <c r="K119" i="549" s="1"/>
  <c r="M119" i="549" s="1"/>
  <c r="J119" i="549" a="1"/>
  <c r="J119" i="549" s="1"/>
  <c r="H119" i="549"/>
  <c r="V118" i="549"/>
  <c r="W118" i="549" s="1"/>
  <c r="N118" i="549"/>
  <c r="K118" i="549" a="1"/>
  <c r="K118" i="549" s="1"/>
  <c r="M118" i="549" s="1"/>
  <c r="J118" i="549" a="1"/>
  <c r="J118" i="549" s="1"/>
  <c r="H118" i="549"/>
  <c r="K117" i="549" a="1"/>
  <c r="K117" i="549" s="1"/>
  <c r="H117" i="549"/>
  <c r="K116" i="549" a="1"/>
  <c r="K116" i="549" s="1"/>
  <c r="H116" i="549"/>
  <c r="K115" i="549"/>
  <c r="K115" i="549" a="1"/>
  <c r="H115" i="549"/>
  <c r="V114" i="549"/>
  <c r="W114" i="549" s="1"/>
  <c r="N114" i="549"/>
  <c r="K114" i="549" a="1"/>
  <c r="K114" i="549" s="1"/>
  <c r="M114" i="549" s="1"/>
  <c r="J114" i="549" a="1"/>
  <c r="J114" i="549" s="1"/>
  <c r="H114" i="549"/>
  <c r="V113" i="549"/>
  <c r="W113" i="549" s="1"/>
  <c r="N113" i="549"/>
  <c r="K113" i="549"/>
  <c r="M113" i="549" s="1"/>
  <c r="K113" i="549" a="1"/>
  <c r="J113" i="549" a="1"/>
  <c r="J113" i="549" s="1"/>
  <c r="H113" i="549"/>
  <c r="N112" i="549"/>
  <c r="K112" i="549" a="1"/>
  <c r="K112" i="549" s="1"/>
  <c r="M112" i="549" s="1"/>
  <c r="H112" i="549"/>
  <c r="N111" i="549"/>
  <c r="K111" i="549" a="1"/>
  <c r="K111" i="549" s="1"/>
  <c r="M111" i="549" s="1"/>
  <c r="H111" i="549"/>
  <c r="N110" i="549"/>
  <c r="K110" i="549" a="1"/>
  <c r="K110" i="549" s="1"/>
  <c r="M110" i="549" s="1"/>
  <c r="H110" i="549"/>
  <c r="N109" i="549"/>
  <c r="K109" i="549" a="1"/>
  <c r="K109" i="549" s="1"/>
  <c r="M109" i="549" s="1"/>
  <c r="H109" i="549"/>
  <c r="N108" i="549"/>
  <c r="K108" i="549" a="1"/>
  <c r="K108" i="549" s="1"/>
  <c r="M108" i="549" s="1"/>
  <c r="H108" i="549"/>
  <c r="N107" i="549"/>
  <c r="K107" i="549" a="1"/>
  <c r="K107" i="549" s="1"/>
  <c r="M107" i="549" s="1"/>
  <c r="H107" i="549"/>
  <c r="V106" i="549"/>
  <c r="W106" i="549" s="1"/>
  <c r="N106" i="549"/>
  <c r="K106" i="549" a="1"/>
  <c r="K106" i="549" s="1"/>
  <c r="M106" i="549" s="1"/>
  <c r="J106" i="549" a="1"/>
  <c r="J106" i="549" s="1"/>
  <c r="H106" i="549"/>
  <c r="V105" i="549"/>
  <c r="W105" i="549" s="1"/>
  <c r="N105" i="549"/>
  <c r="K105" i="549"/>
  <c r="M105" i="549" s="1"/>
  <c r="K105" i="549" a="1"/>
  <c r="J105" i="549"/>
  <c r="J105" i="549" a="1"/>
  <c r="H105" i="549"/>
  <c r="V104" i="549"/>
  <c r="W104" i="549" s="1"/>
  <c r="N104" i="549"/>
  <c r="K104" i="549" a="1"/>
  <c r="K104" i="549" s="1"/>
  <c r="M104" i="549" s="1"/>
  <c r="J104" i="549" a="1"/>
  <c r="J104" i="549" s="1"/>
  <c r="H104" i="549"/>
  <c r="V103" i="549"/>
  <c r="W103" i="549" s="1"/>
  <c r="N103" i="549"/>
  <c r="K103" i="549" a="1"/>
  <c r="K103" i="549" s="1"/>
  <c r="M103" i="549" s="1"/>
  <c r="J103" i="549" a="1"/>
  <c r="J103" i="549" s="1"/>
  <c r="H103" i="549"/>
  <c r="V102" i="549"/>
  <c r="W102" i="549" s="1"/>
  <c r="N102" i="549"/>
  <c r="K102" i="549" a="1"/>
  <c r="K102" i="549" s="1"/>
  <c r="M102" i="549" s="1"/>
  <c r="J102" i="549" a="1"/>
  <c r="J102" i="549" s="1"/>
  <c r="H102" i="549"/>
  <c r="V101" i="549"/>
  <c r="W101" i="549" s="1"/>
  <c r="N101" i="549"/>
  <c r="K101" i="549"/>
  <c r="M101" i="549" s="1"/>
  <c r="K101" i="549" a="1"/>
  <c r="J101" i="549"/>
  <c r="J101" i="549" a="1"/>
  <c r="H101" i="549"/>
  <c r="V100" i="549"/>
  <c r="W100" i="549" s="1"/>
  <c r="N100" i="549"/>
  <c r="K100" i="549" a="1"/>
  <c r="K100" i="549" s="1"/>
  <c r="M100" i="549" s="1"/>
  <c r="J100" i="549" a="1"/>
  <c r="J100" i="549" s="1"/>
  <c r="H100" i="549"/>
  <c r="W99" i="549"/>
  <c r="V99" i="549"/>
  <c r="N99" i="549"/>
  <c r="K99" i="549" a="1"/>
  <c r="K99" i="549" s="1"/>
  <c r="M99" i="549" s="1"/>
  <c r="J99" i="549" a="1"/>
  <c r="J99" i="549" s="1"/>
  <c r="H99" i="549"/>
  <c r="V98" i="549"/>
  <c r="W98" i="549" s="1"/>
  <c r="N98" i="549"/>
  <c r="K98" i="549" a="1"/>
  <c r="K98" i="549" s="1"/>
  <c r="M98" i="549" s="1"/>
  <c r="J98" i="549" a="1"/>
  <c r="J98" i="549" s="1"/>
  <c r="H98" i="549"/>
  <c r="V97" i="549"/>
  <c r="W97" i="549" s="1"/>
  <c r="N97" i="549"/>
  <c r="K97" i="549"/>
  <c r="M97" i="549" s="1"/>
  <c r="K97" i="549" a="1"/>
  <c r="J97" i="549"/>
  <c r="J97" i="549" a="1"/>
  <c r="H97" i="549"/>
  <c r="V96" i="549"/>
  <c r="W96" i="549" s="1"/>
  <c r="N96" i="549"/>
  <c r="K96" i="549" a="1"/>
  <c r="K96" i="549" s="1"/>
  <c r="M96" i="549" s="1"/>
  <c r="J96" i="549" a="1"/>
  <c r="J96" i="549" s="1"/>
  <c r="H96" i="549"/>
  <c r="W95" i="549"/>
  <c r="V95" i="549"/>
  <c r="N95" i="549"/>
  <c r="K95" i="549" a="1"/>
  <c r="K95" i="549" s="1"/>
  <c r="M95" i="549" s="1"/>
  <c r="J95" i="549" a="1"/>
  <c r="J95" i="549" s="1"/>
  <c r="H95" i="549"/>
  <c r="K94" i="549"/>
  <c r="M94" i="549" s="1"/>
  <c r="K94" i="549" a="1"/>
  <c r="H94" i="549"/>
  <c r="V93" i="549"/>
  <c r="W93" i="549" s="1"/>
  <c r="N93" i="549"/>
  <c r="K93" i="549" a="1"/>
  <c r="K93" i="549" s="1"/>
  <c r="M93" i="549" s="1"/>
  <c r="J93" i="549" a="1"/>
  <c r="J93" i="549" s="1"/>
  <c r="H93" i="549"/>
  <c r="W92" i="549"/>
  <c r="V92" i="549"/>
  <c r="N92" i="549"/>
  <c r="K92" i="549" a="1"/>
  <c r="K92" i="549" s="1"/>
  <c r="M92" i="549" s="1"/>
  <c r="J92" i="549" a="1"/>
  <c r="J92" i="549" s="1"/>
  <c r="H92" i="549"/>
  <c r="V91" i="549"/>
  <c r="W91" i="549" s="1"/>
  <c r="N91" i="549"/>
  <c r="K91" i="549" a="1"/>
  <c r="K91" i="549" s="1"/>
  <c r="M91" i="549" s="1"/>
  <c r="J91" i="549" a="1"/>
  <c r="J91" i="549" s="1"/>
  <c r="H91" i="549"/>
  <c r="V90" i="549"/>
  <c r="W90" i="549" s="1"/>
  <c r="N90" i="549"/>
  <c r="K90" i="549"/>
  <c r="M90" i="549" s="1"/>
  <c r="K90" i="549" a="1"/>
  <c r="J90" i="549"/>
  <c r="J90" i="549" a="1"/>
  <c r="H90" i="549"/>
  <c r="V89" i="549"/>
  <c r="W89" i="549" s="1"/>
  <c r="N89" i="549"/>
  <c r="K89" i="549" a="1"/>
  <c r="K89" i="549" s="1"/>
  <c r="M89" i="549" s="1"/>
  <c r="J89" i="549" a="1"/>
  <c r="J89" i="549" s="1"/>
  <c r="H89" i="549"/>
  <c r="W88" i="549"/>
  <c r="V88" i="549"/>
  <c r="N88" i="549"/>
  <c r="K88" i="549" a="1"/>
  <c r="K88" i="549" s="1"/>
  <c r="M88" i="549" s="1"/>
  <c r="J88" i="549" a="1"/>
  <c r="J88" i="549" s="1"/>
  <c r="H88" i="549"/>
  <c r="V87" i="549"/>
  <c r="V121" i="549" s="1"/>
  <c r="W121" i="549" s="1"/>
  <c r="N87" i="549"/>
  <c r="K87" i="549" a="1"/>
  <c r="K87" i="549" s="1"/>
  <c r="J87" i="549" a="1"/>
  <c r="J87" i="549" s="1"/>
  <c r="H87" i="549"/>
  <c r="H121" i="549" s="1"/>
  <c r="AA86" i="549"/>
  <c r="Z86" i="549"/>
  <c r="Y86" i="549"/>
  <c r="X86" i="549"/>
  <c r="U86" i="549"/>
  <c r="T86" i="549"/>
  <c r="S86" i="549"/>
  <c r="R86" i="549"/>
  <c r="Q86" i="549"/>
  <c r="P86" i="549"/>
  <c r="O86" i="549"/>
  <c r="R167" i="549" s="1"/>
  <c r="I86" i="549"/>
  <c r="G86" i="549"/>
  <c r="C525" i="549" s="1"/>
  <c r="K85" i="549" a="1"/>
  <c r="K85" i="549" s="1"/>
  <c r="H85" i="549"/>
  <c r="K84" i="549"/>
  <c r="K84" i="549" a="1"/>
  <c r="H84" i="549"/>
  <c r="K83" i="549" a="1"/>
  <c r="K83" i="549" s="1"/>
  <c r="H83" i="549"/>
  <c r="K82" i="549" a="1"/>
  <c r="K82" i="549" s="1"/>
  <c r="H82" i="549"/>
  <c r="K81" i="549" a="1"/>
  <c r="K81" i="549" s="1"/>
  <c r="H81" i="549"/>
  <c r="K80" i="549" a="1"/>
  <c r="K80" i="549" s="1"/>
  <c r="H80" i="549"/>
  <c r="K79" i="549" a="1"/>
  <c r="K79" i="549" s="1"/>
  <c r="M79" i="549" s="1"/>
  <c r="H79" i="549"/>
  <c r="K78" i="549" a="1"/>
  <c r="K78" i="549" s="1"/>
  <c r="M78" i="549" s="1"/>
  <c r="H78" i="549"/>
  <c r="K77" i="549" a="1"/>
  <c r="K77" i="549" s="1"/>
  <c r="M77" i="549" s="1"/>
  <c r="H77" i="549"/>
  <c r="K76" i="549" a="1"/>
  <c r="K76" i="549" s="1"/>
  <c r="M76" i="549" s="1"/>
  <c r="H76" i="549"/>
  <c r="W75" i="549"/>
  <c r="V75" i="549"/>
  <c r="N75" i="549"/>
  <c r="K75" i="549" a="1"/>
  <c r="K75" i="549" s="1"/>
  <c r="M75" i="549" s="1"/>
  <c r="J75" i="549" a="1"/>
  <c r="J75" i="549" s="1"/>
  <c r="H75" i="549"/>
  <c r="V74" i="549"/>
  <c r="W74" i="549" s="1"/>
  <c r="N74" i="549"/>
  <c r="K74" i="549"/>
  <c r="M74" i="549" s="1"/>
  <c r="K74" i="549" a="1"/>
  <c r="J74" i="549" a="1"/>
  <c r="J74" i="549" s="1"/>
  <c r="H74" i="549"/>
  <c r="W73" i="549"/>
  <c r="V73" i="549"/>
  <c r="N73" i="549"/>
  <c r="K73" i="549" a="1"/>
  <c r="K73" i="549" s="1"/>
  <c r="M73" i="549" s="1"/>
  <c r="J73" i="549" a="1"/>
  <c r="J73" i="549" s="1"/>
  <c r="H73" i="549"/>
  <c r="V72" i="549"/>
  <c r="W72" i="549" s="1"/>
  <c r="N72" i="549"/>
  <c r="K72" i="549"/>
  <c r="M72" i="549" s="1"/>
  <c r="K72" i="549" a="1"/>
  <c r="J72" i="549" a="1"/>
  <c r="J72" i="549" s="1"/>
  <c r="H72" i="549"/>
  <c r="H71" i="549"/>
  <c r="V70" i="549"/>
  <c r="W70" i="549" s="1"/>
  <c r="N70" i="549"/>
  <c r="K70" i="549" a="1"/>
  <c r="K70" i="549" s="1"/>
  <c r="M70" i="549" s="1"/>
  <c r="J70" i="549" a="1"/>
  <c r="J70" i="549" s="1"/>
  <c r="H70" i="549"/>
  <c r="W69" i="549"/>
  <c r="V69" i="549"/>
  <c r="N69" i="549"/>
  <c r="K69" i="549"/>
  <c r="M69" i="549" s="1"/>
  <c r="K69" i="549" a="1"/>
  <c r="J69" i="549" a="1"/>
  <c r="J69" i="549" s="1"/>
  <c r="H69" i="549"/>
  <c r="K68" i="549" a="1"/>
  <c r="K68" i="549" s="1"/>
  <c r="H68" i="549"/>
  <c r="K67" i="549" a="1"/>
  <c r="K67" i="549" s="1"/>
  <c r="H67" i="549"/>
  <c r="V66" i="549"/>
  <c r="W66" i="549" s="1"/>
  <c r="N66" i="549"/>
  <c r="K66" i="549" a="1"/>
  <c r="K66" i="549" s="1"/>
  <c r="M66" i="549" s="1"/>
  <c r="J66" i="549" a="1"/>
  <c r="J66" i="549" s="1"/>
  <c r="H66" i="549"/>
  <c r="V65" i="549"/>
  <c r="W65" i="549" s="1"/>
  <c r="N65" i="549"/>
  <c r="K65" i="549"/>
  <c r="M65" i="549" s="1"/>
  <c r="K65" i="549" a="1"/>
  <c r="J65" i="549" a="1"/>
  <c r="J65" i="549" s="1"/>
  <c r="H65" i="549"/>
  <c r="V64" i="549"/>
  <c r="W64" i="549" s="1"/>
  <c r="N64" i="549"/>
  <c r="K64" i="549" a="1"/>
  <c r="K64" i="549" s="1"/>
  <c r="M64" i="549" s="1"/>
  <c r="J64" i="549" a="1"/>
  <c r="J64" i="549" s="1"/>
  <c r="H64" i="549"/>
  <c r="V63" i="549"/>
  <c r="W63" i="549" s="1"/>
  <c r="N63" i="549"/>
  <c r="K63" i="549" a="1"/>
  <c r="K63" i="549" s="1"/>
  <c r="M63" i="549" s="1"/>
  <c r="J63" i="549" a="1"/>
  <c r="J63" i="549" s="1"/>
  <c r="H63" i="549"/>
  <c r="V62" i="549"/>
  <c r="W62" i="549" s="1"/>
  <c r="N62" i="549"/>
  <c r="K62" i="549" a="1"/>
  <c r="K62" i="549" s="1"/>
  <c r="M62" i="549" s="1"/>
  <c r="J62" i="549" a="1"/>
  <c r="J62" i="549" s="1"/>
  <c r="H62" i="549"/>
  <c r="V61" i="549"/>
  <c r="W61" i="549" s="1"/>
  <c r="N61" i="549"/>
  <c r="K61" i="549"/>
  <c r="M61" i="549" s="1"/>
  <c r="K61" i="549" a="1"/>
  <c r="J61" i="549"/>
  <c r="J61" i="549" a="1"/>
  <c r="H61" i="549"/>
  <c r="V60" i="549"/>
  <c r="W60" i="549" s="1"/>
  <c r="N60" i="549"/>
  <c r="K60" i="549" a="1"/>
  <c r="K60" i="549" s="1"/>
  <c r="M60" i="549" s="1"/>
  <c r="J60" i="549" a="1"/>
  <c r="J60" i="549" s="1"/>
  <c r="H60" i="549"/>
  <c r="V59" i="549"/>
  <c r="W59" i="549" s="1"/>
  <c r="N59" i="549"/>
  <c r="K59" i="549" a="1"/>
  <c r="K59" i="549" s="1"/>
  <c r="M59" i="549" s="1"/>
  <c r="J59" i="549" a="1"/>
  <c r="J59" i="549" s="1"/>
  <c r="H59" i="549"/>
  <c r="V58" i="549"/>
  <c r="W58" i="549" s="1"/>
  <c r="N58" i="549"/>
  <c r="K58" i="549" a="1"/>
  <c r="K58" i="549" s="1"/>
  <c r="M58" i="549" s="1"/>
  <c r="J58" i="549" a="1"/>
  <c r="J58" i="549" s="1"/>
  <c r="H58" i="549"/>
  <c r="V57" i="549"/>
  <c r="W57" i="549" s="1"/>
  <c r="N57" i="549"/>
  <c r="K57" i="549" a="1"/>
  <c r="K57" i="549" s="1"/>
  <c r="M57" i="549" s="1"/>
  <c r="J57" i="549" a="1"/>
  <c r="J57" i="549" s="1"/>
  <c r="H57" i="549"/>
  <c r="K56" i="549"/>
  <c r="M56" i="549" s="1"/>
  <c r="K56" i="549" a="1"/>
  <c r="H56" i="549"/>
  <c r="K55" i="549" a="1"/>
  <c r="K55" i="549" s="1"/>
  <c r="M55" i="549" s="1"/>
  <c r="H55" i="549"/>
  <c r="K54" i="549" a="1"/>
  <c r="K54" i="549" s="1"/>
  <c r="M54" i="549" s="1"/>
  <c r="H54" i="549"/>
  <c r="K53" i="549" a="1"/>
  <c r="K53" i="549" s="1"/>
  <c r="M53" i="549" s="1"/>
  <c r="H53" i="549"/>
  <c r="N52" i="549"/>
  <c r="K52" i="549" a="1"/>
  <c r="K52" i="549" s="1"/>
  <c r="M52" i="549" s="1"/>
  <c r="H52" i="549"/>
  <c r="N51" i="549"/>
  <c r="K51" i="549" a="1"/>
  <c r="K51" i="549" s="1"/>
  <c r="M51" i="549" s="1"/>
  <c r="H51" i="549"/>
  <c r="N50" i="549"/>
  <c r="K50" i="549"/>
  <c r="M50" i="549" s="1"/>
  <c r="K50" i="549" a="1"/>
  <c r="H50" i="549"/>
  <c r="N49" i="549"/>
  <c r="K49" i="549" a="1"/>
  <c r="K49" i="549" s="1"/>
  <c r="M49" i="549" s="1"/>
  <c r="H49" i="549"/>
  <c r="W48" i="549"/>
  <c r="V48" i="549"/>
  <c r="N48" i="549"/>
  <c r="K48" i="549" a="1"/>
  <c r="K48" i="549" s="1"/>
  <c r="M48" i="549" s="1"/>
  <c r="J48" i="549" a="1"/>
  <c r="J48" i="549" s="1"/>
  <c r="H48" i="549"/>
  <c r="V47" i="549"/>
  <c r="W47" i="549" s="1"/>
  <c r="N47" i="549"/>
  <c r="K47" i="549" a="1"/>
  <c r="K47" i="549" s="1"/>
  <c r="M47" i="549" s="1"/>
  <c r="J47" i="549" a="1"/>
  <c r="J47" i="549" s="1"/>
  <c r="H47" i="549"/>
  <c r="V46" i="549"/>
  <c r="W46" i="549" s="1"/>
  <c r="N46" i="549"/>
  <c r="K46" i="549"/>
  <c r="M46" i="549" s="1"/>
  <c r="K46" i="549" a="1"/>
  <c r="J46" i="549"/>
  <c r="J46" i="549" a="1"/>
  <c r="H46" i="549"/>
  <c r="V45" i="549"/>
  <c r="W45" i="549" s="1"/>
  <c r="N45" i="549"/>
  <c r="K45" i="549" a="1"/>
  <c r="K45" i="549" s="1"/>
  <c r="M45" i="549" s="1"/>
  <c r="J45" i="549" a="1"/>
  <c r="J45" i="549" s="1"/>
  <c r="H45" i="549"/>
  <c r="W44" i="549"/>
  <c r="V44" i="549"/>
  <c r="N44" i="549"/>
  <c r="K44" i="549" a="1"/>
  <c r="K44" i="549" s="1"/>
  <c r="M44" i="549" s="1"/>
  <c r="J44" i="549" a="1"/>
  <c r="J44" i="549" s="1"/>
  <c r="H44" i="549"/>
  <c r="V43" i="549"/>
  <c r="W43" i="549" s="1"/>
  <c r="N43" i="549"/>
  <c r="K43" i="549" a="1"/>
  <c r="K43" i="549" s="1"/>
  <c r="M43" i="549" s="1"/>
  <c r="J43" i="549" a="1"/>
  <c r="J43" i="549" s="1"/>
  <c r="H43" i="549"/>
  <c r="V42" i="549"/>
  <c r="W42" i="549" s="1"/>
  <c r="N42" i="549"/>
  <c r="K42" i="549" a="1"/>
  <c r="K42" i="549" s="1"/>
  <c r="M42" i="549" s="1"/>
  <c r="J42" i="549" a="1"/>
  <c r="J42" i="549" s="1"/>
  <c r="H42" i="549"/>
  <c r="V41" i="549"/>
  <c r="W41" i="549" s="1"/>
  <c r="N41" i="549"/>
  <c r="K41" i="549" a="1"/>
  <c r="K41" i="549" s="1"/>
  <c r="M41" i="549" s="1"/>
  <c r="J41" i="549" a="1"/>
  <c r="J41" i="549" s="1"/>
  <c r="H41" i="549"/>
  <c r="V40" i="549"/>
  <c r="W40" i="549" s="1"/>
  <c r="N40" i="549"/>
  <c r="K40" i="549"/>
  <c r="M40" i="549" s="1"/>
  <c r="K40" i="549" a="1"/>
  <c r="J40" i="549"/>
  <c r="J40" i="549" a="1"/>
  <c r="H40" i="549"/>
  <c r="V39" i="549"/>
  <c r="W39" i="549" s="1"/>
  <c r="N39" i="549"/>
  <c r="K39" i="549" a="1"/>
  <c r="K39" i="549" s="1"/>
  <c r="M39" i="549" s="1"/>
  <c r="J39" i="549" a="1"/>
  <c r="J39" i="549" s="1"/>
  <c r="H39" i="549"/>
  <c r="V38" i="549"/>
  <c r="W38" i="549" s="1"/>
  <c r="N38" i="549"/>
  <c r="K38" i="549"/>
  <c r="M38" i="549" s="1"/>
  <c r="K38" i="549" a="1"/>
  <c r="J38" i="549" a="1"/>
  <c r="J38" i="549" s="1"/>
  <c r="H38" i="549"/>
  <c r="V37" i="549"/>
  <c r="W37" i="549" s="1"/>
  <c r="N37" i="549"/>
  <c r="K37" i="549" a="1"/>
  <c r="K37" i="549" s="1"/>
  <c r="M37" i="549" s="1"/>
  <c r="J37" i="549" a="1"/>
  <c r="J37" i="549" s="1"/>
  <c r="H37" i="549"/>
  <c r="H36" i="549"/>
  <c r="H35" i="549"/>
  <c r="H34" i="549"/>
  <c r="V33" i="549"/>
  <c r="W33" i="549" s="1"/>
  <c r="N33" i="549"/>
  <c r="K33" i="549" a="1"/>
  <c r="K33" i="549" s="1"/>
  <c r="M33" i="549" s="1"/>
  <c r="J33" i="549" a="1"/>
  <c r="J33" i="549" s="1"/>
  <c r="H33" i="549"/>
  <c r="V32" i="549"/>
  <c r="W32" i="549" s="1"/>
  <c r="N32" i="549"/>
  <c r="K32" i="549"/>
  <c r="M32" i="549" s="1"/>
  <c r="K32" i="549" a="1"/>
  <c r="J32" i="549"/>
  <c r="J32" i="549" a="1"/>
  <c r="H32" i="549"/>
  <c r="V31" i="549"/>
  <c r="W31" i="549" s="1"/>
  <c r="N31" i="549"/>
  <c r="K31" i="549" a="1"/>
  <c r="K31" i="549" s="1"/>
  <c r="M31" i="549" s="1"/>
  <c r="J31" i="549" a="1"/>
  <c r="J31" i="549" s="1"/>
  <c r="H31" i="549"/>
  <c r="K30" i="549" a="1"/>
  <c r="K30" i="549" s="1"/>
  <c r="H30" i="549"/>
  <c r="V29" i="549"/>
  <c r="V86" i="549" s="1"/>
  <c r="W86" i="549" s="1"/>
  <c r="N29" i="549"/>
  <c r="K29" i="549" a="1"/>
  <c r="K29" i="549" s="1"/>
  <c r="J29" i="549" a="1"/>
  <c r="J29" i="549" s="1"/>
  <c r="H29" i="549"/>
  <c r="H86" i="549" s="1"/>
  <c r="AA28" i="549"/>
  <c r="AA164" i="549" s="1"/>
  <c r="Z28" i="549"/>
  <c r="Z164" i="549" s="1"/>
  <c r="Y28" i="549"/>
  <c r="Y164" i="549" s="1"/>
  <c r="X28" i="549"/>
  <c r="X164" i="549" s="1"/>
  <c r="U28" i="549"/>
  <c r="U164" i="549" s="1"/>
  <c r="T28" i="549"/>
  <c r="T164" i="549" s="1"/>
  <c r="S28" i="549"/>
  <c r="S164" i="549" s="1"/>
  <c r="R28" i="549"/>
  <c r="R164" i="549" s="1"/>
  <c r="Q28" i="549"/>
  <c r="Q164" i="549" s="1"/>
  <c r="P28" i="549"/>
  <c r="X167" i="549" s="1"/>
  <c r="O28" i="549"/>
  <c r="R166" i="549" s="1"/>
  <c r="I28" i="549"/>
  <c r="I164" i="549" s="1"/>
  <c r="B172" i="549" s="1"/>
  <c r="G28" i="549"/>
  <c r="C524" i="549" s="1"/>
  <c r="V27" i="549"/>
  <c r="W27" i="549" s="1"/>
  <c r="N27" i="549"/>
  <c r="K27" i="549" a="1"/>
  <c r="K27" i="549" s="1"/>
  <c r="M27" i="549" s="1"/>
  <c r="J27" i="549" a="1"/>
  <c r="J27" i="549" s="1"/>
  <c r="H27" i="549"/>
  <c r="V26" i="549"/>
  <c r="W26" i="549" s="1"/>
  <c r="N26" i="549"/>
  <c r="K26" i="549"/>
  <c r="M26" i="549" s="1"/>
  <c r="K26" i="549" a="1"/>
  <c r="J26" i="549" a="1"/>
  <c r="J26" i="549" s="1"/>
  <c r="H26" i="549"/>
  <c r="K25" i="549" a="1"/>
  <c r="K25" i="549" s="1"/>
  <c r="M25" i="549" s="1"/>
  <c r="J25" i="549" a="1"/>
  <c r="J25" i="549" s="1"/>
  <c r="H25" i="549"/>
  <c r="K24" i="549"/>
  <c r="M24" i="549" s="1"/>
  <c r="K24" i="549" a="1"/>
  <c r="J24" i="549"/>
  <c r="J24" i="549" a="1"/>
  <c r="H24" i="549"/>
  <c r="K23" i="549" a="1"/>
  <c r="K23" i="549" s="1"/>
  <c r="M23" i="549" s="1"/>
  <c r="J23" i="549" a="1"/>
  <c r="J23" i="549" s="1"/>
  <c r="H23" i="549"/>
  <c r="K22" i="549" a="1"/>
  <c r="K22" i="549" s="1"/>
  <c r="M22" i="549" s="1"/>
  <c r="J22" i="549" a="1"/>
  <c r="J22" i="549" s="1"/>
  <c r="H22" i="549"/>
  <c r="V21" i="549"/>
  <c r="W21" i="549" s="1"/>
  <c r="N21" i="549"/>
  <c r="K21" i="549" a="1"/>
  <c r="K21" i="549" s="1"/>
  <c r="M21" i="549" s="1"/>
  <c r="J21" i="549" a="1"/>
  <c r="J21" i="549" s="1"/>
  <c r="H21" i="549"/>
  <c r="V20" i="549"/>
  <c r="W20" i="549" s="1"/>
  <c r="N20" i="549"/>
  <c r="K20" i="549" a="1"/>
  <c r="K20" i="549" s="1"/>
  <c r="M20" i="549" s="1"/>
  <c r="J20" i="549" a="1"/>
  <c r="J20" i="549" s="1"/>
  <c r="H20" i="549"/>
  <c r="W19" i="549"/>
  <c r="V19" i="549"/>
  <c r="N19" i="549"/>
  <c r="K19" i="549" a="1"/>
  <c r="K19" i="549" s="1"/>
  <c r="M19" i="549" s="1"/>
  <c r="J19" i="549" a="1"/>
  <c r="J19" i="549" s="1"/>
  <c r="H19" i="549"/>
  <c r="N18" i="549"/>
  <c r="K18" i="549" a="1"/>
  <c r="K18" i="549" s="1"/>
  <c r="M18" i="549" s="1"/>
  <c r="J18" i="549" a="1"/>
  <c r="J18" i="549" s="1"/>
  <c r="H18" i="549"/>
  <c r="N17" i="549"/>
  <c r="K17" i="549" a="1"/>
  <c r="K17" i="549" s="1"/>
  <c r="M17" i="549" s="1"/>
  <c r="J17" i="549" a="1"/>
  <c r="J17" i="549" s="1"/>
  <c r="H17" i="549"/>
  <c r="V16" i="549"/>
  <c r="W16" i="549" s="1"/>
  <c r="N16" i="549"/>
  <c r="K16" i="549" a="1"/>
  <c r="K16" i="549" s="1"/>
  <c r="M16" i="549" s="1"/>
  <c r="J16" i="549" a="1"/>
  <c r="J16" i="549" s="1"/>
  <c r="H16" i="549"/>
  <c r="W15" i="549"/>
  <c r="V15" i="549"/>
  <c r="N15" i="549"/>
  <c r="K15" i="549" a="1"/>
  <c r="K15" i="549" s="1"/>
  <c r="M15" i="549" s="1"/>
  <c r="J15" i="549" a="1"/>
  <c r="J15" i="549" s="1"/>
  <c r="H15" i="549"/>
  <c r="N14" i="549"/>
  <c r="K14" i="549" a="1"/>
  <c r="K14" i="549" s="1"/>
  <c r="M14" i="549" s="1"/>
  <c r="H14" i="549"/>
  <c r="N13" i="549"/>
  <c r="K13" i="549" a="1"/>
  <c r="K13" i="549" s="1"/>
  <c r="M13" i="549" s="1"/>
  <c r="H13" i="549"/>
  <c r="V12" i="549"/>
  <c r="W12" i="549" s="1"/>
  <c r="N12" i="549"/>
  <c r="K12" i="549" a="1"/>
  <c r="K12" i="549" s="1"/>
  <c r="M12" i="549" s="1"/>
  <c r="J12" i="549" a="1"/>
  <c r="J12" i="549" s="1"/>
  <c r="H12" i="549"/>
  <c r="V11" i="549"/>
  <c r="W11" i="549" s="1"/>
  <c r="N11" i="549"/>
  <c r="K11" i="549" a="1"/>
  <c r="K11" i="549" s="1"/>
  <c r="M11" i="549" s="1"/>
  <c r="J11" i="549" a="1"/>
  <c r="J11" i="549" s="1"/>
  <c r="H11" i="549"/>
  <c r="V10" i="549"/>
  <c r="W10" i="549" s="1"/>
  <c r="N10" i="549"/>
  <c r="K10" i="549" a="1"/>
  <c r="K10" i="549" s="1"/>
  <c r="M10" i="549" s="1"/>
  <c r="J10" i="549" a="1"/>
  <c r="J10" i="549" s="1"/>
  <c r="H10" i="549"/>
  <c r="V9" i="549"/>
  <c r="W9" i="549" s="1"/>
  <c r="N9" i="549"/>
  <c r="K9" i="549"/>
  <c r="M9" i="549" s="1"/>
  <c r="K9" i="549" a="1"/>
  <c r="J9" i="549"/>
  <c r="J9" i="549" a="1"/>
  <c r="H9" i="549"/>
  <c r="V8" i="549"/>
  <c r="W8" i="549" s="1"/>
  <c r="N8" i="549"/>
  <c r="K8" i="549" a="1"/>
  <c r="K8" i="549" s="1"/>
  <c r="M8" i="549" s="1"/>
  <c r="J8" i="549" a="1"/>
  <c r="J8" i="549" s="1"/>
  <c r="H8" i="549"/>
  <c r="V7" i="549"/>
  <c r="W7" i="549" s="1"/>
  <c r="N7" i="549"/>
  <c r="N28" i="549" s="1"/>
  <c r="K7" i="549" a="1"/>
  <c r="K7" i="549" s="1"/>
  <c r="M7" i="549" s="1"/>
  <c r="J7" i="549" a="1"/>
  <c r="J7" i="549" s="1"/>
  <c r="H7" i="549"/>
  <c r="H28" i="549" s="1"/>
  <c r="H163" i="549" l="1"/>
  <c r="H164" i="549" s="1"/>
  <c r="E171" i="549" s="1"/>
  <c r="J319" i="549" a="1"/>
  <c r="J319" i="549" s="1"/>
  <c r="J257" i="549" a="1"/>
  <c r="J257" i="549" s="1"/>
  <c r="J292" i="549" a="1"/>
  <c r="J292" i="549" s="1"/>
  <c r="J308" i="549" a="1"/>
  <c r="J308" i="549" s="1"/>
  <c r="W320" i="549"/>
  <c r="W334" i="549" s="1"/>
  <c r="R342" i="549"/>
  <c r="N308" i="549"/>
  <c r="H257" i="549"/>
  <c r="M479" i="549"/>
  <c r="J479" i="549" a="1"/>
  <c r="J479" i="549" s="1"/>
  <c r="R512" i="549"/>
  <c r="K479" i="549"/>
  <c r="K506" i="549"/>
  <c r="V463" i="549"/>
  <c r="W463" i="549" s="1"/>
  <c r="J370" i="549" a="1"/>
  <c r="J370" i="549" s="1"/>
  <c r="N428" i="549"/>
  <c r="W371" i="549"/>
  <c r="N137" i="549"/>
  <c r="N121" i="549"/>
  <c r="N86" i="549"/>
  <c r="J163" i="549" a="1"/>
  <c r="J163" i="549" s="1"/>
  <c r="J148" i="549" a="1"/>
  <c r="J148" i="549" s="1"/>
  <c r="J137" i="549" a="1"/>
  <c r="J137" i="549" s="1"/>
  <c r="M28" i="549"/>
  <c r="V28" i="549"/>
  <c r="K524" i="549"/>
  <c r="R173" i="549"/>
  <c r="K525" i="549"/>
  <c r="T167" i="549"/>
  <c r="K526" i="549"/>
  <c r="T168" i="549"/>
  <c r="K527" i="549"/>
  <c r="T169" i="549"/>
  <c r="K148" i="549"/>
  <c r="M138" i="549"/>
  <c r="M148" i="549" s="1"/>
  <c r="K528" i="549"/>
  <c r="T170" i="549"/>
  <c r="K163" i="549"/>
  <c r="M149" i="549"/>
  <c r="M163" i="549" s="1"/>
  <c r="K529" i="549"/>
  <c r="T171" i="549"/>
  <c r="M200" i="549"/>
  <c r="M257" i="549" s="1"/>
  <c r="K257" i="549"/>
  <c r="K292" i="549"/>
  <c r="M258" i="549"/>
  <c r="M292" i="549" s="1"/>
  <c r="K28" i="549"/>
  <c r="C520" i="549"/>
  <c r="Q525" i="549"/>
  <c r="K86" i="549"/>
  <c r="M29" i="549"/>
  <c r="M86" i="549" s="1"/>
  <c r="K121" i="549"/>
  <c r="M87" i="549"/>
  <c r="M121" i="549" s="1"/>
  <c r="K137" i="549"/>
  <c r="M122" i="549"/>
  <c r="M137" i="549" s="1"/>
  <c r="K170" i="549"/>
  <c r="M166" i="549"/>
  <c r="M178" i="549"/>
  <c r="M199" i="549" s="1"/>
  <c r="K199" i="549"/>
  <c r="C530" i="549"/>
  <c r="E524" i="549" s="1"/>
  <c r="V137" i="549"/>
  <c r="W137" i="549" s="1"/>
  <c r="W138" i="549"/>
  <c r="W149" i="549"/>
  <c r="O164" i="549"/>
  <c r="E170" i="549"/>
  <c r="W178" i="549"/>
  <c r="W199" i="549" s="1"/>
  <c r="J199" i="549" a="1"/>
  <c r="J199" i="549" s="1"/>
  <c r="X338" i="549"/>
  <c r="P335" i="549"/>
  <c r="X339" i="549" s="1"/>
  <c r="W200" i="549"/>
  <c r="H292" i="549"/>
  <c r="N292" i="549"/>
  <c r="N335" i="549" s="1"/>
  <c r="B344" i="549" s="1"/>
  <c r="W258" i="549"/>
  <c r="H334" i="549"/>
  <c r="K334" i="549"/>
  <c r="K341" i="549"/>
  <c r="M337" i="549"/>
  <c r="J28" i="549" a="1"/>
  <c r="J28" i="549" s="1"/>
  <c r="W29" i="549"/>
  <c r="J86" i="549" a="1"/>
  <c r="J86" i="549" s="1"/>
  <c r="W87" i="549"/>
  <c r="J121" i="549" a="1"/>
  <c r="J121" i="549" s="1"/>
  <c r="G164" i="549"/>
  <c r="P164" i="549"/>
  <c r="X168" i="549" s="1"/>
  <c r="X173" i="549" s="1"/>
  <c r="B342" i="549"/>
  <c r="J335" i="549" a="1"/>
  <c r="J335" i="549" s="1"/>
  <c r="M342" i="549" s="1"/>
  <c r="R337" i="549"/>
  <c r="O335" i="549"/>
  <c r="K308" i="549"/>
  <c r="M293" i="549"/>
  <c r="M308" i="549" s="1"/>
  <c r="K370" i="549"/>
  <c r="M349" i="549"/>
  <c r="M370" i="549" s="1"/>
  <c r="V308" i="549"/>
  <c r="W308" i="549" s="1"/>
  <c r="E341" i="549"/>
  <c r="M309" i="549"/>
  <c r="M319" i="549" s="1"/>
  <c r="M320" i="549"/>
  <c r="M334" i="549" s="1"/>
  <c r="H370" i="549"/>
  <c r="N370" i="549"/>
  <c r="W349" i="549"/>
  <c r="W370" i="549" s="1"/>
  <c r="K428" i="549"/>
  <c r="K463" i="549"/>
  <c r="M429" i="549"/>
  <c r="M463" i="549" s="1"/>
  <c r="B514" i="549"/>
  <c r="J507" i="549" a="1"/>
  <c r="J507" i="549" s="1"/>
  <c r="M514" i="549" s="1"/>
  <c r="X509" i="549"/>
  <c r="O507" i="549"/>
  <c r="X510" i="549" s="1"/>
  <c r="R509" i="549"/>
  <c r="M371" i="549"/>
  <c r="M428" i="549" s="1"/>
  <c r="H463" i="549"/>
  <c r="N463" i="549"/>
  <c r="W429" i="549"/>
  <c r="J463" i="549" a="1"/>
  <c r="J463" i="549" s="1"/>
  <c r="N479" i="549"/>
  <c r="W464" i="549"/>
  <c r="V479" i="549"/>
  <c r="W479" i="549" s="1"/>
  <c r="V490" i="549"/>
  <c r="W490" i="549" s="1"/>
  <c r="W506" i="549"/>
  <c r="V506" i="549"/>
  <c r="K509" i="549"/>
  <c r="M480" i="549"/>
  <c r="M490" i="549" s="1"/>
  <c r="M491" i="549"/>
  <c r="M506" i="549" s="1"/>
  <c r="R514" i="549"/>
  <c r="X344" i="549" l="1"/>
  <c r="H335" i="549"/>
  <c r="E342" i="549" s="1"/>
  <c r="N164" i="549"/>
  <c r="B173" i="549" s="1"/>
  <c r="E173" i="549" s="1"/>
  <c r="E527" i="549"/>
  <c r="E529" i="549"/>
  <c r="E528" i="549"/>
  <c r="E526" i="549"/>
  <c r="E525" i="549"/>
  <c r="M164" i="549"/>
  <c r="E344" i="549"/>
  <c r="K513" i="549"/>
  <c r="M513" i="549" s="1"/>
  <c r="M509" i="549"/>
  <c r="R516" i="549"/>
  <c r="T514" i="549" s="1"/>
  <c r="X516" i="549"/>
  <c r="Z509" i="549" s="1" a="1"/>
  <c r="Z509" i="549" s="1"/>
  <c r="H507" i="549"/>
  <c r="E514" i="549" s="1"/>
  <c r="Z342" i="549"/>
  <c r="Z341" i="549"/>
  <c r="Z340" i="549"/>
  <c r="K507" i="549"/>
  <c r="Z166" i="549" a="1"/>
  <c r="Z166" i="549" s="1"/>
  <c r="Z172" i="549"/>
  <c r="Q526" i="549"/>
  <c r="Z168" i="549"/>
  <c r="Z337" i="549" a="1"/>
  <c r="Z337" i="549" s="1"/>
  <c r="M341" i="549"/>
  <c r="Z338" i="549"/>
  <c r="W335" i="549"/>
  <c r="Z170" i="549"/>
  <c r="Z169" i="549"/>
  <c r="V335" i="549"/>
  <c r="I344" i="549" s="1"/>
  <c r="M344" i="549" s="1" a="1"/>
  <c r="M344" i="549" s="1"/>
  <c r="M335" i="549"/>
  <c r="Z167" i="549"/>
  <c r="K164" i="549"/>
  <c r="E172" i="549" s="1"/>
  <c r="K530" i="549"/>
  <c r="M529" i="549" s="1"/>
  <c r="T172" i="549"/>
  <c r="V164" i="549"/>
  <c r="I173" i="549" s="1"/>
  <c r="W28" i="549"/>
  <c r="W164" i="549" s="1"/>
  <c r="N507" i="549"/>
  <c r="B516" i="549" s="1"/>
  <c r="E516" i="549" s="1"/>
  <c r="V507" i="549"/>
  <c r="M507" i="549"/>
  <c r="R344" i="549"/>
  <c r="B171" i="549"/>
  <c r="C519" i="549" s="1"/>
  <c r="J164" i="549" a="1"/>
  <c r="J164" i="549" s="1"/>
  <c r="M171" i="549" s="1"/>
  <c r="Z343" i="549"/>
  <c r="Z339" i="549"/>
  <c r="Z171" i="549"/>
  <c r="K335" i="549"/>
  <c r="M170" i="549"/>
  <c r="T166" i="549" a="1"/>
  <c r="T166" i="549" s="1"/>
  <c r="K206" i="548" a="1"/>
  <c r="K206" i="548" s="1"/>
  <c r="J206" i="548" a="1"/>
  <c r="J206" i="548" s="1"/>
  <c r="K314" i="548" a="1"/>
  <c r="K314" i="548" s="1"/>
  <c r="I241" i="548"/>
  <c r="I202" i="548"/>
  <c r="I206" i="548"/>
  <c r="I215" i="548"/>
  <c r="I213" i="548"/>
  <c r="I183" i="548"/>
  <c r="I307" i="548"/>
  <c r="I190" i="548"/>
  <c r="I187" i="548"/>
  <c r="M143" i="548"/>
  <c r="J143" i="548" a="1"/>
  <c r="J143" i="548" s="1"/>
  <c r="J35" i="548" a="1"/>
  <c r="J35" i="548" s="1"/>
  <c r="J34" i="548" a="1"/>
  <c r="J34" i="548" s="1"/>
  <c r="M35" i="548"/>
  <c r="M34" i="548"/>
  <c r="K35" i="548" a="1"/>
  <c r="K35" i="548" s="1"/>
  <c r="K34" i="548" a="1"/>
  <c r="K34" i="548" s="1"/>
  <c r="G433" i="548"/>
  <c r="G519" i="549" l="1"/>
  <c r="Z510" i="549"/>
  <c r="T509" i="549" a="1"/>
  <c r="T509" i="549" s="1"/>
  <c r="E530" i="549"/>
  <c r="E343" i="549"/>
  <c r="I343" i="549" s="1"/>
  <c r="M343" i="549" s="1"/>
  <c r="L335" i="549"/>
  <c r="I342" i="549" s="1"/>
  <c r="O519" i="549" a="1"/>
  <c r="O519" i="549" s="1"/>
  <c r="T343" i="549"/>
  <c r="T341" i="549"/>
  <c r="T338" i="549"/>
  <c r="T342" i="549"/>
  <c r="T339" i="549"/>
  <c r="T340" i="549"/>
  <c r="I516" i="549"/>
  <c r="M516" i="549" s="1" a="1"/>
  <c r="M516" i="549" s="1"/>
  <c r="W507" i="549"/>
  <c r="K521" i="549"/>
  <c r="O521" i="549" s="1" a="1"/>
  <c r="O521" i="549" s="1"/>
  <c r="M173" i="549" a="1"/>
  <c r="M173" i="549" s="1"/>
  <c r="M526" i="549"/>
  <c r="M528" i="549"/>
  <c r="I172" i="549"/>
  <c r="M172" i="549" s="1"/>
  <c r="Q530" i="549"/>
  <c r="M524" i="549" a="1"/>
  <c r="M524" i="549" s="1"/>
  <c r="L164" i="549"/>
  <c r="I171" i="549" s="1"/>
  <c r="T337" i="549" a="1"/>
  <c r="T337" i="549" s="1"/>
  <c r="M525" i="549"/>
  <c r="M527" i="549"/>
  <c r="E515" i="549"/>
  <c r="I515" i="549" s="1"/>
  <c r="M515" i="549" s="1"/>
  <c r="L507" i="549"/>
  <c r="I514" i="549" s="1"/>
  <c r="Z515" i="549"/>
  <c r="Z512" i="549"/>
  <c r="Z511" i="549"/>
  <c r="Z514" i="549"/>
  <c r="Z513" i="549"/>
  <c r="T515" i="549"/>
  <c r="T512" i="549"/>
  <c r="T511" i="549"/>
  <c r="T510" i="549"/>
  <c r="T513" i="549"/>
  <c r="C521" i="549"/>
  <c r="G521" i="549" s="1"/>
  <c r="G183" i="548"/>
  <c r="S527" i="549" l="1"/>
  <c r="S529" i="549"/>
  <c r="S524" i="549" a="1"/>
  <c r="S524" i="549" s="1"/>
  <c r="S528" i="549"/>
  <c r="S525" i="549"/>
  <c r="S526" i="549"/>
  <c r="G520" i="549"/>
  <c r="K520" i="549" l="1"/>
  <c r="O520" i="549" s="1"/>
  <c r="K519" i="549"/>
  <c r="S530" i="549"/>
  <c r="I430" i="548"/>
  <c r="I433" i="548"/>
  <c r="G322" i="548"/>
  <c r="G190" i="548"/>
  <c r="G187" i="548"/>
  <c r="G314" i="548"/>
  <c r="G241" i="548"/>
  <c r="G215" i="548"/>
  <c r="G213" i="548"/>
  <c r="G206" i="548"/>
  <c r="G202" i="548"/>
  <c r="G430" i="548"/>
  <c r="G152" i="548"/>
  <c r="G151" i="548"/>
  <c r="G143" i="548"/>
  <c r="G123" i="548"/>
  <c r="G70" i="548"/>
  <c r="G57" i="548"/>
  <c r="G59" i="548"/>
  <c r="G37" i="548"/>
  <c r="G38" i="548"/>
  <c r="G34" i="548"/>
  <c r="G35" i="548"/>
  <c r="G16" i="548"/>
  <c r="P536" i="548"/>
  <c r="O536" i="548"/>
  <c r="N536" i="548"/>
  <c r="M536" i="548"/>
  <c r="L536" i="548"/>
  <c r="K536" i="548"/>
  <c r="I536" i="548"/>
  <c r="H536" i="548"/>
  <c r="G536" i="548"/>
  <c r="F536" i="548"/>
  <c r="E536" i="548"/>
  <c r="D536" i="548"/>
  <c r="C535" i="548"/>
  <c r="C534" i="548"/>
  <c r="C533" i="548"/>
  <c r="N517" i="548"/>
  <c r="G517" i="548"/>
  <c r="X515" i="548"/>
  <c r="X514" i="548"/>
  <c r="X513" i="548"/>
  <c r="I513" i="548"/>
  <c r="G513" i="548"/>
  <c r="E513" i="548"/>
  <c r="C513" i="548"/>
  <c r="X512" i="548"/>
  <c r="I512" i="548"/>
  <c r="E512" i="548"/>
  <c r="K512" i="548" s="1"/>
  <c r="M512" i="548" s="1"/>
  <c r="X511" i="548"/>
  <c r="I511" i="548"/>
  <c r="E511" i="548"/>
  <c r="K511" i="548" s="1"/>
  <c r="M511" i="548" s="1"/>
  <c r="I510" i="548"/>
  <c r="E510" i="548"/>
  <c r="K510" i="548" s="1"/>
  <c r="M510" i="548" s="1"/>
  <c r="I509" i="548"/>
  <c r="E509" i="548"/>
  <c r="K509" i="548" s="1"/>
  <c r="K513" i="548" s="1"/>
  <c r="M513" i="548" s="1"/>
  <c r="AA506" i="548"/>
  <c r="Z506" i="548"/>
  <c r="Y506" i="548"/>
  <c r="X506" i="548"/>
  <c r="U506" i="548"/>
  <c r="T506" i="548"/>
  <c r="S506" i="548"/>
  <c r="R506" i="548"/>
  <c r="Q506" i="548"/>
  <c r="P506" i="548"/>
  <c r="R514" i="548" s="1"/>
  <c r="O506" i="548"/>
  <c r="I506" i="548"/>
  <c r="G506" i="548"/>
  <c r="J506" i="548" s="1" a="1"/>
  <c r="J506" i="548" s="1"/>
  <c r="H505" i="548"/>
  <c r="H504" i="548"/>
  <c r="H503" i="548"/>
  <c r="H502" i="548"/>
  <c r="D502" i="548"/>
  <c r="V501" i="548"/>
  <c r="W501" i="548" s="1"/>
  <c r="N501" i="548"/>
  <c r="K501" i="548" a="1"/>
  <c r="K501" i="548" s="1"/>
  <c r="M501" i="548" s="1"/>
  <c r="J501" i="548" a="1"/>
  <c r="J501" i="548" s="1"/>
  <c r="H501" i="548"/>
  <c r="H500" i="548"/>
  <c r="H499" i="548"/>
  <c r="V498" i="548"/>
  <c r="W498" i="548" s="1"/>
  <c r="N498" i="548"/>
  <c r="M498" i="548"/>
  <c r="K498" i="548" a="1"/>
  <c r="K498" i="548" s="1"/>
  <c r="J498" i="548" a="1"/>
  <c r="J498" i="548" s="1"/>
  <c r="H498" i="548"/>
  <c r="W497" i="548"/>
  <c r="V497" i="548"/>
  <c r="N497" i="548"/>
  <c r="K497" i="548" a="1"/>
  <c r="K497" i="548" s="1"/>
  <c r="M497" i="548" s="1"/>
  <c r="J497" i="548" a="1"/>
  <c r="J497" i="548" s="1"/>
  <c r="H497" i="548"/>
  <c r="H496" i="548"/>
  <c r="H495" i="548"/>
  <c r="W494" i="548"/>
  <c r="V494" i="548"/>
  <c r="N494" i="548"/>
  <c r="K494" i="548" a="1"/>
  <c r="K494" i="548" s="1"/>
  <c r="M494" i="548" s="1"/>
  <c r="J494" i="548" a="1"/>
  <c r="J494" i="548" s="1"/>
  <c r="H494" i="548"/>
  <c r="V493" i="548"/>
  <c r="W493" i="548" s="1"/>
  <c r="N493" i="548"/>
  <c r="M493" i="548"/>
  <c r="K493" i="548" a="1"/>
  <c r="K493" i="548" s="1"/>
  <c r="J493" i="548" a="1"/>
  <c r="J493" i="548" s="1"/>
  <c r="H493" i="548"/>
  <c r="W492" i="548"/>
  <c r="V492" i="548"/>
  <c r="N492" i="548"/>
  <c r="K492" i="548" a="1"/>
  <c r="K492" i="548" s="1"/>
  <c r="M492" i="548" s="1"/>
  <c r="J492" i="548" a="1"/>
  <c r="J492" i="548" s="1"/>
  <c r="H492" i="548"/>
  <c r="V491" i="548"/>
  <c r="N491" i="548"/>
  <c r="M491" i="548"/>
  <c r="K491" i="548" a="1"/>
  <c r="K491" i="548" s="1"/>
  <c r="J491" i="548" a="1"/>
  <c r="J491" i="548" s="1"/>
  <c r="H491" i="548"/>
  <c r="AA490" i="548"/>
  <c r="Z490" i="548"/>
  <c r="Y490" i="548"/>
  <c r="X490" i="548"/>
  <c r="U490" i="548"/>
  <c r="T490" i="548"/>
  <c r="S490" i="548"/>
  <c r="Q490" i="548"/>
  <c r="P490" i="548"/>
  <c r="O490" i="548"/>
  <c r="I490" i="548"/>
  <c r="G490" i="548"/>
  <c r="J490" i="548" s="1" a="1"/>
  <c r="J490" i="548" s="1"/>
  <c r="V489" i="548"/>
  <c r="W489" i="548" s="1"/>
  <c r="N489" i="548"/>
  <c r="K489" i="548"/>
  <c r="M489" i="548" s="1"/>
  <c r="K489" i="548" a="1"/>
  <c r="J489" i="548"/>
  <c r="J489" i="548" a="1"/>
  <c r="H489" i="548"/>
  <c r="H488" i="548"/>
  <c r="H487" i="548"/>
  <c r="H486" i="548"/>
  <c r="H485" i="548"/>
  <c r="V484" i="548"/>
  <c r="W484" i="548" s="1"/>
  <c r="N484" i="548"/>
  <c r="K484" i="548" a="1"/>
  <c r="K484" i="548" s="1"/>
  <c r="M484" i="548" s="1"/>
  <c r="J484" i="548" a="1"/>
  <c r="J484" i="548" s="1"/>
  <c r="H484" i="548"/>
  <c r="W483" i="548"/>
  <c r="V483" i="548"/>
  <c r="N483" i="548"/>
  <c r="K483" i="548" a="1"/>
  <c r="K483" i="548" s="1"/>
  <c r="M483" i="548" s="1"/>
  <c r="J483" i="548" a="1"/>
  <c r="J483" i="548" s="1"/>
  <c r="H483" i="548"/>
  <c r="V482" i="548"/>
  <c r="W482" i="548" s="1"/>
  <c r="N482" i="548"/>
  <c r="K482" i="548" a="1"/>
  <c r="K482" i="548" s="1"/>
  <c r="M482" i="548" s="1"/>
  <c r="J482" i="548" a="1"/>
  <c r="J482" i="548" s="1"/>
  <c r="H482" i="548"/>
  <c r="V481" i="548"/>
  <c r="W481" i="548" s="1"/>
  <c r="N481" i="548"/>
  <c r="K481" i="548"/>
  <c r="M481" i="548" s="1"/>
  <c r="K481" i="548" a="1"/>
  <c r="J481" i="548"/>
  <c r="J481" i="548" a="1"/>
  <c r="H481" i="548"/>
  <c r="H490" i="548" s="1"/>
  <c r="V480" i="548"/>
  <c r="N480" i="548"/>
  <c r="K480" i="548" a="1"/>
  <c r="K480" i="548" s="1"/>
  <c r="M480" i="548" s="1"/>
  <c r="J480" i="548" a="1"/>
  <c r="J480" i="548" s="1"/>
  <c r="H480" i="548"/>
  <c r="AA479" i="548"/>
  <c r="Z479" i="548"/>
  <c r="Y479" i="548"/>
  <c r="X479" i="548"/>
  <c r="U479" i="548"/>
  <c r="T479" i="548"/>
  <c r="S479" i="548"/>
  <c r="Q479" i="548"/>
  <c r="P479" i="548"/>
  <c r="O479" i="548"/>
  <c r="I479" i="548"/>
  <c r="G479" i="548"/>
  <c r="J479" i="548" s="1" a="1"/>
  <c r="J479" i="548" s="1"/>
  <c r="V478" i="548"/>
  <c r="W478" i="548" s="1"/>
  <c r="N478" i="548"/>
  <c r="K478" i="548"/>
  <c r="M478" i="548" s="1"/>
  <c r="K478" i="548" a="1"/>
  <c r="J478" i="548"/>
  <c r="J478" i="548" a="1"/>
  <c r="H478" i="548"/>
  <c r="V477" i="548"/>
  <c r="W477" i="548" s="1"/>
  <c r="N477" i="548"/>
  <c r="K477" i="548" a="1"/>
  <c r="K477" i="548" s="1"/>
  <c r="M477" i="548" s="1"/>
  <c r="J477" i="548" a="1"/>
  <c r="J477" i="548" s="1"/>
  <c r="H477" i="548"/>
  <c r="V476" i="548"/>
  <c r="W476" i="548" s="1"/>
  <c r="N476" i="548"/>
  <c r="K476" i="548"/>
  <c r="M476" i="548" s="1"/>
  <c r="K476" i="548" a="1"/>
  <c r="J476" i="548"/>
  <c r="J476" i="548" a="1"/>
  <c r="H476" i="548"/>
  <c r="V475" i="548"/>
  <c r="W475" i="548" s="1"/>
  <c r="N475" i="548"/>
  <c r="K475" i="548" a="1"/>
  <c r="K475" i="548" s="1"/>
  <c r="M475" i="548" s="1"/>
  <c r="J475" i="548" a="1"/>
  <c r="J475" i="548" s="1"/>
  <c r="H475" i="548"/>
  <c r="V474" i="548"/>
  <c r="W474" i="548" s="1"/>
  <c r="N474" i="548"/>
  <c r="K474" i="548"/>
  <c r="M474" i="548" s="1"/>
  <c r="K474" i="548" a="1"/>
  <c r="J474" i="548"/>
  <c r="J474" i="548" a="1"/>
  <c r="H474" i="548"/>
  <c r="V473" i="548"/>
  <c r="W473" i="548" s="1"/>
  <c r="N473" i="548"/>
  <c r="K473" i="548" a="1"/>
  <c r="K473" i="548" s="1"/>
  <c r="M473" i="548" s="1"/>
  <c r="J473" i="548" a="1"/>
  <c r="J473" i="548" s="1"/>
  <c r="H473" i="548"/>
  <c r="V472" i="548"/>
  <c r="W472" i="548" s="1"/>
  <c r="N472" i="548"/>
  <c r="K472" i="548"/>
  <c r="M472" i="548" s="1"/>
  <c r="K472" i="548" a="1"/>
  <c r="J472" i="548"/>
  <c r="J472" i="548" a="1"/>
  <c r="H472" i="548"/>
  <c r="V471" i="548"/>
  <c r="W471" i="548" s="1"/>
  <c r="N471" i="548"/>
  <c r="K471" i="548" a="1"/>
  <c r="K471" i="548" s="1"/>
  <c r="M471" i="548" s="1"/>
  <c r="J471" i="548" a="1"/>
  <c r="J471" i="548" s="1"/>
  <c r="H471" i="548"/>
  <c r="V470" i="548"/>
  <c r="W470" i="548" s="1"/>
  <c r="N470" i="548"/>
  <c r="K470" i="548"/>
  <c r="M470" i="548" s="1"/>
  <c r="K470" i="548" a="1"/>
  <c r="J470" i="548"/>
  <c r="J470" i="548" a="1"/>
  <c r="H470" i="548"/>
  <c r="V469" i="548"/>
  <c r="W469" i="548" s="1"/>
  <c r="N469" i="548"/>
  <c r="K469" i="548" a="1"/>
  <c r="K469" i="548" s="1"/>
  <c r="M469" i="548" s="1"/>
  <c r="J469" i="548" a="1"/>
  <c r="J469" i="548" s="1"/>
  <c r="H469" i="548"/>
  <c r="V468" i="548"/>
  <c r="W468" i="548" s="1"/>
  <c r="N468" i="548"/>
  <c r="K468" i="548"/>
  <c r="M468" i="548" s="1"/>
  <c r="K468" i="548" a="1"/>
  <c r="J468" i="548"/>
  <c r="J468" i="548" a="1"/>
  <c r="H468" i="548"/>
  <c r="V467" i="548"/>
  <c r="W467" i="548" s="1"/>
  <c r="N467" i="548"/>
  <c r="K467" i="548" a="1"/>
  <c r="K467" i="548" s="1"/>
  <c r="M467" i="548" s="1"/>
  <c r="J467" i="548" a="1"/>
  <c r="J467" i="548" s="1"/>
  <c r="H467" i="548"/>
  <c r="V466" i="548"/>
  <c r="W466" i="548" s="1"/>
  <c r="N466" i="548"/>
  <c r="K466" i="548"/>
  <c r="M466" i="548" s="1"/>
  <c r="K466" i="548" a="1"/>
  <c r="J466" i="548"/>
  <c r="J466" i="548" a="1"/>
  <c r="H466" i="548"/>
  <c r="V465" i="548"/>
  <c r="W465" i="548" s="1"/>
  <c r="N465" i="548"/>
  <c r="K465" i="548" a="1"/>
  <c r="K465" i="548" s="1"/>
  <c r="M465" i="548" s="1"/>
  <c r="J465" i="548" a="1"/>
  <c r="J465" i="548" s="1"/>
  <c r="H465" i="548"/>
  <c r="V464" i="548"/>
  <c r="W464" i="548" s="1"/>
  <c r="N464" i="548"/>
  <c r="K464" i="548"/>
  <c r="M464" i="548" s="1"/>
  <c r="K464" i="548" a="1"/>
  <c r="J464" i="548"/>
  <c r="J464" i="548" a="1"/>
  <c r="H464" i="548"/>
  <c r="H479" i="548" s="1"/>
  <c r="AA463" i="548"/>
  <c r="Z463" i="548"/>
  <c r="Y463" i="548"/>
  <c r="X463" i="548"/>
  <c r="U463" i="548"/>
  <c r="T463" i="548"/>
  <c r="S463" i="548"/>
  <c r="R463" i="548"/>
  <c r="Q463" i="548"/>
  <c r="P463" i="548"/>
  <c r="O463" i="548"/>
  <c r="I463" i="548"/>
  <c r="G463" i="548"/>
  <c r="V462" i="548"/>
  <c r="W462" i="548" s="1"/>
  <c r="N462" i="548"/>
  <c r="K462" i="548" a="1"/>
  <c r="K462" i="548" s="1"/>
  <c r="M462" i="548" s="1"/>
  <c r="J462" i="548" a="1"/>
  <c r="J462" i="548" s="1"/>
  <c r="H462" i="548"/>
  <c r="V461" i="548"/>
  <c r="W461" i="548" s="1"/>
  <c r="N461" i="548"/>
  <c r="M461" i="548"/>
  <c r="K461" i="548" a="1"/>
  <c r="K461" i="548" s="1"/>
  <c r="J461" i="548" a="1"/>
  <c r="J461" i="548" s="1"/>
  <c r="H461" i="548"/>
  <c r="W460" i="548"/>
  <c r="V460" i="548"/>
  <c r="N460" i="548"/>
  <c r="K460" i="548" a="1"/>
  <c r="K460" i="548" s="1"/>
  <c r="M460" i="548" s="1"/>
  <c r="J460" i="548" a="1"/>
  <c r="J460" i="548" s="1"/>
  <c r="H460" i="548"/>
  <c r="K459" i="548"/>
  <c r="M459" i="548" s="1"/>
  <c r="K459" i="548" a="1"/>
  <c r="H459" i="548"/>
  <c r="K458" i="548" a="1"/>
  <c r="K458" i="548" s="1"/>
  <c r="M458" i="548" s="1"/>
  <c r="H458" i="548"/>
  <c r="K457" i="548"/>
  <c r="M457" i="548" s="1"/>
  <c r="K457" i="548" a="1"/>
  <c r="H457" i="548"/>
  <c r="V456" i="548"/>
  <c r="W456" i="548" s="1"/>
  <c r="N456" i="548"/>
  <c r="K456" i="548" a="1"/>
  <c r="K456" i="548" s="1"/>
  <c r="M456" i="548" s="1"/>
  <c r="J456" i="548" a="1"/>
  <c r="J456" i="548" s="1"/>
  <c r="H456" i="548"/>
  <c r="W455" i="548"/>
  <c r="V455" i="548"/>
  <c r="N455" i="548"/>
  <c r="K455" i="548" a="1"/>
  <c r="K455" i="548" s="1"/>
  <c r="M455" i="548" s="1"/>
  <c r="J455" i="548" a="1"/>
  <c r="J455" i="548" s="1"/>
  <c r="H455" i="548"/>
  <c r="N454" i="548"/>
  <c r="K454" i="548" a="1"/>
  <c r="K454" i="548" s="1"/>
  <c r="M454" i="548" s="1"/>
  <c r="H454" i="548"/>
  <c r="N453" i="548"/>
  <c r="K453" i="548" a="1"/>
  <c r="K453" i="548" s="1"/>
  <c r="M453" i="548" s="1"/>
  <c r="H453" i="548"/>
  <c r="N452" i="548"/>
  <c r="K452" i="548" a="1"/>
  <c r="K452" i="548" s="1"/>
  <c r="M452" i="548" s="1"/>
  <c r="H452" i="548"/>
  <c r="N451" i="548"/>
  <c r="K451" i="548" a="1"/>
  <c r="K451" i="548" s="1"/>
  <c r="M451" i="548" s="1"/>
  <c r="H451" i="548"/>
  <c r="N450" i="548"/>
  <c r="K450" i="548" a="1"/>
  <c r="K450" i="548" s="1"/>
  <c r="M450" i="548" s="1"/>
  <c r="H450" i="548"/>
  <c r="N449" i="548"/>
  <c r="K449" i="548" a="1"/>
  <c r="K449" i="548" s="1"/>
  <c r="M449" i="548" s="1"/>
  <c r="H449" i="548"/>
  <c r="V448" i="548"/>
  <c r="W448" i="548" s="1"/>
  <c r="N448" i="548"/>
  <c r="K448" i="548" a="1"/>
  <c r="K448" i="548" s="1"/>
  <c r="M448" i="548" s="1"/>
  <c r="J448" i="548" a="1"/>
  <c r="J448" i="548" s="1"/>
  <c r="H448" i="548"/>
  <c r="V447" i="548"/>
  <c r="W447" i="548" s="1"/>
  <c r="N447" i="548"/>
  <c r="K447" i="548"/>
  <c r="M447" i="548" s="1"/>
  <c r="K447" i="548" a="1"/>
  <c r="J447" i="548"/>
  <c r="J447" i="548" a="1"/>
  <c r="H447" i="548"/>
  <c r="V446" i="548"/>
  <c r="W446" i="548" s="1"/>
  <c r="N446" i="548"/>
  <c r="K446" i="548" a="1"/>
  <c r="K446" i="548" s="1"/>
  <c r="M446" i="548" s="1"/>
  <c r="J446" i="548" a="1"/>
  <c r="J446" i="548" s="1"/>
  <c r="H446" i="548"/>
  <c r="W445" i="548"/>
  <c r="V445" i="548"/>
  <c r="N445" i="548"/>
  <c r="K445" i="548" a="1"/>
  <c r="K445" i="548" s="1"/>
  <c r="M445" i="548" s="1"/>
  <c r="J445" i="548" a="1"/>
  <c r="J445" i="548" s="1"/>
  <c r="H445" i="548"/>
  <c r="V444" i="548"/>
  <c r="W444" i="548" s="1"/>
  <c r="N444" i="548"/>
  <c r="K444" i="548" a="1"/>
  <c r="K444" i="548" s="1"/>
  <c r="M444" i="548" s="1"/>
  <c r="J444" i="548" a="1"/>
  <c r="J444" i="548" s="1"/>
  <c r="H444" i="548"/>
  <c r="V443" i="548"/>
  <c r="W443" i="548" s="1"/>
  <c r="N443" i="548"/>
  <c r="K443" i="548"/>
  <c r="M443" i="548" s="1"/>
  <c r="K443" i="548" a="1"/>
  <c r="J443" i="548"/>
  <c r="J443" i="548" a="1"/>
  <c r="H443" i="548"/>
  <c r="V442" i="548"/>
  <c r="W442" i="548" s="1"/>
  <c r="N442" i="548"/>
  <c r="K442" i="548" a="1"/>
  <c r="K442" i="548" s="1"/>
  <c r="M442" i="548" s="1"/>
  <c r="J442" i="548" a="1"/>
  <c r="J442" i="548" s="1"/>
  <c r="H442" i="548"/>
  <c r="W441" i="548"/>
  <c r="V441" i="548"/>
  <c r="N441" i="548"/>
  <c r="K441" i="548" a="1"/>
  <c r="K441" i="548" s="1"/>
  <c r="M441" i="548" s="1"/>
  <c r="J441" i="548" a="1"/>
  <c r="J441" i="548" s="1"/>
  <c r="H441" i="548"/>
  <c r="V440" i="548"/>
  <c r="W440" i="548" s="1"/>
  <c r="N440" i="548"/>
  <c r="K440" i="548" a="1"/>
  <c r="K440" i="548" s="1"/>
  <c r="M440" i="548" s="1"/>
  <c r="J440" i="548" a="1"/>
  <c r="J440" i="548" s="1"/>
  <c r="H440" i="548"/>
  <c r="V439" i="548"/>
  <c r="W439" i="548" s="1"/>
  <c r="N439" i="548"/>
  <c r="K439" i="548"/>
  <c r="M439" i="548" s="1"/>
  <c r="K439" i="548" a="1"/>
  <c r="J439" i="548"/>
  <c r="J439" i="548" a="1"/>
  <c r="H439" i="548"/>
  <c r="V438" i="548"/>
  <c r="W438" i="548" s="1"/>
  <c r="N438" i="548"/>
  <c r="K438" i="548" a="1"/>
  <c r="K438" i="548" s="1"/>
  <c r="M438" i="548" s="1"/>
  <c r="J438" i="548" a="1"/>
  <c r="J438" i="548" s="1"/>
  <c r="H438" i="548"/>
  <c r="W437" i="548"/>
  <c r="V437" i="548"/>
  <c r="N437" i="548"/>
  <c r="K437" i="548" a="1"/>
  <c r="K437" i="548" s="1"/>
  <c r="M437" i="548" s="1"/>
  <c r="J437" i="548" a="1"/>
  <c r="J437" i="548" s="1"/>
  <c r="H437" i="548"/>
  <c r="N436" i="548"/>
  <c r="K436" i="548" a="1"/>
  <c r="K436" i="548" s="1"/>
  <c r="M436" i="548" s="1"/>
  <c r="H436" i="548"/>
  <c r="W435" i="548"/>
  <c r="V435" i="548"/>
  <c r="N435" i="548"/>
  <c r="K435" i="548" a="1"/>
  <c r="K435" i="548" s="1"/>
  <c r="M435" i="548" s="1"/>
  <c r="J435" i="548" a="1"/>
  <c r="J435" i="548" s="1"/>
  <c r="H435" i="548"/>
  <c r="V434" i="548"/>
  <c r="W434" i="548" s="1"/>
  <c r="N434" i="548"/>
  <c r="K434" i="548" a="1"/>
  <c r="K434" i="548" s="1"/>
  <c r="M434" i="548" s="1"/>
  <c r="J434" i="548" a="1"/>
  <c r="J434" i="548" s="1"/>
  <c r="H434" i="548"/>
  <c r="W433" i="548"/>
  <c r="V433" i="548"/>
  <c r="N433" i="548"/>
  <c r="K433" i="548" a="1"/>
  <c r="K433" i="548" s="1"/>
  <c r="M433" i="548" s="1"/>
  <c r="J433" i="548" a="1"/>
  <c r="J433" i="548" s="1"/>
  <c r="H433" i="548"/>
  <c r="V432" i="548"/>
  <c r="W432" i="548" s="1"/>
  <c r="N432" i="548"/>
  <c r="K432" i="548" a="1"/>
  <c r="K432" i="548" s="1"/>
  <c r="M432" i="548" s="1"/>
  <c r="J432" i="548" a="1"/>
  <c r="J432" i="548" s="1"/>
  <c r="H432" i="548"/>
  <c r="W431" i="548"/>
  <c r="V431" i="548"/>
  <c r="N431" i="548"/>
  <c r="K431" i="548" a="1"/>
  <c r="K431" i="548" s="1"/>
  <c r="M431" i="548" s="1"/>
  <c r="J431" i="548" a="1"/>
  <c r="J431" i="548" s="1"/>
  <c r="H431" i="548"/>
  <c r="V430" i="548"/>
  <c r="W430" i="548" s="1"/>
  <c r="N430" i="548"/>
  <c r="K430" i="548" a="1"/>
  <c r="K430" i="548" s="1"/>
  <c r="M430" i="548" s="1"/>
  <c r="J430" i="548" a="1"/>
  <c r="J430" i="548" s="1"/>
  <c r="H430" i="548"/>
  <c r="W429" i="548"/>
  <c r="V429" i="548"/>
  <c r="N429" i="548"/>
  <c r="K429" i="548" a="1"/>
  <c r="K429" i="548" s="1"/>
  <c r="M429" i="548" s="1"/>
  <c r="J429" i="548" a="1"/>
  <c r="J429" i="548" s="1"/>
  <c r="H429" i="548"/>
  <c r="H463" i="548" s="1"/>
  <c r="AA428" i="548"/>
  <c r="Z428" i="548"/>
  <c r="Y428" i="548"/>
  <c r="X428" i="548"/>
  <c r="U428" i="548"/>
  <c r="T428" i="548"/>
  <c r="S428" i="548"/>
  <c r="R428" i="548"/>
  <c r="Q428" i="548"/>
  <c r="P428" i="548"/>
  <c r="O428" i="548"/>
  <c r="I428" i="548"/>
  <c r="G428" i="548"/>
  <c r="J428" i="548" s="1" a="1"/>
  <c r="J428" i="548" s="1"/>
  <c r="K427" i="548" a="1"/>
  <c r="K427" i="548" s="1"/>
  <c r="M427" i="548" s="1"/>
  <c r="H427" i="548"/>
  <c r="K426" i="548" a="1"/>
  <c r="K426" i="548" s="1"/>
  <c r="M426" i="548" s="1"/>
  <c r="H426" i="548"/>
  <c r="K425" i="548" a="1"/>
  <c r="K425" i="548" s="1"/>
  <c r="M425" i="548" s="1"/>
  <c r="H425" i="548"/>
  <c r="M424" i="548"/>
  <c r="K424" i="548" a="1"/>
  <c r="K424" i="548" s="1"/>
  <c r="H424" i="548"/>
  <c r="K423" i="548" a="1"/>
  <c r="K423" i="548" s="1"/>
  <c r="M423" i="548" s="1"/>
  <c r="H423" i="548"/>
  <c r="K422" i="548" a="1"/>
  <c r="K422" i="548" s="1"/>
  <c r="M422" i="548" s="1"/>
  <c r="H422" i="548"/>
  <c r="K421" i="548" a="1"/>
  <c r="K421" i="548" s="1"/>
  <c r="M421" i="548" s="1"/>
  <c r="H421" i="548"/>
  <c r="M420" i="548"/>
  <c r="K420" i="548" a="1"/>
  <c r="K420" i="548" s="1"/>
  <c r="H420" i="548"/>
  <c r="K419" i="548" a="1"/>
  <c r="K419" i="548" s="1"/>
  <c r="M419" i="548" s="1"/>
  <c r="H419" i="548"/>
  <c r="K418" i="548" a="1"/>
  <c r="K418" i="548" s="1"/>
  <c r="M418" i="548" s="1"/>
  <c r="H418" i="548"/>
  <c r="W417" i="548"/>
  <c r="V417" i="548"/>
  <c r="N417" i="548"/>
  <c r="K417" i="548" a="1"/>
  <c r="K417" i="548" s="1"/>
  <c r="M417" i="548" s="1"/>
  <c r="J417" i="548" a="1"/>
  <c r="J417" i="548" s="1"/>
  <c r="H417" i="548"/>
  <c r="V416" i="548"/>
  <c r="W416" i="548" s="1"/>
  <c r="N416" i="548"/>
  <c r="K416" i="548"/>
  <c r="M416" i="548" s="1"/>
  <c r="K416" i="548" a="1"/>
  <c r="J416" i="548"/>
  <c r="J416" i="548" a="1"/>
  <c r="H416" i="548"/>
  <c r="V415" i="548"/>
  <c r="W415" i="548" s="1"/>
  <c r="N415" i="548"/>
  <c r="K415" i="548" a="1"/>
  <c r="K415" i="548" s="1"/>
  <c r="M415" i="548" s="1"/>
  <c r="J415" i="548" a="1"/>
  <c r="J415" i="548" s="1"/>
  <c r="H415" i="548"/>
  <c r="W414" i="548"/>
  <c r="V414" i="548"/>
  <c r="N414" i="548"/>
  <c r="K414" i="548" a="1"/>
  <c r="K414" i="548" s="1"/>
  <c r="M414" i="548" s="1"/>
  <c r="J414" i="548" a="1"/>
  <c r="J414" i="548" s="1"/>
  <c r="H414" i="548"/>
  <c r="H413" i="548"/>
  <c r="V412" i="548"/>
  <c r="W412" i="548" s="1"/>
  <c r="N412" i="548"/>
  <c r="K412" i="548"/>
  <c r="M412" i="548" s="1"/>
  <c r="K412" i="548" a="1"/>
  <c r="J412" i="548"/>
  <c r="J412" i="548" a="1"/>
  <c r="H412" i="548"/>
  <c r="V411" i="548"/>
  <c r="W411" i="548" s="1"/>
  <c r="N411" i="548"/>
  <c r="K411" i="548" a="1"/>
  <c r="K411" i="548" s="1"/>
  <c r="M411" i="548" s="1"/>
  <c r="J411" i="548" a="1"/>
  <c r="J411" i="548" s="1"/>
  <c r="H411" i="548"/>
  <c r="H410" i="548"/>
  <c r="K409" i="548" a="1"/>
  <c r="K409" i="548" s="1"/>
  <c r="H409" i="548"/>
  <c r="V408" i="548"/>
  <c r="W408" i="548" s="1"/>
  <c r="N408" i="548"/>
  <c r="K408" i="548" a="1"/>
  <c r="K408" i="548" s="1"/>
  <c r="M408" i="548" s="1"/>
  <c r="J408" i="548" a="1"/>
  <c r="J408" i="548" s="1"/>
  <c r="H408" i="548"/>
  <c r="V407" i="548"/>
  <c r="W407" i="548" s="1"/>
  <c r="N407" i="548"/>
  <c r="K407" i="548" a="1"/>
  <c r="K407" i="548" s="1"/>
  <c r="M407" i="548" s="1"/>
  <c r="J407" i="548" a="1"/>
  <c r="J407" i="548" s="1"/>
  <c r="H407" i="548"/>
  <c r="V406" i="548"/>
  <c r="W406" i="548" s="1"/>
  <c r="N406" i="548"/>
  <c r="K406" i="548"/>
  <c r="M406" i="548" s="1"/>
  <c r="K406" i="548" a="1"/>
  <c r="J406" i="548"/>
  <c r="J406" i="548" a="1"/>
  <c r="H406" i="548"/>
  <c r="V405" i="548"/>
  <c r="W405" i="548" s="1"/>
  <c r="N405" i="548"/>
  <c r="K405" i="548" a="1"/>
  <c r="K405" i="548" s="1"/>
  <c r="M405" i="548" s="1"/>
  <c r="J405" i="548" a="1"/>
  <c r="J405" i="548" s="1"/>
  <c r="H405" i="548"/>
  <c r="V404" i="548"/>
  <c r="W404" i="548" s="1"/>
  <c r="N404" i="548"/>
  <c r="K404" i="548" a="1"/>
  <c r="K404" i="548" s="1"/>
  <c r="M404" i="548" s="1"/>
  <c r="J404" i="548" a="1"/>
  <c r="J404" i="548" s="1"/>
  <c r="H404" i="548"/>
  <c r="V403" i="548"/>
  <c r="W403" i="548" s="1"/>
  <c r="N403" i="548"/>
  <c r="K403" i="548" a="1"/>
  <c r="K403" i="548" s="1"/>
  <c r="M403" i="548" s="1"/>
  <c r="J403" i="548" a="1"/>
  <c r="J403" i="548" s="1"/>
  <c r="H403" i="548"/>
  <c r="V402" i="548"/>
  <c r="W402" i="548" s="1"/>
  <c r="N402" i="548"/>
  <c r="K402" i="548"/>
  <c r="M402" i="548" s="1"/>
  <c r="K402" i="548" a="1"/>
  <c r="J402" i="548"/>
  <c r="J402" i="548" a="1"/>
  <c r="H402" i="548"/>
  <c r="V401" i="548"/>
  <c r="W401" i="548" s="1"/>
  <c r="N401" i="548"/>
  <c r="K401" i="548" a="1"/>
  <c r="K401" i="548" s="1"/>
  <c r="M401" i="548" s="1"/>
  <c r="J401" i="548" a="1"/>
  <c r="J401" i="548" s="1"/>
  <c r="H401" i="548"/>
  <c r="W400" i="548"/>
  <c r="V400" i="548"/>
  <c r="N400" i="548"/>
  <c r="K400" i="548" a="1"/>
  <c r="K400" i="548" s="1"/>
  <c r="M400" i="548" s="1"/>
  <c r="J400" i="548" a="1"/>
  <c r="J400" i="548" s="1"/>
  <c r="H400" i="548"/>
  <c r="V399" i="548"/>
  <c r="W399" i="548" s="1"/>
  <c r="N399" i="548"/>
  <c r="K399" i="548" a="1"/>
  <c r="K399" i="548" s="1"/>
  <c r="M399" i="548" s="1"/>
  <c r="J399" i="548" a="1"/>
  <c r="J399" i="548" s="1"/>
  <c r="H399" i="548"/>
  <c r="K398" i="548" a="1"/>
  <c r="K398" i="548" s="1"/>
  <c r="M398" i="548" s="1"/>
  <c r="H398" i="548"/>
  <c r="K397" i="548" a="1"/>
  <c r="K397" i="548" s="1"/>
  <c r="M397" i="548" s="1"/>
  <c r="H397" i="548"/>
  <c r="K396" i="548" a="1"/>
  <c r="K396" i="548" s="1"/>
  <c r="M396" i="548" s="1"/>
  <c r="H396" i="548"/>
  <c r="K395" i="548" a="1"/>
  <c r="K395" i="548" s="1"/>
  <c r="M395" i="548" s="1"/>
  <c r="H395" i="548"/>
  <c r="N394" i="548"/>
  <c r="K394" i="548" a="1"/>
  <c r="K394" i="548" s="1"/>
  <c r="M394" i="548" s="1"/>
  <c r="H394" i="548"/>
  <c r="N393" i="548"/>
  <c r="K393" i="548" a="1"/>
  <c r="K393" i="548" s="1"/>
  <c r="M393" i="548" s="1"/>
  <c r="H393" i="548"/>
  <c r="N392" i="548"/>
  <c r="K392" i="548" a="1"/>
  <c r="K392" i="548" s="1"/>
  <c r="M392" i="548" s="1"/>
  <c r="H392" i="548"/>
  <c r="N391" i="548"/>
  <c r="K391" i="548" a="1"/>
  <c r="K391" i="548" s="1"/>
  <c r="M391" i="548" s="1"/>
  <c r="H391" i="548"/>
  <c r="W390" i="548"/>
  <c r="V390" i="548"/>
  <c r="N390" i="548"/>
  <c r="K390" i="548" a="1"/>
  <c r="K390" i="548" s="1"/>
  <c r="M390" i="548" s="1"/>
  <c r="J390" i="548" a="1"/>
  <c r="J390" i="548" s="1"/>
  <c r="H390" i="548"/>
  <c r="V389" i="548"/>
  <c r="W389" i="548" s="1"/>
  <c r="N389" i="548"/>
  <c r="K389" i="548" a="1"/>
  <c r="K389" i="548" s="1"/>
  <c r="M389" i="548" s="1"/>
  <c r="J389" i="548" a="1"/>
  <c r="J389" i="548" s="1"/>
  <c r="H389" i="548"/>
  <c r="V388" i="548"/>
  <c r="W388" i="548" s="1"/>
  <c r="N388" i="548"/>
  <c r="K388" i="548"/>
  <c r="M388" i="548" s="1"/>
  <c r="K388" i="548" a="1"/>
  <c r="J388" i="548"/>
  <c r="J388" i="548" a="1"/>
  <c r="H388" i="548"/>
  <c r="V387" i="548"/>
  <c r="W387" i="548" s="1"/>
  <c r="N387" i="548"/>
  <c r="K387" i="548" a="1"/>
  <c r="K387" i="548" s="1"/>
  <c r="M387" i="548" s="1"/>
  <c r="J387" i="548" a="1"/>
  <c r="J387" i="548" s="1"/>
  <c r="H387" i="548"/>
  <c r="W386" i="548"/>
  <c r="V386" i="548"/>
  <c r="N386" i="548"/>
  <c r="K386" i="548" a="1"/>
  <c r="K386" i="548" s="1"/>
  <c r="M386" i="548" s="1"/>
  <c r="J386" i="548" a="1"/>
  <c r="J386" i="548" s="1"/>
  <c r="H386" i="548"/>
  <c r="V385" i="548"/>
  <c r="W385" i="548" s="1"/>
  <c r="N385" i="548"/>
  <c r="K385" i="548" a="1"/>
  <c r="K385" i="548" s="1"/>
  <c r="M385" i="548" s="1"/>
  <c r="J385" i="548" a="1"/>
  <c r="J385" i="548" s="1"/>
  <c r="H385" i="548"/>
  <c r="V384" i="548"/>
  <c r="W384" i="548" s="1"/>
  <c r="N384" i="548"/>
  <c r="K384" i="548"/>
  <c r="M384" i="548" s="1"/>
  <c r="K384" i="548" a="1"/>
  <c r="J384" i="548"/>
  <c r="J384" i="548" a="1"/>
  <c r="H384" i="548"/>
  <c r="V383" i="548"/>
  <c r="W383" i="548" s="1"/>
  <c r="N383" i="548"/>
  <c r="K383" i="548" a="1"/>
  <c r="K383" i="548" s="1"/>
  <c r="M383" i="548" s="1"/>
  <c r="J383" i="548" a="1"/>
  <c r="J383" i="548" s="1"/>
  <c r="H383" i="548"/>
  <c r="W382" i="548"/>
  <c r="V382" i="548"/>
  <c r="N382" i="548"/>
  <c r="K382" i="548" a="1"/>
  <c r="K382" i="548" s="1"/>
  <c r="M382" i="548" s="1"/>
  <c r="J382" i="548" a="1"/>
  <c r="J382" i="548" s="1"/>
  <c r="H382" i="548"/>
  <c r="V381" i="548"/>
  <c r="W381" i="548" s="1"/>
  <c r="N381" i="548"/>
  <c r="K381" i="548" a="1"/>
  <c r="K381" i="548" s="1"/>
  <c r="M381" i="548" s="1"/>
  <c r="J381" i="548" a="1"/>
  <c r="J381" i="548" s="1"/>
  <c r="H381" i="548"/>
  <c r="V380" i="548"/>
  <c r="W380" i="548" s="1"/>
  <c r="N380" i="548"/>
  <c r="K380" i="548"/>
  <c r="M380" i="548" s="1"/>
  <c r="K380" i="548" a="1"/>
  <c r="J380" i="548"/>
  <c r="J380" i="548" a="1"/>
  <c r="H380" i="548"/>
  <c r="V379" i="548"/>
  <c r="W379" i="548" s="1"/>
  <c r="N379" i="548"/>
  <c r="K379" i="548" a="1"/>
  <c r="K379" i="548" s="1"/>
  <c r="M379" i="548" s="1"/>
  <c r="J379" i="548" a="1"/>
  <c r="J379" i="548" s="1"/>
  <c r="H379" i="548"/>
  <c r="K378" i="548" a="1"/>
  <c r="K378" i="548" s="1"/>
  <c r="M378" i="548" s="1"/>
  <c r="H378" i="548"/>
  <c r="K377" i="548" a="1"/>
  <c r="K377" i="548" s="1"/>
  <c r="M377" i="548" s="1"/>
  <c r="H377" i="548"/>
  <c r="K376" i="548" a="1"/>
  <c r="K376" i="548" s="1"/>
  <c r="M376" i="548" s="1"/>
  <c r="H376" i="548"/>
  <c r="W375" i="548"/>
  <c r="V375" i="548"/>
  <c r="N375" i="548"/>
  <c r="K375" i="548" a="1"/>
  <c r="K375" i="548" s="1"/>
  <c r="M375" i="548" s="1"/>
  <c r="J375" i="548" a="1"/>
  <c r="J375" i="548" s="1"/>
  <c r="H375" i="548"/>
  <c r="V374" i="548"/>
  <c r="W374" i="548" s="1"/>
  <c r="N374" i="548"/>
  <c r="K374" i="548" a="1"/>
  <c r="K374" i="548" s="1"/>
  <c r="M374" i="548" s="1"/>
  <c r="J374" i="548" a="1"/>
  <c r="J374" i="548" s="1"/>
  <c r="H374" i="548"/>
  <c r="V373" i="548"/>
  <c r="W373" i="548" s="1"/>
  <c r="N373" i="548"/>
  <c r="K373" i="548"/>
  <c r="M373" i="548" s="1"/>
  <c r="K373" i="548" a="1"/>
  <c r="J373" i="548"/>
  <c r="J373" i="548" a="1"/>
  <c r="H373" i="548"/>
  <c r="K372" i="548" a="1"/>
  <c r="K372" i="548" s="1"/>
  <c r="H372" i="548"/>
  <c r="V371" i="548"/>
  <c r="V428" i="548" s="1"/>
  <c r="W428" i="548" s="1"/>
  <c r="N371" i="548"/>
  <c r="N428" i="548" s="1"/>
  <c r="K371" i="548"/>
  <c r="M371" i="548" s="1"/>
  <c r="K371" i="548" a="1"/>
  <c r="J371" i="548"/>
  <c r="J371" i="548" a="1"/>
  <c r="H371" i="548"/>
  <c r="H428" i="548" s="1"/>
  <c r="AA370" i="548"/>
  <c r="AA507" i="548" s="1"/>
  <c r="Z370" i="548"/>
  <c r="Z507" i="548" s="1"/>
  <c r="Y370" i="548"/>
  <c r="Y507" i="548" s="1"/>
  <c r="X370" i="548"/>
  <c r="X507" i="548" s="1"/>
  <c r="U370" i="548"/>
  <c r="U507" i="548" s="1"/>
  <c r="T370" i="548"/>
  <c r="T507" i="548" s="1"/>
  <c r="S370" i="548"/>
  <c r="S507" i="548" s="1"/>
  <c r="R370" i="548"/>
  <c r="R507" i="548" s="1"/>
  <c r="Q370" i="548"/>
  <c r="Q507" i="548" s="1"/>
  <c r="P370" i="548"/>
  <c r="P507" i="548" s="1"/>
  <c r="O370" i="548"/>
  <c r="I370" i="548"/>
  <c r="I507" i="548" s="1"/>
  <c r="B515" i="548" s="1"/>
  <c r="G370" i="548"/>
  <c r="G507" i="548" s="1"/>
  <c r="V369" i="548"/>
  <c r="W369" i="548" s="1"/>
  <c r="N369" i="548"/>
  <c r="K369" i="548" a="1"/>
  <c r="K369" i="548" s="1"/>
  <c r="M369" i="548" s="1"/>
  <c r="J369" i="548" a="1"/>
  <c r="J369" i="548" s="1"/>
  <c r="H369" i="548"/>
  <c r="V368" i="548"/>
  <c r="W368" i="548" s="1"/>
  <c r="N368" i="548"/>
  <c r="K368" i="548" a="1"/>
  <c r="K368" i="548" s="1"/>
  <c r="M368" i="548" s="1"/>
  <c r="J368" i="548" a="1"/>
  <c r="J368" i="548" s="1"/>
  <c r="H368" i="548"/>
  <c r="K367" i="548" a="1"/>
  <c r="K367" i="548" s="1"/>
  <c r="M367" i="548" s="1"/>
  <c r="H367" i="548"/>
  <c r="K366" i="548" a="1"/>
  <c r="K366" i="548" s="1"/>
  <c r="M366" i="548" s="1"/>
  <c r="H366" i="548"/>
  <c r="K365" i="548" a="1"/>
  <c r="K365" i="548" s="1"/>
  <c r="M365" i="548" s="1"/>
  <c r="H365" i="548"/>
  <c r="K364" i="548" a="1"/>
  <c r="K364" i="548" s="1"/>
  <c r="M364" i="548" s="1"/>
  <c r="H364" i="548"/>
  <c r="W363" i="548"/>
  <c r="V363" i="548"/>
  <c r="N363" i="548"/>
  <c r="K363" i="548" a="1"/>
  <c r="K363" i="548" s="1"/>
  <c r="M363" i="548" s="1"/>
  <c r="J363" i="548" a="1"/>
  <c r="J363" i="548" s="1"/>
  <c r="H363" i="548"/>
  <c r="V362" i="548"/>
  <c r="W362" i="548" s="1"/>
  <c r="N362" i="548"/>
  <c r="K362" i="548" a="1"/>
  <c r="K362" i="548" s="1"/>
  <c r="M362" i="548" s="1"/>
  <c r="J362" i="548" a="1"/>
  <c r="J362" i="548" s="1"/>
  <c r="H362" i="548"/>
  <c r="V361" i="548"/>
  <c r="W361" i="548" s="1"/>
  <c r="N361" i="548"/>
  <c r="K361" i="548"/>
  <c r="M361" i="548" s="1"/>
  <c r="K361" i="548" a="1"/>
  <c r="J361" i="548"/>
  <c r="J361" i="548" a="1"/>
  <c r="H361" i="548"/>
  <c r="H360" i="548"/>
  <c r="H359" i="548"/>
  <c r="V358" i="548"/>
  <c r="W358" i="548" s="1"/>
  <c r="N358" i="548"/>
  <c r="K358" i="548" a="1"/>
  <c r="K358" i="548" s="1"/>
  <c r="M358" i="548" s="1"/>
  <c r="J358" i="548" a="1"/>
  <c r="J358" i="548" s="1"/>
  <c r="H358" i="548"/>
  <c r="W357" i="548"/>
  <c r="V357" i="548"/>
  <c r="N357" i="548"/>
  <c r="K357" i="548" a="1"/>
  <c r="K357" i="548" s="1"/>
  <c r="M357" i="548" s="1"/>
  <c r="J357" i="548" a="1"/>
  <c r="J357" i="548" s="1"/>
  <c r="H357" i="548"/>
  <c r="K356" i="548"/>
  <c r="M356" i="548" s="1"/>
  <c r="K356" i="548" a="1"/>
  <c r="H356" i="548"/>
  <c r="K355" i="548" a="1"/>
  <c r="K355" i="548" s="1"/>
  <c r="M355" i="548" s="1"/>
  <c r="H355" i="548"/>
  <c r="V354" i="548"/>
  <c r="W354" i="548" s="1"/>
  <c r="N354" i="548"/>
  <c r="K354" i="548" a="1"/>
  <c r="K354" i="548" s="1"/>
  <c r="M354" i="548" s="1"/>
  <c r="J354" i="548" a="1"/>
  <c r="J354" i="548" s="1"/>
  <c r="H354" i="548"/>
  <c r="V353" i="548"/>
  <c r="W353" i="548" s="1"/>
  <c r="N353" i="548"/>
  <c r="K353" i="548"/>
  <c r="M353" i="548" s="1"/>
  <c r="K353" i="548" a="1"/>
  <c r="J353" i="548"/>
  <c r="J353" i="548" a="1"/>
  <c r="H353" i="548"/>
  <c r="V352" i="548"/>
  <c r="W352" i="548" s="1"/>
  <c r="N352" i="548"/>
  <c r="K352" i="548" a="1"/>
  <c r="K352" i="548" s="1"/>
  <c r="M352" i="548" s="1"/>
  <c r="J352" i="548" a="1"/>
  <c r="J352" i="548" s="1"/>
  <c r="H352" i="548"/>
  <c r="W351" i="548"/>
  <c r="V351" i="548"/>
  <c r="N351" i="548"/>
  <c r="K351" i="548" a="1"/>
  <c r="K351" i="548" s="1"/>
  <c r="M351" i="548" s="1"/>
  <c r="J351" i="548" a="1"/>
  <c r="J351" i="548" s="1"/>
  <c r="H351" i="548"/>
  <c r="V350" i="548"/>
  <c r="W350" i="548" s="1"/>
  <c r="N350" i="548"/>
  <c r="K350" i="548" a="1"/>
  <c r="K350" i="548" s="1"/>
  <c r="M350" i="548" s="1"/>
  <c r="J350" i="548" a="1"/>
  <c r="J350" i="548" s="1"/>
  <c r="H350" i="548"/>
  <c r="V349" i="548"/>
  <c r="V370" i="548" s="1"/>
  <c r="N349" i="548"/>
  <c r="N370" i="548" s="1"/>
  <c r="K349" i="548"/>
  <c r="M349" i="548" s="1"/>
  <c r="K349" i="548" a="1"/>
  <c r="J349" i="548"/>
  <c r="J349" i="548" a="1"/>
  <c r="H349" i="548"/>
  <c r="H370" i="548" s="1"/>
  <c r="X343" i="548"/>
  <c r="X342" i="548"/>
  <c r="X341" i="548"/>
  <c r="G341" i="548"/>
  <c r="C341" i="548"/>
  <c r="X340" i="548"/>
  <c r="I340" i="548"/>
  <c r="E340" i="548"/>
  <c r="K340" i="548" s="1"/>
  <c r="M340" i="548" s="1"/>
  <c r="I339" i="548"/>
  <c r="E339" i="548"/>
  <c r="K339" i="548" s="1"/>
  <c r="M339" i="548" s="1"/>
  <c r="I338" i="548"/>
  <c r="E338" i="548"/>
  <c r="K338" i="548" s="1"/>
  <c r="M338" i="548" s="1"/>
  <c r="X337" i="548"/>
  <c r="I337" i="548"/>
  <c r="I341" i="548" s="1"/>
  <c r="E337" i="548"/>
  <c r="AA334" i="548"/>
  <c r="Z334" i="548"/>
  <c r="Y334" i="548"/>
  <c r="X334" i="548"/>
  <c r="U334" i="548"/>
  <c r="T334" i="548"/>
  <c r="S334" i="548"/>
  <c r="R334" i="548"/>
  <c r="Q334" i="548"/>
  <c r="P334" i="548"/>
  <c r="O334" i="548"/>
  <c r="R342" i="548" s="1"/>
  <c r="I334" i="548"/>
  <c r="G334" i="548"/>
  <c r="K333" i="548" a="1"/>
  <c r="K333" i="548" s="1"/>
  <c r="H333" i="548"/>
  <c r="K332" i="548"/>
  <c r="K332" i="548" a="1"/>
  <c r="H332" i="548"/>
  <c r="K331" i="548" a="1"/>
  <c r="K331" i="548" s="1"/>
  <c r="H331" i="548"/>
  <c r="V330" i="548"/>
  <c r="W330" i="548" s="1"/>
  <c r="N330" i="548"/>
  <c r="K330" i="548" a="1"/>
  <c r="K330" i="548" s="1"/>
  <c r="D330" i="548"/>
  <c r="H330" i="548" s="1"/>
  <c r="H329" i="548"/>
  <c r="K328" i="548" a="1"/>
  <c r="K328" i="548" s="1"/>
  <c r="H328" i="548"/>
  <c r="H327" i="548"/>
  <c r="V326" i="548"/>
  <c r="W326" i="548" s="1"/>
  <c r="N326" i="548"/>
  <c r="K326" i="548" a="1"/>
  <c r="K326" i="548" s="1"/>
  <c r="M326" i="548" s="1"/>
  <c r="J326" i="548" a="1"/>
  <c r="J326" i="548" s="1"/>
  <c r="H326" i="548"/>
  <c r="V325" i="548"/>
  <c r="W325" i="548" s="1"/>
  <c r="N325" i="548"/>
  <c r="K325" i="548" a="1"/>
  <c r="K325" i="548" s="1"/>
  <c r="M325" i="548" s="1"/>
  <c r="J325" i="548" a="1"/>
  <c r="J325" i="548" s="1"/>
  <c r="H325" i="548"/>
  <c r="H324" i="548"/>
  <c r="V323" i="548"/>
  <c r="W323" i="548" s="1"/>
  <c r="N323" i="548"/>
  <c r="K323" i="548" a="1"/>
  <c r="K323" i="548" s="1"/>
  <c r="M323" i="548" s="1"/>
  <c r="J323" i="548" a="1"/>
  <c r="J323" i="548" s="1"/>
  <c r="H323" i="548"/>
  <c r="W322" i="548"/>
  <c r="V322" i="548"/>
  <c r="N322" i="548"/>
  <c r="K322" i="548" a="1"/>
  <c r="K322" i="548" s="1"/>
  <c r="M322" i="548" s="1"/>
  <c r="J322" i="548" a="1"/>
  <c r="J322" i="548" s="1"/>
  <c r="H322" i="548"/>
  <c r="V321" i="548"/>
  <c r="W321" i="548" s="1"/>
  <c r="N321" i="548"/>
  <c r="K321" i="548" a="1"/>
  <c r="K321" i="548" s="1"/>
  <c r="M321" i="548" s="1"/>
  <c r="J321" i="548" a="1"/>
  <c r="J321" i="548" s="1"/>
  <c r="H321" i="548"/>
  <c r="V320" i="548"/>
  <c r="V334" i="548" s="1"/>
  <c r="N320" i="548"/>
  <c r="N334" i="548" s="1"/>
  <c r="K320" i="548" a="1"/>
  <c r="K320" i="548" s="1"/>
  <c r="J320" i="548" a="1"/>
  <c r="J320" i="548" s="1"/>
  <c r="H320" i="548"/>
  <c r="AA319" i="548"/>
  <c r="Z319" i="548"/>
  <c r="Y319" i="548"/>
  <c r="X319" i="548"/>
  <c r="U319" i="548"/>
  <c r="T319" i="548"/>
  <c r="S319" i="548"/>
  <c r="Q319" i="548"/>
  <c r="P319" i="548"/>
  <c r="O319" i="548"/>
  <c r="R341" i="548" s="1"/>
  <c r="I319" i="548"/>
  <c r="G319" i="548"/>
  <c r="V318" i="548"/>
  <c r="W318" i="548" s="1"/>
  <c r="N318" i="548"/>
  <c r="K318" i="548" a="1"/>
  <c r="K318" i="548" s="1"/>
  <c r="M318" i="548" s="1"/>
  <c r="J318" i="548" a="1"/>
  <c r="J318" i="548" s="1"/>
  <c r="H318" i="548"/>
  <c r="H317" i="548"/>
  <c r="H316" i="548"/>
  <c r="H315" i="548"/>
  <c r="H314" i="548"/>
  <c r="W313" i="548"/>
  <c r="V313" i="548"/>
  <c r="N313" i="548"/>
  <c r="K313" i="548" a="1"/>
  <c r="K313" i="548" s="1"/>
  <c r="M313" i="548" s="1"/>
  <c r="J313" i="548" a="1"/>
  <c r="J313" i="548" s="1"/>
  <c r="H313" i="548"/>
  <c r="V312" i="548"/>
  <c r="W312" i="548" s="1"/>
  <c r="N312" i="548"/>
  <c r="K312" i="548" a="1"/>
  <c r="K312" i="548" s="1"/>
  <c r="M312" i="548" s="1"/>
  <c r="J312" i="548" a="1"/>
  <c r="J312" i="548" s="1"/>
  <c r="H312" i="548"/>
  <c r="V311" i="548"/>
  <c r="W311" i="548" s="1"/>
  <c r="N311" i="548"/>
  <c r="K311" i="548"/>
  <c r="M311" i="548" s="1"/>
  <c r="K311" i="548" a="1"/>
  <c r="J311" i="548"/>
  <c r="J311" i="548" a="1"/>
  <c r="H311" i="548"/>
  <c r="V310" i="548"/>
  <c r="W310" i="548" s="1"/>
  <c r="N310" i="548"/>
  <c r="K310" i="548" a="1"/>
  <c r="K310" i="548" s="1"/>
  <c r="M310" i="548" s="1"/>
  <c r="J310" i="548" a="1"/>
  <c r="J310" i="548" s="1"/>
  <c r="H310" i="548"/>
  <c r="W309" i="548"/>
  <c r="V309" i="548"/>
  <c r="V319" i="548" s="1"/>
  <c r="W319" i="548" s="1"/>
  <c r="N309" i="548"/>
  <c r="N319" i="548" s="1"/>
  <c r="K309" i="548" a="1"/>
  <c r="K309" i="548" s="1"/>
  <c r="K319" i="548" s="1"/>
  <c r="J309" i="548" a="1"/>
  <c r="J309" i="548" s="1"/>
  <c r="H309" i="548"/>
  <c r="H319" i="548" s="1"/>
  <c r="AA308" i="548"/>
  <c r="Z308" i="548"/>
  <c r="Y308" i="548"/>
  <c r="X308" i="548"/>
  <c r="U308" i="548"/>
  <c r="T308" i="548"/>
  <c r="S308" i="548"/>
  <c r="Q308" i="548"/>
  <c r="P308" i="548"/>
  <c r="O308" i="548"/>
  <c r="R340" i="548" s="1"/>
  <c r="I308" i="548"/>
  <c r="G308" i="548"/>
  <c r="V307" i="548"/>
  <c r="W307" i="548" s="1"/>
  <c r="N307" i="548"/>
  <c r="K307" i="548" a="1"/>
  <c r="K307" i="548" s="1"/>
  <c r="M307" i="548" s="1"/>
  <c r="J307" i="548" a="1"/>
  <c r="J307" i="548" s="1"/>
  <c r="H307" i="548"/>
  <c r="W306" i="548"/>
  <c r="V306" i="548"/>
  <c r="N306" i="548"/>
  <c r="K306" i="548" a="1"/>
  <c r="K306" i="548" s="1"/>
  <c r="M306" i="548" s="1"/>
  <c r="J306" i="548" a="1"/>
  <c r="J306" i="548" s="1"/>
  <c r="H306" i="548"/>
  <c r="V305" i="548"/>
  <c r="W305" i="548" s="1"/>
  <c r="N305" i="548"/>
  <c r="K305" i="548" a="1"/>
  <c r="K305" i="548" s="1"/>
  <c r="M305" i="548" s="1"/>
  <c r="J305" i="548" a="1"/>
  <c r="J305" i="548" s="1"/>
  <c r="H305" i="548"/>
  <c r="V304" i="548"/>
  <c r="W304" i="548" s="1"/>
  <c r="N304" i="548"/>
  <c r="K304" i="548"/>
  <c r="M304" i="548" s="1"/>
  <c r="K304" i="548" a="1"/>
  <c r="J304" i="548"/>
  <c r="J304" i="548" a="1"/>
  <c r="H304" i="548"/>
  <c r="V303" i="548"/>
  <c r="W303" i="548" s="1"/>
  <c r="N303" i="548"/>
  <c r="K303" i="548" a="1"/>
  <c r="K303" i="548" s="1"/>
  <c r="M303" i="548" s="1"/>
  <c r="J303" i="548" a="1"/>
  <c r="J303" i="548" s="1"/>
  <c r="H303" i="548"/>
  <c r="W302" i="548"/>
  <c r="V302" i="548"/>
  <c r="N302" i="548"/>
  <c r="K302" i="548" a="1"/>
  <c r="K302" i="548" s="1"/>
  <c r="M302" i="548" s="1"/>
  <c r="J302" i="548" a="1"/>
  <c r="J302" i="548" s="1"/>
  <c r="H302" i="548"/>
  <c r="V301" i="548"/>
  <c r="W301" i="548" s="1"/>
  <c r="N301" i="548"/>
  <c r="K301" i="548" a="1"/>
  <c r="K301" i="548" s="1"/>
  <c r="M301" i="548" s="1"/>
  <c r="J301" i="548" a="1"/>
  <c r="J301" i="548" s="1"/>
  <c r="H301" i="548"/>
  <c r="V300" i="548"/>
  <c r="W300" i="548" s="1"/>
  <c r="N300" i="548"/>
  <c r="K300" i="548"/>
  <c r="M300" i="548" s="1"/>
  <c r="K300" i="548" a="1"/>
  <c r="J300" i="548"/>
  <c r="J300" i="548" a="1"/>
  <c r="H300" i="548"/>
  <c r="V299" i="548"/>
  <c r="W299" i="548" s="1"/>
  <c r="N299" i="548"/>
  <c r="K299" i="548" a="1"/>
  <c r="K299" i="548" s="1"/>
  <c r="M299" i="548" s="1"/>
  <c r="J299" i="548" a="1"/>
  <c r="J299" i="548" s="1"/>
  <c r="H299" i="548"/>
  <c r="W298" i="548"/>
  <c r="V298" i="548"/>
  <c r="N298" i="548"/>
  <c r="K298" i="548" a="1"/>
  <c r="K298" i="548" s="1"/>
  <c r="M298" i="548" s="1"/>
  <c r="J298" i="548" a="1"/>
  <c r="J298" i="548" s="1"/>
  <c r="H298" i="548"/>
  <c r="V297" i="548"/>
  <c r="W297" i="548" s="1"/>
  <c r="N297" i="548"/>
  <c r="K297" i="548" a="1"/>
  <c r="K297" i="548" s="1"/>
  <c r="M297" i="548" s="1"/>
  <c r="J297" i="548" a="1"/>
  <c r="J297" i="548" s="1"/>
  <c r="H297" i="548"/>
  <c r="V296" i="548"/>
  <c r="W296" i="548" s="1"/>
  <c r="N296" i="548"/>
  <c r="K296" i="548"/>
  <c r="M296" i="548" s="1"/>
  <c r="K296" i="548" a="1"/>
  <c r="J296" i="548"/>
  <c r="J296" i="548" a="1"/>
  <c r="H296" i="548"/>
  <c r="V295" i="548"/>
  <c r="W295" i="548" s="1"/>
  <c r="N295" i="548"/>
  <c r="K295" i="548" a="1"/>
  <c r="K295" i="548" s="1"/>
  <c r="M295" i="548" s="1"/>
  <c r="J295" i="548" a="1"/>
  <c r="J295" i="548" s="1"/>
  <c r="H295" i="548"/>
  <c r="W294" i="548"/>
  <c r="V294" i="548"/>
  <c r="N294" i="548"/>
  <c r="K294" i="548" a="1"/>
  <c r="K294" i="548" s="1"/>
  <c r="M294" i="548" s="1"/>
  <c r="J294" i="548" a="1"/>
  <c r="J294" i="548" s="1"/>
  <c r="H294" i="548"/>
  <c r="V293" i="548"/>
  <c r="W293" i="548" s="1"/>
  <c r="N293" i="548"/>
  <c r="K293" i="548" a="1"/>
  <c r="K293" i="548" s="1"/>
  <c r="J293" i="548" a="1"/>
  <c r="J293" i="548" s="1"/>
  <c r="H293" i="548"/>
  <c r="H308" i="548" s="1"/>
  <c r="AA292" i="548"/>
  <c r="Z292" i="548"/>
  <c r="Y292" i="548"/>
  <c r="X292" i="548"/>
  <c r="U292" i="548"/>
  <c r="T292" i="548"/>
  <c r="S292" i="548"/>
  <c r="R292" i="548"/>
  <c r="Q292" i="548"/>
  <c r="P292" i="548"/>
  <c r="O292" i="548"/>
  <c r="R339" i="548" s="1"/>
  <c r="I292" i="548"/>
  <c r="G292" i="548"/>
  <c r="V291" i="548"/>
  <c r="W291" i="548" s="1"/>
  <c r="N291" i="548"/>
  <c r="K291" i="548" a="1"/>
  <c r="K291" i="548" s="1"/>
  <c r="M291" i="548" s="1"/>
  <c r="J291" i="548" a="1"/>
  <c r="J291" i="548" s="1"/>
  <c r="H291" i="548"/>
  <c r="V290" i="548"/>
  <c r="W290" i="548" s="1"/>
  <c r="N290" i="548"/>
  <c r="K290" i="548" a="1"/>
  <c r="K290" i="548" s="1"/>
  <c r="M290" i="548" s="1"/>
  <c r="J290" i="548" a="1"/>
  <c r="J290" i="548" s="1"/>
  <c r="H290" i="548"/>
  <c r="V289" i="548"/>
  <c r="W289" i="548" s="1"/>
  <c r="N289" i="548"/>
  <c r="K289" i="548" a="1"/>
  <c r="K289" i="548" s="1"/>
  <c r="M289" i="548" s="1"/>
  <c r="J289" i="548" a="1"/>
  <c r="J289" i="548" s="1"/>
  <c r="H289" i="548"/>
  <c r="H288" i="548"/>
  <c r="H287" i="548"/>
  <c r="H286" i="548"/>
  <c r="V285" i="548"/>
  <c r="W285" i="548" s="1"/>
  <c r="N285" i="548"/>
  <c r="K285" i="548" a="1"/>
  <c r="K285" i="548" s="1"/>
  <c r="M285" i="548" s="1"/>
  <c r="J285" i="548" a="1"/>
  <c r="J285" i="548" s="1"/>
  <c r="H285" i="548"/>
  <c r="V284" i="548"/>
  <c r="W284" i="548" s="1"/>
  <c r="N284" i="548"/>
  <c r="K284" i="548"/>
  <c r="M284" i="548" s="1"/>
  <c r="K284" i="548" a="1"/>
  <c r="J284" i="548"/>
  <c r="J284" i="548" a="1"/>
  <c r="H284" i="548"/>
  <c r="N283" i="548"/>
  <c r="K283" i="548" a="1"/>
  <c r="K283" i="548" s="1"/>
  <c r="M283" i="548" s="1"/>
  <c r="H283" i="548"/>
  <c r="N282" i="548"/>
  <c r="K282" i="548" a="1"/>
  <c r="K282" i="548" s="1"/>
  <c r="M282" i="548" s="1"/>
  <c r="H282" i="548"/>
  <c r="N281" i="548"/>
  <c r="K281" i="548" a="1"/>
  <c r="K281" i="548" s="1"/>
  <c r="M281" i="548" s="1"/>
  <c r="H281" i="548"/>
  <c r="N280" i="548"/>
  <c r="K280" i="548"/>
  <c r="M280" i="548" s="1"/>
  <c r="K280" i="548" a="1"/>
  <c r="H280" i="548"/>
  <c r="N279" i="548"/>
  <c r="K279" i="548" a="1"/>
  <c r="K279" i="548" s="1"/>
  <c r="M279" i="548" s="1"/>
  <c r="H279" i="548"/>
  <c r="N278" i="548"/>
  <c r="K278" i="548" a="1"/>
  <c r="K278" i="548" s="1"/>
  <c r="M278" i="548" s="1"/>
  <c r="H278" i="548"/>
  <c r="V277" i="548"/>
  <c r="W277" i="548" s="1"/>
  <c r="N277" i="548"/>
  <c r="K277" i="548" a="1"/>
  <c r="K277" i="548" s="1"/>
  <c r="M277" i="548" s="1"/>
  <c r="J277" i="548" a="1"/>
  <c r="J277" i="548" s="1"/>
  <c r="H277" i="548"/>
  <c r="V276" i="548"/>
  <c r="W276" i="548" s="1"/>
  <c r="N276" i="548"/>
  <c r="K276" i="548"/>
  <c r="M276" i="548" s="1"/>
  <c r="K276" i="548" a="1"/>
  <c r="J276" i="548"/>
  <c r="J276" i="548" a="1"/>
  <c r="H276" i="548"/>
  <c r="V275" i="548"/>
  <c r="W275" i="548" s="1"/>
  <c r="N275" i="548"/>
  <c r="K275" i="548" a="1"/>
  <c r="K275" i="548" s="1"/>
  <c r="M275" i="548" s="1"/>
  <c r="J275" i="548" a="1"/>
  <c r="J275" i="548" s="1"/>
  <c r="H275" i="548"/>
  <c r="W274" i="548"/>
  <c r="V274" i="548"/>
  <c r="N274" i="548"/>
  <c r="K274" i="548" a="1"/>
  <c r="K274" i="548" s="1"/>
  <c r="M274" i="548" s="1"/>
  <c r="J274" i="548" a="1"/>
  <c r="J274" i="548" s="1"/>
  <c r="H274" i="548"/>
  <c r="V273" i="548"/>
  <c r="W273" i="548" s="1"/>
  <c r="N273" i="548"/>
  <c r="K273" i="548" a="1"/>
  <c r="K273" i="548" s="1"/>
  <c r="M273" i="548" s="1"/>
  <c r="J273" i="548" a="1"/>
  <c r="J273" i="548" s="1"/>
  <c r="H273" i="548"/>
  <c r="V272" i="548"/>
  <c r="W272" i="548" s="1"/>
  <c r="N272" i="548"/>
  <c r="K272" i="548"/>
  <c r="M272" i="548" s="1"/>
  <c r="K272" i="548" a="1"/>
  <c r="J272" i="548"/>
  <c r="J272" i="548" a="1"/>
  <c r="H272" i="548"/>
  <c r="V271" i="548"/>
  <c r="W271" i="548" s="1"/>
  <c r="N271" i="548"/>
  <c r="K271" i="548" a="1"/>
  <c r="K271" i="548" s="1"/>
  <c r="M271" i="548" s="1"/>
  <c r="J271" i="548" a="1"/>
  <c r="J271" i="548" s="1"/>
  <c r="H271" i="548"/>
  <c r="W270" i="548"/>
  <c r="V270" i="548"/>
  <c r="N270" i="548"/>
  <c r="K270" i="548" a="1"/>
  <c r="K270" i="548" s="1"/>
  <c r="M270" i="548" s="1"/>
  <c r="J270" i="548" a="1"/>
  <c r="J270" i="548" s="1"/>
  <c r="H270" i="548"/>
  <c r="V269" i="548"/>
  <c r="W269" i="548" s="1"/>
  <c r="N269" i="548"/>
  <c r="K269" i="548" a="1"/>
  <c r="K269" i="548" s="1"/>
  <c r="M269" i="548" s="1"/>
  <c r="J269" i="548" a="1"/>
  <c r="J269" i="548" s="1"/>
  <c r="H269" i="548"/>
  <c r="V268" i="548"/>
  <c r="W268" i="548" s="1"/>
  <c r="N268" i="548"/>
  <c r="K268" i="548"/>
  <c r="M268" i="548" s="1"/>
  <c r="K268" i="548" a="1"/>
  <c r="J268" i="548"/>
  <c r="J268" i="548" a="1"/>
  <c r="H268" i="548"/>
  <c r="V267" i="548"/>
  <c r="W267" i="548" s="1"/>
  <c r="N267" i="548"/>
  <c r="K267" i="548" a="1"/>
  <c r="K267" i="548" s="1"/>
  <c r="M267" i="548" s="1"/>
  <c r="J267" i="548" a="1"/>
  <c r="J267" i="548" s="1"/>
  <c r="H267" i="548"/>
  <c r="W266" i="548"/>
  <c r="V266" i="548"/>
  <c r="N266" i="548"/>
  <c r="K266" i="548" a="1"/>
  <c r="K266" i="548" s="1"/>
  <c r="M266" i="548" s="1"/>
  <c r="J266" i="548" a="1"/>
  <c r="J266" i="548" s="1"/>
  <c r="H266" i="548"/>
  <c r="N265" i="548"/>
  <c r="K265" i="548" a="1"/>
  <c r="K265" i="548" s="1"/>
  <c r="M265" i="548" s="1"/>
  <c r="H265" i="548"/>
  <c r="V264" i="548"/>
  <c r="W264" i="548" s="1"/>
  <c r="N264" i="548"/>
  <c r="K264" i="548"/>
  <c r="M264" i="548" s="1"/>
  <c r="K264" i="548" a="1"/>
  <c r="J264" i="548"/>
  <c r="J264" i="548" a="1"/>
  <c r="H264" i="548"/>
  <c r="V263" i="548"/>
  <c r="W263" i="548" s="1"/>
  <c r="N263" i="548"/>
  <c r="K263" i="548" a="1"/>
  <c r="K263" i="548" s="1"/>
  <c r="M263" i="548" s="1"/>
  <c r="J263" i="548" a="1"/>
  <c r="J263" i="548" s="1"/>
  <c r="H263" i="548"/>
  <c r="W262" i="548"/>
  <c r="V262" i="548"/>
  <c r="N262" i="548"/>
  <c r="K262" i="548" a="1"/>
  <c r="K262" i="548" s="1"/>
  <c r="M262" i="548" s="1"/>
  <c r="J262" i="548" a="1"/>
  <c r="J262" i="548" s="1"/>
  <c r="H262" i="548"/>
  <c r="V261" i="548"/>
  <c r="W261" i="548" s="1"/>
  <c r="N261" i="548"/>
  <c r="K261" i="548" a="1"/>
  <c r="K261" i="548" s="1"/>
  <c r="M261" i="548" s="1"/>
  <c r="J261" i="548" a="1"/>
  <c r="J261" i="548" s="1"/>
  <c r="H261" i="548"/>
  <c r="V260" i="548"/>
  <c r="W260" i="548" s="1"/>
  <c r="N260" i="548"/>
  <c r="K260" i="548"/>
  <c r="M260" i="548" s="1"/>
  <c r="K260" i="548" a="1"/>
  <c r="J260" i="548"/>
  <c r="J260" i="548" a="1"/>
  <c r="H260" i="548"/>
  <c r="V259" i="548"/>
  <c r="W259" i="548" s="1"/>
  <c r="N259" i="548"/>
  <c r="K259" i="548" a="1"/>
  <c r="K259" i="548" s="1"/>
  <c r="M259" i="548" s="1"/>
  <c r="J259" i="548" a="1"/>
  <c r="J259" i="548" s="1"/>
  <c r="H259" i="548"/>
  <c r="W258" i="548"/>
  <c r="V258" i="548"/>
  <c r="N258" i="548"/>
  <c r="N292" i="548" s="1"/>
  <c r="K258" i="548" a="1"/>
  <c r="K258" i="548" s="1"/>
  <c r="J258" i="548" a="1"/>
  <c r="J258" i="548" s="1"/>
  <c r="H258" i="548"/>
  <c r="H292" i="548" s="1"/>
  <c r="AA257" i="548"/>
  <c r="Z257" i="548"/>
  <c r="Y257" i="548"/>
  <c r="X257" i="548"/>
  <c r="U257" i="548"/>
  <c r="T257" i="548"/>
  <c r="S257" i="548"/>
  <c r="R257" i="548"/>
  <c r="Q257" i="548"/>
  <c r="P257" i="548"/>
  <c r="O257" i="548"/>
  <c r="R338" i="548" s="1"/>
  <c r="I257" i="548"/>
  <c r="G257" i="548"/>
  <c r="H256" i="548"/>
  <c r="H255" i="548"/>
  <c r="H254" i="548"/>
  <c r="H253" i="548"/>
  <c r="H252" i="548"/>
  <c r="H251" i="548"/>
  <c r="K250" i="548" a="1"/>
  <c r="K250" i="548" s="1"/>
  <c r="M250" i="548" s="1"/>
  <c r="H250" i="548"/>
  <c r="K249" i="548" a="1"/>
  <c r="K249" i="548" s="1"/>
  <c r="M249" i="548" s="1"/>
  <c r="H249" i="548"/>
  <c r="K248" i="548" a="1"/>
  <c r="K248" i="548" s="1"/>
  <c r="M248" i="548" s="1"/>
  <c r="H248" i="548"/>
  <c r="K247" i="548" a="1"/>
  <c r="K247" i="548" s="1"/>
  <c r="M247" i="548" s="1"/>
  <c r="H247" i="548"/>
  <c r="W246" i="548"/>
  <c r="V246" i="548"/>
  <c r="N246" i="548"/>
  <c r="K246" i="548" a="1"/>
  <c r="K246" i="548" s="1"/>
  <c r="M246" i="548" s="1"/>
  <c r="J246" i="548" a="1"/>
  <c r="J246" i="548" s="1"/>
  <c r="H246" i="548"/>
  <c r="V245" i="548"/>
  <c r="W245" i="548" s="1"/>
  <c r="N245" i="548"/>
  <c r="K245" i="548" a="1"/>
  <c r="K245" i="548" s="1"/>
  <c r="M245" i="548" s="1"/>
  <c r="J245" i="548" a="1"/>
  <c r="J245" i="548" s="1"/>
  <c r="H245" i="548"/>
  <c r="V244" i="548"/>
  <c r="W244" i="548" s="1"/>
  <c r="N244" i="548"/>
  <c r="K244" i="548"/>
  <c r="M244" i="548" s="1"/>
  <c r="K244" i="548" a="1"/>
  <c r="J244" i="548"/>
  <c r="J244" i="548" a="1"/>
  <c r="H244" i="548"/>
  <c r="V243" i="548"/>
  <c r="W243" i="548" s="1"/>
  <c r="N243" i="548"/>
  <c r="K243" i="548" a="1"/>
  <c r="K243" i="548" s="1"/>
  <c r="M243" i="548" s="1"/>
  <c r="J243" i="548" a="1"/>
  <c r="J243" i="548" s="1"/>
  <c r="H243" i="548"/>
  <c r="M242" i="548"/>
  <c r="H242" i="548"/>
  <c r="W241" i="548"/>
  <c r="V241" i="548"/>
  <c r="N241" i="548"/>
  <c r="K241" i="548" a="1"/>
  <c r="K241" i="548" s="1"/>
  <c r="M241" i="548" s="1"/>
  <c r="J241" i="548" a="1"/>
  <c r="J241" i="548" s="1"/>
  <c r="H241" i="548"/>
  <c r="V240" i="548"/>
  <c r="W240" i="548" s="1"/>
  <c r="N240" i="548"/>
  <c r="K240" i="548" a="1"/>
  <c r="K240" i="548" s="1"/>
  <c r="M240" i="548" s="1"/>
  <c r="J240" i="548" a="1"/>
  <c r="J240" i="548" s="1"/>
  <c r="H240" i="548"/>
  <c r="K239" i="548" a="1"/>
  <c r="K239" i="548" s="1"/>
  <c r="M239" i="548" s="1"/>
  <c r="H239" i="548"/>
  <c r="H238" i="548"/>
  <c r="V237" i="548"/>
  <c r="W237" i="548" s="1"/>
  <c r="N237" i="548"/>
  <c r="K237" i="548" a="1"/>
  <c r="K237" i="548" s="1"/>
  <c r="M237" i="548" s="1"/>
  <c r="J237" i="548" a="1"/>
  <c r="J237" i="548" s="1"/>
  <c r="H237" i="548"/>
  <c r="V236" i="548"/>
  <c r="W236" i="548" s="1"/>
  <c r="N236" i="548"/>
  <c r="K236" i="548"/>
  <c r="M236" i="548" s="1"/>
  <c r="K236" i="548" a="1"/>
  <c r="J236" i="548"/>
  <c r="J236" i="548" a="1"/>
  <c r="H236" i="548"/>
  <c r="V235" i="548"/>
  <c r="W235" i="548" s="1"/>
  <c r="N235" i="548"/>
  <c r="K235" i="548" a="1"/>
  <c r="K235" i="548" s="1"/>
  <c r="M235" i="548" s="1"/>
  <c r="J235" i="548" a="1"/>
  <c r="J235" i="548" s="1"/>
  <c r="H235" i="548"/>
  <c r="W234" i="548"/>
  <c r="V234" i="548"/>
  <c r="N234" i="548"/>
  <c r="K234" i="548" a="1"/>
  <c r="K234" i="548" s="1"/>
  <c r="M234" i="548" s="1"/>
  <c r="J234" i="548" a="1"/>
  <c r="J234" i="548" s="1"/>
  <c r="H234" i="548"/>
  <c r="V233" i="548"/>
  <c r="W233" i="548" s="1"/>
  <c r="N233" i="548"/>
  <c r="K233" i="548" a="1"/>
  <c r="K233" i="548" s="1"/>
  <c r="M233" i="548" s="1"/>
  <c r="J233" i="548" a="1"/>
  <c r="J233" i="548" s="1"/>
  <c r="H233" i="548"/>
  <c r="V232" i="548"/>
  <c r="W232" i="548" s="1"/>
  <c r="N232" i="548"/>
  <c r="K232" i="548"/>
  <c r="M232" i="548" s="1"/>
  <c r="K232" i="548" a="1"/>
  <c r="J232" i="548"/>
  <c r="J232" i="548" a="1"/>
  <c r="H232" i="548"/>
  <c r="V231" i="548"/>
  <c r="W231" i="548" s="1"/>
  <c r="N231" i="548"/>
  <c r="K231" i="548" a="1"/>
  <c r="K231" i="548" s="1"/>
  <c r="M231" i="548" s="1"/>
  <c r="J231" i="548" a="1"/>
  <c r="J231" i="548" s="1"/>
  <c r="H231" i="548"/>
  <c r="W230" i="548"/>
  <c r="V230" i="548"/>
  <c r="N230" i="548"/>
  <c r="K230" i="548" a="1"/>
  <c r="K230" i="548" s="1"/>
  <c r="M230" i="548" s="1"/>
  <c r="J230" i="548" a="1"/>
  <c r="J230" i="548" s="1"/>
  <c r="H230" i="548"/>
  <c r="V229" i="548"/>
  <c r="W229" i="548" s="1"/>
  <c r="N229" i="548"/>
  <c r="K229" i="548" a="1"/>
  <c r="K229" i="548" s="1"/>
  <c r="M229" i="548" s="1"/>
  <c r="J229" i="548" a="1"/>
  <c r="J229" i="548" s="1"/>
  <c r="H229" i="548"/>
  <c r="W228" i="548"/>
  <c r="V228" i="548"/>
  <c r="N228" i="548"/>
  <c r="K228" i="548"/>
  <c r="M228" i="548" s="1"/>
  <c r="K228" i="548" a="1"/>
  <c r="J228" i="548" a="1"/>
  <c r="J228" i="548" s="1"/>
  <c r="H228" i="548"/>
  <c r="N227" i="548"/>
  <c r="K227" i="548" a="1"/>
  <c r="K227" i="548" s="1"/>
  <c r="M227" i="548" s="1"/>
  <c r="H227" i="548"/>
  <c r="N226" i="548"/>
  <c r="K226" i="548" a="1"/>
  <c r="K226" i="548" s="1"/>
  <c r="M226" i="548" s="1"/>
  <c r="H226" i="548"/>
  <c r="N225" i="548"/>
  <c r="K225" i="548" a="1"/>
  <c r="K225" i="548" s="1"/>
  <c r="M225" i="548" s="1"/>
  <c r="H225" i="548"/>
  <c r="N224" i="548"/>
  <c r="K224" i="548"/>
  <c r="M224" i="548" s="1"/>
  <c r="K224" i="548" a="1"/>
  <c r="H224" i="548"/>
  <c r="N223" i="548"/>
  <c r="K223" i="548" a="1"/>
  <c r="K223" i="548" s="1"/>
  <c r="M223" i="548" s="1"/>
  <c r="H223" i="548"/>
  <c r="N222" i="548"/>
  <c r="K222" i="548" a="1"/>
  <c r="K222" i="548" s="1"/>
  <c r="M222" i="548" s="1"/>
  <c r="H222" i="548"/>
  <c r="N221" i="548"/>
  <c r="K221" i="548" a="1"/>
  <c r="K221" i="548" s="1"/>
  <c r="M221" i="548" s="1"/>
  <c r="H221" i="548"/>
  <c r="N220" i="548"/>
  <c r="K220" i="548"/>
  <c r="M220" i="548" s="1"/>
  <c r="K220" i="548" a="1"/>
  <c r="H220" i="548"/>
  <c r="V219" i="548"/>
  <c r="W219" i="548" s="1"/>
  <c r="N219" i="548"/>
  <c r="K219" i="548" a="1"/>
  <c r="K219" i="548" s="1"/>
  <c r="M219" i="548" s="1"/>
  <c r="J219" i="548" a="1"/>
  <c r="J219" i="548" s="1"/>
  <c r="H219" i="548"/>
  <c r="W218" i="548"/>
  <c r="V218" i="548"/>
  <c r="N218" i="548"/>
  <c r="K218" i="548" a="1"/>
  <c r="K218" i="548" s="1"/>
  <c r="M218" i="548" s="1"/>
  <c r="J218" i="548" a="1"/>
  <c r="J218" i="548" s="1"/>
  <c r="H218" i="548"/>
  <c r="V217" i="548"/>
  <c r="W217" i="548" s="1"/>
  <c r="N217" i="548"/>
  <c r="K217" i="548" a="1"/>
  <c r="K217" i="548" s="1"/>
  <c r="M217" i="548" s="1"/>
  <c r="J217" i="548" a="1"/>
  <c r="J217" i="548" s="1"/>
  <c r="H217" i="548"/>
  <c r="V216" i="548"/>
  <c r="W216" i="548" s="1"/>
  <c r="N216" i="548"/>
  <c r="K216" i="548"/>
  <c r="M216" i="548" s="1"/>
  <c r="K216" i="548" a="1"/>
  <c r="J216" i="548"/>
  <c r="J216" i="548" a="1"/>
  <c r="H216" i="548"/>
  <c r="V215" i="548"/>
  <c r="W215" i="548" s="1"/>
  <c r="N215" i="548"/>
  <c r="K215" i="548" a="1"/>
  <c r="K215" i="548" s="1"/>
  <c r="M215" i="548" s="1"/>
  <c r="J215" i="548" a="1"/>
  <c r="J215" i="548" s="1"/>
  <c r="H215" i="548"/>
  <c r="W214" i="548"/>
  <c r="V214" i="548"/>
  <c r="N214" i="548"/>
  <c r="K214" i="548" a="1"/>
  <c r="K214" i="548" s="1"/>
  <c r="M214" i="548" s="1"/>
  <c r="J214" i="548" a="1"/>
  <c r="J214" i="548" s="1"/>
  <c r="H214" i="548"/>
  <c r="V213" i="548"/>
  <c r="W213" i="548" s="1"/>
  <c r="N213" i="548"/>
  <c r="K213" i="548" a="1"/>
  <c r="K213" i="548" s="1"/>
  <c r="M213" i="548" s="1"/>
  <c r="J213" i="548" a="1"/>
  <c r="J213" i="548" s="1"/>
  <c r="H213" i="548"/>
  <c r="V212" i="548"/>
  <c r="W212" i="548" s="1"/>
  <c r="N212" i="548"/>
  <c r="K212" i="548"/>
  <c r="M212" i="548" s="1"/>
  <c r="K212" i="548" a="1"/>
  <c r="J212" i="548"/>
  <c r="J212" i="548" a="1"/>
  <c r="H212" i="548"/>
  <c r="V211" i="548"/>
  <c r="W211" i="548" s="1"/>
  <c r="N211" i="548"/>
  <c r="K211" i="548" a="1"/>
  <c r="K211" i="548" s="1"/>
  <c r="M211" i="548" s="1"/>
  <c r="J211" i="548" a="1"/>
  <c r="J211" i="548" s="1"/>
  <c r="H211" i="548"/>
  <c r="V210" i="548"/>
  <c r="W210" i="548" s="1"/>
  <c r="N210" i="548"/>
  <c r="K210" i="548" a="1"/>
  <c r="K210" i="548" s="1"/>
  <c r="M210" i="548" s="1"/>
  <c r="J210" i="548" a="1"/>
  <c r="J210" i="548" s="1"/>
  <c r="H210" i="548"/>
  <c r="V209" i="548"/>
  <c r="W209" i="548" s="1"/>
  <c r="N209" i="548"/>
  <c r="K209" i="548" a="1"/>
  <c r="K209" i="548" s="1"/>
  <c r="M209" i="548" s="1"/>
  <c r="J209" i="548" a="1"/>
  <c r="J209" i="548" s="1"/>
  <c r="H209" i="548"/>
  <c r="V208" i="548"/>
  <c r="W208" i="548" s="1"/>
  <c r="N208" i="548"/>
  <c r="K208" i="548"/>
  <c r="M208" i="548" s="1"/>
  <c r="K208" i="548" a="1"/>
  <c r="J208" i="548"/>
  <c r="J208" i="548" a="1"/>
  <c r="H208" i="548"/>
  <c r="H207" i="548"/>
  <c r="H206" i="548"/>
  <c r="H205" i="548"/>
  <c r="W204" i="548"/>
  <c r="V204" i="548"/>
  <c r="N204" i="548"/>
  <c r="K204" i="548" a="1"/>
  <c r="K204" i="548" s="1"/>
  <c r="M204" i="548" s="1"/>
  <c r="J204" i="548" a="1"/>
  <c r="J204" i="548" s="1"/>
  <c r="H204" i="548"/>
  <c r="V203" i="548"/>
  <c r="W203" i="548" s="1"/>
  <c r="N203" i="548"/>
  <c r="K203" i="548" a="1"/>
  <c r="K203" i="548" s="1"/>
  <c r="M203" i="548" s="1"/>
  <c r="J203" i="548" a="1"/>
  <c r="J203" i="548" s="1"/>
  <c r="H203" i="548"/>
  <c r="W202" i="548"/>
  <c r="V202" i="548"/>
  <c r="N202" i="548"/>
  <c r="K202" i="548"/>
  <c r="M202" i="548" s="1"/>
  <c r="K202" i="548" a="1"/>
  <c r="J202" i="548" a="1"/>
  <c r="J202" i="548" s="1"/>
  <c r="H202" i="548"/>
  <c r="H201" i="548"/>
  <c r="W200" i="548"/>
  <c r="V200" i="548"/>
  <c r="V257" i="548" s="1"/>
  <c r="W257" i="548" s="1"/>
  <c r="N200" i="548"/>
  <c r="N257" i="548" s="1"/>
  <c r="K200" i="548" a="1"/>
  <c r="K200" i="548" s="1"/>
  <c r="M200" i="548" s="1"/>
  <c r="J200" i="548" a="1"/>
  <c r="J200" i="548" s="1"/>
  <c r="H200" i="548"/>
  <c r="AA199" i="548"/>
  <c r="AA335" i="548" s="1"/>
  <c r="Z199" i="548"/>
  <c r="Z335" i="548" s="1"/>
  <c r="Y199" i="548"/>
  <c r="Y335" i="548" s="1"/>
  <c r="X199" i="548"/>
  <c r="X335" i="548" s="1"/>
  <c r="U199" i="548"/>
  <c r="U335" i="548" s="1"/>
  <c r="T199" i="548"/>
  <c r="T335" i="548" s="1"/>
  <c r="S199" i="548"/>
  <c r="S335" i="548" s="1"/>
  <c r="R199" i="548"/>
  <c r="R335" i="548" s="1"/>
  <c r="Q199" i="548"/>
  <c r="Q335" i="548" s="1"/>
  <c r="P199" i="548"/>
  <c r="X338" i="548" s="1"/>
  <c r="O199" i="548"/>
  <c r="R337" i="548" s="1"/>
  <c r="I199" i="548"/>
  <c r="I335" i="548" s="1"/>
  <c r="B343" i="548" s="1"/>
  <c r="G199" i="548"/>
  <c r="G335" i="548" s="1"/>
  <c r="V198" i="548"/>
  <c r="W198" i="548" s="1"/>
  <c r="N198" i="548"/>
  <c r="K198" i="548" a="1"/>
  <c r="K198" i="548" s="1"/>
  <c r="M198" i="548" s="1"/>
  <c r="J198" i="548" a="1"/>
  <c r="J198" i="548" s="1"/>
  <c r="H198" i="548"/>
  <c r="V197" i="548"/>
  <c r="W197" i="548" s="1"/>
  <c r="N197" i="548"/>
  <c r="K197" i="548"/>
  <c r="M197" i="548" s="1"/>
  <c r="K197" i="548" a="1"/>
  <c r="J197" i="548" a="1"/>
  <c r="J197" i="548" s="1"/>
  <c r="H197" i="548"/>
  <c r="K196" i="548" a="1"/>
  <c r="K196" i="548" s="1"/>
  <c r="M196" i="548" s="1"/>
  <c r="H196" i="548"/>
  <c r="K195" i="548" a="1"/>
  <c r="K195" i="548" s="1"/>
  <c r="M195" i="548" s="1"/>
  <c r="H195" i="548"/>
  <c r="K194" i="548" a="1"/>
  <c r="K194" i="548" s="1"/>
  <c r="M194" i="548" s="1"/>
  <c r="H194" i="548"/>
  <c r="K193" i="548" a="1"/>
  <c r="K193" i="548" s="1"/>
  <c r="M193" i="548" s="1"/>
  <c r="H193" i="548"/>
  <c r="W192" i="548"/>
  <c r="V192" i="548"/>
  <c r="N192" i="548"/>
  <c r="K192" i="548" a="1"/>
  <c r="K192" i="548" s="1"/>
  <c r="M192" i="548" s="1"/>
  <c r="J192" i="548" a="1"/>
  <c r="J192" i="548" s="1"/>
  <c r="H192" i="548"/>
  <c r="V191" i="548"/>
  <c r="W191" i="548" s="1"/>
  <c r="N191" i="548"/>
  <c r="K191" i="548" a="1"/>
  <c r="K191" i="548" s="1"/>
  <c r="M191" i="548" s="1"/>
  <c r="J191" i="548" a="1"/>
  <c r="J191" i="548" s="1"/>
  <c r="H191" i="548"/>
  <c r="W190" i="548"/>
  <c r="V190" i="548"/>
  <c r="N190" i="548"/>
  <c r="K190" i="548" a="1"/>
  <c r="K190" i="548" s="1"/>
  <c r="M190" i="548" s="1"/>
  <c r="J190" i="548" a="1"/>
  <c r="J190" i="548" s="1"/>
  <c r="H190" i="548"/>
  <c r="N189" i="548"/>
  <c r="K189" i="548" a="1"/>
  <c r="K189" i="548" s="1"/>
  <c r="M189" i="548" s="1"/>
  <c r="J189" i="548" a="1"/>
  <c r="J189" i="548" s="1"/>
  <c r="H189" i="548"/>
  <c r="N188" i="548"/>
  <c r="K188" i="548" a="1"/>
  <c r="K188" i="548" s="1"/>
  <c r="M188" i="548" s="1"/>
  <c r="J188" i="548" a="1"/>
  <c r="J188" i="548" s="1"/>
  <c r="H188" i="548"/>
  <c r="V187" i="548"/>
  <c r="W187" i="548" s="1"/>
  <c r="N187" i="548"/>
  <c r="K187" i="548" a="1"/>
  <c r="K187" i="548" s="1"/>
  <c r="M187" i="548" s="1"/>
  <c r="J187" i="548" a="1"/>
  <c r="J187" i="548" s="1"/>
  <c r="H187" i="548"/>
  <c r="V186" i="548"/>
  <c r="W186" i="548" s="1"/>
  <c r="N186" i="548"/>
  <c r="K186" i="548" a="1"/>
  <c r="K186" i="548" s="1"/>
  <c r="M186" i="548" s="1"/>
  <c r="J186" i="548" a="1"/>
  <c r="J186" i="548" s="1"/>
  <c r="H186" i="548"/>
  <c r="N185" i="548"/>
  <c r="K185" i="548" a="1"/>
  <c r="K185" i="548" s="1"/>
  <c r="M185" i="548" s="1"/>
  <c r="H185" i="548"/>
  <c r="N184" i="548"/>
  <c r="K184" i="548"/>
  <c r="M184" i="548" s="1"/>
  <c r="K184" i="548" a="1"/>
  <c r="H184" i="548"/>
  <c r="V183" i="548"/>
  <c r="W183" i="548" s="1"/>
  <c r="N183" i="548"/>
  <c r="K183" i="548" a="1"/>
  <c r="K183" i="548" s="1"/>
  <c r="M183" i="548" s="1"/>
  <c r="J183" i="548" a="1"/>
  <c r="J183" i="548" s="1"/>
  <c r="H183" i="548"/>
  <c r="V182" i="548"/>
  <c r="W182" i="548" s="1"/>
  <c r="N182" i="548"/>
  <c r="K182" i="548" a="1"/>
  <c r="K182" i="548" s="1"/>
  <c r="M182" i="548" s="1"/>
  <c r="J182" i="548" a="1"/>
  <c r="J182" i="548" s="1"/>
  <c r="H182" i="548"/>
  <c r="V181" i="548"/>
  <c r="W181" i="548" s="1"/>
  <c r="N181" i="548"/>
  <c r="K181" i="548" a="1"/>
  <c r="K181" i="548" s="1"/>
  <c r="M181" i="548" s="1"/>
  <c r="J181" i="548" a="1"/>
  <c r="J181" i="548" s="1"/>
  <c r="H181" i="548"/>
  <c r="V180" i="548"/>
  <c r="W180" i="548" s="1"/>
  <c r="N180" i="548"/>
  <c r="K180" i="548"/>
  <c r="M180" i="548" s="1"/>
  <c r="K180" i="548" a="1"/>
  <c r="J180" i="548"/>
  <c r="J180" i="548" a="1"/>
  <c r="H180" i="548"/>
  <c r="V179" i="548"/>
  <c r="W179" i="548" s="1"/>
  <c r="N179" i="548"/>
  <c r="K179" i="548" a="1"/>
  <c r="K179" i="548" s="1"/>
  <c r="M179" i="548" s="1"/>
  <c r="J179" i="548" a="1"/>
  <c r="J179" i="548" s="1"/>
  <c r="H179" i="548"/>
  <c r="V178" i="548"/>
  <c r="N178" i="548"/>
  <c r="N199" i="548" s="1"/>
  <c r="K178" i="548" a="1"/>
  <c r="K178" i="548" s="1"/>
  <c r="M178" i="548" s="1"/>
  <c r="J178" i="548" a="1"/>
  <c r="J178" i="548" s="1"/>
  <c r="H178" i="548"/>
  <c r="X171" i="548"/>
  <c r="Q529" i="548" s="1"/>
  <c r="X170" i="548"/>
  <c r="Q528" i="548" s="1"/>
  <c r="G170" i="548"/>
  <c r="C170" i="548"/>
  <c r="X169" i="548"/>
  <c r="Q527" i="548" s="1"/>
  <c r="I169" i="548"/>
  <c r="E169" i="548"/>
  <c r="K169" i="548" s="1"/>
  <c r="M169" i="548" s="1"/>
  <c r="I168" i="548"/>
  <c r="E168" i="548"/>
  <c r="K168" i="548" s="1"/>
  <c r="M168" i="548" s="1"/>
  <c r="I167" i="548"/>
  <c r="E167" i="548"/>
  <c r="K167" i="548" s="1"/>
  <c r="M167" i="548" s="1"/>
  <c r="X166" i="548"/>
  <c r="Q524" i="548" s="1"/>
  <c r="I166" i="548"/>
  <c r="I170" i="548" s="1"/>
  <c r="E166" i="548"/>
  <c r="K166" i="548" s="1"/>
  <c r="AA163" i="548"/>
  <c r="Z163" i="548"/>
  <c r="Y163" i="548"/>
  <c r="X163" i="548"/>
  <c r="U163" i="548"/>
  <c r="T163" i="548"/>
  <c r="S163" i="548"/>
  <c r="R163" i="548"/>
  <c r="Q163" i="548"/>
  <c r="P163" i="548"/>
  <c r="O163" i="548"/>
  <c r="I163" i="548"/>
  <c r="G163" i="548"/>
  <c r="C529" i="548" s="1"/>
  <c r="H162" i="548"/>
  <c r="H161" i="548"/>
  <c r="H160" i="548"/>
  <c r="V159" i="548"/>
  <c r="W159" i="548" s="1"/>
  <c r="N159" i="548"/>
  <c r="K159" i="548"/>
  <c r="K159" i="548" a="1"/>
  <c r="J159" i="548" a="1"/>
  <c r="J159" i="548" s="1"/>
  <c r="H159" i="548"/>
  <c r="D159" i="548"/>
  <c r="V158" i="548"/>
  <c r="W158" i="548" s="1"/>
  <c r="N158" i="548"/>
  <c r="K158" i="548" a="1"/>
  <c r="K158" i="548" s="1"/>
  <c r="M158" i="548" s="1"/>
  <c r="J158" i="548" a="1"/>
  <c r="J158" i="548" s="1"/>
  <c r="H158" i="548"/>
  <c r="H157" i="548"/>
  <c r="H156" i="548"/>
  <c r="V155" i="548"/>
  <c r="W155" i="548" s="1"/>
  <c r="N155" i="548"/>
  <c r="K155" i="548" a="1"/>
  <c r="K155" i="548" s="1"/>
  <c r="M155" i="548" s="1"/>
  <c r="J155" i="548" a="1"/>
  <c r="J155" i="548" s="1"/>
  <c r="H155" i="548"/>
  <c r="V154" i="548"/>
  <c r="W154" i="548" s="1"/>
  <c r="N154" i="548"/>
  <c r="K154" i="548"/>
  <c r="M154" i="548" s="1"/>
  <c r="K154" i="548" a="1"/>
  <c r="J154" i="548"/>
  <c r="J154" i="548" a="1"/>
  <c r="H154" i="548"/>
  <c r="H153" i="548"/>
  <c r="V152" i="548"/>
  <c r="W152" i="548" s="1"/>
  <c r="N152" i="548"/>
  <c r="K152" i="548" a="1"/>
  <c r="K152" i="548" s="1"/>
  <c r="M152" i="548" s="1"/>
  <c r="J152" i="548" a="1"/>
  <c r="J152" i="548" s="1"/>
  <c r="H152" i="548"/>
  <c r="W151" i="548"/>
  <c r="V151" i="548"/>
  <c r="N151" i="548"/>
  <c r="K151" i="548"/>
  <c r="M151" i="548" s="1"/>
  <c r="K151" i="548" a="1"/>
  <c r="J151" i="548" a="1"/>
  <c r="J151" i="548" s="1"/>
  <c r="H151" i="548"/>
  <c r="V150" i="548"/>
  <c r="W150" i="548" s="1"/>
  <c r="N150" i="548"/>
  <c r="K150" i="548" a="1"/>
  <c r="K150" i="548" s="1"/>
  <c r="M150" i="548" s="1"/>
  <c r="J150" i="548" a="1"/>
  <c r="J150" i="548" s="1"/>
  <c r="H150" i="548"/>
  <c r="W149" i="548"/>
  <c r="V149" i="548"/>
  <c r="V163" i="548" s="1"/>
  <c r="W163" i="548" s="1"/>
  <c r="N149" i="548"/>
  <c r="N163" i="548" s="1"/>
  <c r="K149" i="548" a="1"/>
  <c r="K149" i="548" s="1"/>
  <c r="J149" i="548" a="1"/>
  <c r="J149" i="548" s="1"/>
  <c r="H149" i="548"/>
  <c r="H163" i="548" s="1"/>
  <c r="AA148" i="548"/>
  <c r="Z148" i="548"/>
  <c r="Y148" i="548"/>
  <c r="X148" i="548"/>
  <c r="U148" i="548"/>
  <c r="T148" i="548"/>
  <c r="S148" i="548"/>
  <c r="Q148" i="548"/>
  <c r="P148" i="548"/>
  <c r="O148" i="548"/>
  <c r="R170" i="548" s="1"/>
  <c r="I148" i="548"/>
  <c r="G148" i="548"/>
  <c r="C528" i="548" s="1"/>
  <c r="V147" i="548"/>
  <c r="W147" i="548" s="1"/>
  <c r="N147" i="548"/>
  <c r="K147" i="548" a="1"/>
  <c r="K147" i="548" s="1"/>
  <c r="M147" i="548" s="1"/>
  <c r="J147" i="548" a="1"/>
  <c r="J147" i="548" s="1"/>
  <c r="H147" i="548"/>
  <c r="K146" i="548" a="1"/>
  <c r="K146" i="548" s="1"/>
  <c r="H146" i="548"/>
  <c r="K145" i="548" a="1"/>
  <c r="K145" i="548" s="1"/>
  <c r="H145" i="548"/>
  <c r="K144" i="548"/>
  <c r="K144" i="548" a="1"/>
  <c r="H144" i="548"/>
  <c r="K143" i="548" a="1"/>
  <c r="K143" i="548" s="1"/>
  <c r="H143" i="548"/>
  <c r="W142" i="548"/>
  <c r="V142" i="548"/>
  <c r="N142" i="548"/>
  <c r="K142" i="548" a="1"/>
  <c r="K142" i="548" s="1"/>
  <c r="M142" i="548" s="1"/>
  <c r="J142" i="548" a="1"/>
  <c r="J142" i="548" s="1"/>
  <c r="H142" i="548"/>
  <c r="V141" i="548"/>
  <c r="W141" i="548" s="1"/>
  <c r="N141" i="548"/>
  <c r="K141" i="548" a="1"/>
  <c r="K141" i="548" s="1"/>
  <c r="M141" i="548" s="1"/>
  <c r="J141" i="548" a="1"/>
  <c r="J141" i="548" s="1"/>
  <c r="H141" i="548"/>
  <c r="V140" i="548"/>
  <c r="W140" i="548" s="1"/>
  <c r="N140" i="548"/>
  <c r="K140" i="548"/>
  <c r="M140" i="548" s="1"/>
  <c r="K140" i="548" a="1"/>
  <c r="J140" i="548"/>
  <c r="J140" i="548" a="1"/>
  <c r="H140" i="548"/>
  <c r="V139" i="548"/>
  <c r="W139" i="548" s="1"/>
  <c r="N139" i="548"/>
  <c r="K139" i="548" a="1"/>
  <c r="K139" i="548" s="1"/>
  <c r="M139" i="548" s="1"/>
  <c r="J139" i="548" a="1"/>
  <c r="J139" i="548" s="1"/>
  <c r="H139" i="548"/>
  <c r="W138" i="548"/>
  <c r="V138" i="548"/>
  <c r="V148" i="548" s="1"/>
  <c r="W148" i="548" s="1"/>
  <c r="N138" i="548"/>
  <c r="N148" i="548" s="1"/>
  <c r="K138" i="548" a="1"/>
  <c r="K138" i="548" s="1"/>
  <c r="J138" i="548" a="1"/>
  <c r="J138" i="548" s="1"/>
  <c r="H138" i="548"/>
  <c r="H148" i="548" s="1"/>
  <c r="AA137" i="548"/>
  <c r="Z137" i="548"/>
  <c r="Y137" i="548"/>
  <c r="X137" i="548"/>
  <c r="U137" i="548"/>
  <c r="T137" i="548"/>
  <c r="S137" i="548"/>
  <c r="Q137" i="548"/>
  <c r="P137" i="548"/>
  <c r="O137" i="548"/>
  <c r="I137" i="548"/>
  <c r="G137" i="548"/>
  <c r="C527" i="548" s="1"/>
  <c r="W136" i="548"/>
  <c r="V136" i="548"/>
  <c r="N136" i="548"/>
  <c r="K136" i="548" a="1"/>
  <c r="K136" i="548" s="1"/>
  <c r="M136" i="548" s="1"/>
  <c r="J136" i="548" a="1"/>
  <c r="J136" i="548" s="1"/>
  <c r="H136" i="548"/>
  <c r="V135" i="548"/>
  <c r="W135" i="548" s="1"/>
  <c r="N135" i="548"/>
  <c r="K135" i="548" a="1"/>
  <c r="K135" i="548" s="1"/>
  <c r="M135" i="548" s="1"/>
  <c r="J135" i="548" a="1"/>
  <c r="J135" i="548" s="1"/>
  <c r="H135" i="548"/>
  <c r="V134" i="548"/>
  <c r="W134" i="548" s="1"/>
  <c r="N134" i="548"/>
  <c r="K134" i="548" a="1"/>
  <c r="K134" i="548" s="1"/>
  <c r="M134" i="548" s="1"/>
  <c r="J134" i="548" a="1"/>
  <c r="J134" i="548" s="1"/>
  <c r="H134" i="548"/>
  <c r="V133" i="548"/>
  <c r="W133" i="548" s="1"/>
  <c r="N133" i="548"/>
  <c r="K133" i="548" a="1"/>
  <c r="K133" i="548" s="1"/>
  <c r="M133" i="548" s="1"/>
  <c r="J133" i="548" a="1"/>
  <c r="J133" i="548" s="1"/>
  <c r="H133" i="548"/>
  <c r="V132" i="548"/>
  <c r="W132" i="548" s="1"/>
  <c r="N132" i="548"/>
  <c r="K132" i="548"/>
  <c r="M132" i="548" s="1"/>
  <c r="K132" i="548" a="1"/>
  <c r="J132" i="548"/>
  <c r="J132" i="548" a="1"/>
  <c r="H132" i="548"/>
  <c r="V131" i="548"/>
  <c r="W131" i="548" s="1"/>
  <c r="N131" i="548"/>
  <c r="K131" i="548" a="1"/>
  <c r="K131" i="548" s="1"/>
  <c r="M131" i="548" s="1"/>
  <c r="J131" i="548" a="1"/>
  <c r="J131" i="548" s="1"/>
  <c r="H131" i="548"/>
  <c r="W130" i="548"/>
  <c r="V130" i="548"/>
  <c r="N130" i="548"/>
  <c r="K130" i="548" a="1"/>
  <c r="K130" i="548" s="1"/>
  <c r="M130" i="548" s="1"/>
  <c r="J130" i="548" a="1"/>
  <c r="J130" i="548" s="1"/>
  <c r="H130" i="548"/>
  <c r="V129" i="548"/>
  <c r="W129" i="548" s="1"/>
  <c r="N129" i="548"/>
  <c r="K129" i="548" a="1"/>
  <c r="K129" i="548" s="1"/>
  <c r="M129" i="548" s="1"/>
  <c r="J129" i="548" a="1"/>
  <c r="J129" i="548" s="1"/>
  <c r="H129" i="548"/>
  <c r="V128" i="548"/>
  <c r="W128" i="548" s="1"/>
  <c r="N128" i="548"/>
  <c r="K128" i="548"/>
  <c r="M128" i="548" s="1"/>
  <c r="K128" i="548" a="1"/>
  <c r="J128" i="548"/>
  <c r="J128" i="548" a="1"/>
  <c r="H128" i="548"/>
  <c r="V127" i="548"/>
  <c r="W127" i="548" s="1"/>
  <c r="N127" i="548"/>
  <c r="K127" i="548" a="1"/>
  <c r="K127" i="548" s="1"/>
  <c r="M127" i="548" s="1"/>
  <c r="J127" i="548" a="1"/>
  <c r="J127" i="548" s="1"/>
  <c r="H127" i="548"/>
  <c r="W126" i="548"/>
  <c r="V126" i="548"/>
  <c r="N126" i="548"/>
  <c r="K126" i="548" a="1"/>
  <c r="K126" i="548" s="1"/>
  <c r="M126" i="548" s="1"/>
  <c r="J126" i="548" a="1"/>
  <c r="J126" i="548" s="1"/>
  <c r="H126" i="548"/>
  <c r="V125" i="548"/>
  <c r="W125" i="548" s="1"/>
  <c r="N125" i="548"/>
  <c r="K125" i="548" a="1"/>
  <c r="K125" i="548" s="1"/>
  <c r="M125" i="548" s="1"/>
  <c r="J125" i="548" a="1"/>
  <c r="J125" i="548" s="1"/>
  <c r="H125" i="548"/>
  <c r="V124" i="548"/>
  <c r="W124" i="548" s="1"/>
  <c r="N124" i="548"/>
  <c r="K124" i="548"/>
  <c r="M124" i="548" s="1"/>
  <c r="K124" i="548" a="1"/>
  <c r="J124" i="548"/>
  <c r="J124" i="548" a="1"/>
  <c r="H124" i="548"/>
  <c r="V123" i="548"/>
  <c r="W123" i="548" s="1"/>
  <c r="N123" i="548"/>
  <c r="K123" i="548" a="1"/>
  <c r="K123" i="548" s="1"/>
  <c r="M123" i="548" s="1"/>
  <c r="J123" i="548" a="1"/>
  <c r="J123" i="548" s="1"/>
  <c r="H123" i="548"/>
  <c r="V122" i="548"/>
  <c r="V137" i="548" s="1"/>
  <c r="W137" i="548" s="1"/>
  <c r="N122" i="548"/>
  <c r="N137" i="548" s="1"/>
  <c r="K122" i="548" a="1"/>
  <c r="K122" i="548" s="1"/>
  <c r="M122" i="548" s="1"/>
  <c r="J122" i="548" a="1"/>
  <c r="J122" i="548" s="1"/>
  <c r="H122" i="548"/>
  <c r="H137" i="548" s="1"/>
  <c r="AA121" i="548"/>
  <c r="Z121" i="548"/>
  <c r="Y121" i="548"/>
  <c r="X121" i="548"/>
  <c r="U121" i="548"/>
  <c r="T121" i="548"/>
  <c r="S121" i="548"/>
  <c r="R121" i="548"/>
  <c r="Q121" i="548"/>
  <c r="P121" i="548"/>
  <c r="O121" i="548"/>
  <c r="I121" i="548"/>
  <c r="G121" i="548"/>
  <c r="C526" i="548" s="1"/>
  <c r="W120" i="548"/>
  <c r="V120" i="548"/>
  <c r="N120" i="548"/>
  <c r="K120" i="548" a="1"/>
  <c r="K120" i="548" s="1"/>
  <c r="M120" i="548" s="1"/>
  <c r="J120" i="548" a="1"/>
  <c r="J120" i="548" s="1"/>
  <c r="H120" i="548"/>
  <c r="V119" i="548"/>
  <c r="W119" i="548" s="1"/>
  <c r="N119" i="548"/>
  <c r="K119" i="548" a="1"/>
  <c r="K119" i="548" s="1"/>
  <c r="M119" i="548" s="1"/>
  <c r="J119" i="548" a="1"/>
  <c r="J119" i="548" s="1"/>
  <c r="H119" i="548"/>
  <c r="V118" i="548"/>
  <c r="W118" i="548" s="1"/>
  <c r="N118" i="548"/>
  <c r="K118" i="548"/>
  <c r="M118" i="548" s="1"/>
  <c r="K118" i="548" a="1"/>
  <c r="J118" i="548"/>
  <c r="J118" i="548" a="1"/>
  <c r="H118" i="548"/>
  <c r="K117" i="548" a="1"/>
  <c r="K117" i="548" s="1"/>
  <c r="H117" i="548"/>
  <c r="K116" i="548" a="1"/>
  <c r="K116" i="548" s="1"/>
  <c r="H116" i="548"/>
  <c r="K115" i="548" a="1"/>
  <c r="K115" i="548" s="1"/>
  <c r="H115" i="548"/>
  <c r="W114" i="548"/>
  <c r="V114" i="548"/>
  <c r="N114" i="548"/>
  <c r="K114" i="548" a="1"/>
  <c r="K114" i="548" s="1"/>
  <c r="M114" i="548" s="1"/>
  <c r="J114" i="548" a="1"/>
  <c r="J114" i="548" s="1"/>
  <c r="H114" i="548"/>
  <c r="V113" i="548"/>
  <c r="W113" i="548" s="1"/>
  <c r="N113" i="548"/>
  <c r="K113" i="548" a="1"/>
  <c r="K113" i="548" s="1"/>
  <c r="M113" i="548" s="1"/>
  <c r="J113" i="548" a="1"/>
  <c r="J113" i="548" s="1"/>
  <c r="H113" i="548"/>
  <c r="N112" i="548"/>
  <c r="K112" i="548"/>
  <c r="M112" i="548" s="1"/>
  <c r="K112" i="548" a="1"/>
  <c r="H112" i="548"/>
  <c r="N111" i="548"/>
  <c r="K111" i="548" a="1"/>
  <c r="K111" i="548" s="1"/>
  <c r="M111" i="548" s="1"/>
  <c r="H111" i="548"/>
  <c r="N110" i="548"/>
  <c r="K110" i="548" a="1"/>
  <c r="K110" i="548" s="1"/>
  <c r="M110" i="548" s="1"/>
  <c r="H110" i="548"/>
  <c r="N109" i="548"/>
  <c r="K109" i="548" a="1"/>
  <c r="K109" i="548" s="1"/>
  <c r="M109" i="548" s="1"/>
  <c r="H109" i="548"/>
  <c r="N108" i="548"/>
  <c r="K108" i="548"/>
  <c r="M108" i="548" s="1"/>
  <c r="K108" i="548" a="1"/>
  <c r="H108" i="548"/>
  <c r="N107" i="548"/>
  <c r="K107" i="548" a="1"/>
  <c r="K107" i="548" s="1"/>
  <c r="M107" i="548" s="1"/>
  <c r="H107" i="548"/>
  <c r="W106" i="548"/>
  <c r="V106" i="548"/>
  <c r="N106" i="548"/>
  <c r="K106" i="548" a="1"/>
  <c r="K106" i="548" s="1"/>
  <c r="M106" i="548" s="1"/>
  <c r="J106" i="548" a="1"/>
  <c r="J106" i="548" s="1"/>
  <c r="H106" i="548"/>
  <c r="V105" i="548"/>
  <c r="W105" i="548" s="1"/>
  <c r="N105" i="548"/>
  <c r="K105" i="548" a="1"/>
  <c r="K105" i="548" s="1"/>
  <c r="M105" i="548" s="1"/>
  <c r="J105" i="548" a="1"/>
  <c r="J105" i="548" s="1"/>
  <c r="H105" i="548"/>
  <c r="V104" i="548"/>
  <c r="W104" i="548" s="1"/>
  <c r="N104" i="548"/>
  <c r="K104" i="548"/>
  <c r="M104" i="548" s="1"/>
  <c r="K104" i="548" a="1"/>
  <c r="J104" i="548"/>
  <c r="J104" i="548" a="1"/>
  <c r="H104" i="548"/>
  <c r="V103" i="548"/>
  <c r="W103" i="548" s="1"/>
  <c r="N103" i="548"/>
  <c r="K103" i="548" a="1"/>
  <c r="K103" i="548" s="1"/>
  <c r="M103" i="548" s="1"/>
  <c r="J103" i="548" a="1"/>
  <c r="J103" i="548" s="1"/>
  <c r="H103" i="548"/>
  <c r="W102" i="548"/>
  <c r="V102" i="548"/>
  <c r="N102" i="548"/>
  <c r="K102" i="548" a="1"/>
  <c r="K102" i="548" s="1"/>
  <c r="M102" i="548" s="1"/>
  <c r="J102" i="548" a="1"/>
  <c r="J102" i="548" s="1"/>
  <c r="H102" i="548"/>
  <c r="V101" i="548"/>
  <c r="W101" i="548" s="1"/>
  <c r="N101" i="548"/>
  <c r="K101" i="548" a="1"/>
  <c r="K101" i="548" s="1"/>
  <c r="M101" i="548" s="1"/>
  <c r="J101" i="548" a="1"/>
  <c r="J101" i="548" s="1"/>
  <c r="H101" i="548"/>
  <c r="V100" i="548"/>
  <c r="W100" i="548" s="1"/>
  <c r="N100" i="548"/>
  <c r="K100" i="548"/>
  <c r="M100" i="548" s="1"/>
  <c r="K100" i="548" a="1"/>
  <c r="J100" i="548"/>
  <c r="J100" i="548" a="1"/>
  <c r="H100" i="548"/>
  <c r="V99" i="548"/>
  <c r="W99" i="548" s="1"/>
  <c r="N99" i="548"/>
  <c r="K99" i="548" a="1"/>
  <c r="K99" i="548" s="1"/>
  <c r="M99" i="548" s="1"/>
  <c r="J99" i="548" a="1"/>
  <c r="J99" i="548" s="1"/>
  <c r="H99" i="548"/>
  <c r="W98" i="548"/>
  <c r="V98" i="548"/>
  <c r="N98" i="548"/>
  <c r="K98" i="548" a="1"/>
  <c r="K98" i="548" s="1"/>
  <c r="M98" i="548" s="1"/>
  <c r="J98" i="548" a="1"/>
  <c r="J98" i="548" s="1"/>
  <c r="H98" i="548"/>
  <c r="V97" i="548"/>
  <c r="W97" i="548" s="1"/>
  <c r="N97" i="548"/>
  <c r="K97" i="548" a="1"/>
  <c r="K97" i="548" s="1"/>
  <c r="M97" i="548" s="1"/>
  <c r="J97" i="548" a="1"/>
  <c r="J97" i="548" s="1"/>
  <c r="H97" i="548"/>
  <c r="V96" i="548"/>
  <c r="W96" i="548" s="1"/>
  <c r="N96" i="548"/>
  <c r="K96" i="548"/>
  <c r="M96" i="548" s="1"/>
  <c r="K96" i="548" a="1"/>
  <c r="J96" i="548"/>
  <c r="J96" i="548" a="1"/>
  <c r="H96" i="548"/>
  <c r="V95" i="548"/>
  <c r="W95" i="548" s="1"/>
  <c r="N95" i="548"/>
  <c r="K95" i="548" a="1"/>
  <c r="K95" i="548" s="1"/>
  <c r="M95" i="548" s="1"/>
  <c r="J95" i="548" a="1"/>
  <c r="J95" i="548" s="1"/>
  <c r="H95" i="548"/>
  <c r="K94" i="548" a="1"/>
  <c r="K94" i="548" s="1"/>
  <c r="M94" i="548" s="1"/>
  <c r="H94" i="548"/>
  <c r="W93" i="548"/>
  <c r="V93" i="548"/>
  <c r="N93" i="548"/>
  <c r="K93" i="548" a="1"/>
  <c r="K93" i="548" s="1"/>
  <c r="M93" i="548" s="1"/>
  <c r="J93" i="548" a="1"/>
  <c r="J93" i="548" s="1"/>
  <c r="H93" i="548"/>
  <c r="V92" i="548"/>
  <c r="W92" i="548" s="1"/>
  <c r="N92" i="548"/>
  <c r="K92" i="548" a="1"/>
  <c r="K92" i="548" s="1"/>
  <c r="M92" i="548" s="1"/>
  <c r="J92" i="548" a="1"/>
  <c r="J92" i="548" s="1"/>
  <c r="H92" i="548"/>
  <c r="V91" i="548"/>
  <c r="W91" i="548" s="1"/>
  <c r="N91" i="548"/>
  <c r="K91" i="548"/>
  <c r="M91" i="548" s="1"/>
  <c r="K91" i="548" a="1"/>
  <c r="J91" i="548"/>
  <c r="J91" i="548" a="1"/>
  <c r="H91" i="548"/>
  <c r="V90" i="548"/>
  <c r="W90" i="548" s="1"/>
  <c r="N90" i="548"/>
  <c r="K90" i="548" a="1"/>
  <c r="K90" i="548" s="1"/>
  <c r="M90" i="548" s="1"/>
  <c r="J90" i="548" a="1"/>
  <c r="J90" i="548" s="1"/>
  <c r="H90" i="548"/>
  <c r="W89" i="548"/>
  <c r="V89" i="548"/>
  <c r="N89" i="548"/>
  <c r="K89" i="548" a="1"/>
  <c r="K89" i="548" s="1"/>
  <c r="M89" i="548" s="1"/>
  <c r="J89" i="548" a="1"/>
  <c r="J89" i="548" s="1"/>
  <c r="H89" i="548"/>
  <c r="V88" i="548"/>
  <c r="W88" i="548" s="1"/>
  <c r="N88" i="548"/>
  <c r="K88" i="548" a="1"/>
  <c r="K88" i="548" s="1"/>
  <c r="M88" i="548" s="1"/>
  <c r="J88" i="548" a="1"/>
  <c r="J88" i="548" s="1"/>
  <c r="H88" i="548"/>
  <c r="V87" i="548"/>
  <c r="V121" i="548" s="1"/>
  <c r="W121" i="548" s="1"/>
  <c r="N87" i="548"/>
  <c r="K87" i="548"/>
  <c r="M87" i="548" s="1"/>
  <c r="K87" i="548" a="1"/>
  <c r="J87" i="548"/>
  <c r="J87" i="548" a="1"/>
  <c r="H87" i="548"/>
  <c r="H121" i="548" s="1"/>
  <c r="AA86" i="548"/>
  <c r="Z86" i="548"/>
  <c r="Y86" i="548"/>
  <c r="X86" i="548"/>
  <c r="U86" i="548"/>
  <c r="T86" i="548"/>
  <c r="S86" i="548"/>
  <c r="R86" i="548"/>
  <c r="Q86" i="548"/>
  <c r="P86" i="548"/>
  <c r="O86" i="548"/>
  <c r="R167" i="548" s="1"/>
  <c r="I86" i="548"/>
  <c r="G86" i="548"/>
  <c r="C525" i="548" s="1"/>
  <c r="K85" i="548" a="1"/>
  <c r="K85" i="548" s="1"/>
  <c r="H85" i="548"/>
  <c r="K84" i="548"/>
  <c r="K84" i="548" a="1"/>
  <c r="H84" i="548"/>
  <c r="K83" i="548" a="1"/>
  <c r="K83" i="548" s="1"/>
  <c r="H83" i="548"/>
  <c r="K82" i="548" a="1"/>
  <c r="K82" i="548" s="1"/>
  <c r="H82" i="548"/>
  <c r="K81" i="548" a="1"/>
  <c r="K81" i="548" s="1"/>
  <c r="H81" i="548"/>
  <c r="K80" i="548" a="1"/>
  <c r="K80" i="548" s="1"/>
  <c r="H80" i="548"/>
  <c r="K79" i="548" a="1"/>
  <c r="K79" i="548" s="1"/>
  <c r="M79" i="548" s="1"/>
  <c r="H79" i="548"/>
  <c r="K78" i="548"/>
  <c r="M78" i="548" s="1"/>
  <c r="K78" i="548" a="1"/>
  <c r="H78" i="548"/>
  <c r="K77" i="548" a="1"/>
  <c r="K77" i="548" s="1"/>
  <c r="M77" i="548" s="1"/>
  <c r="H77" i="548"/>
  <c r="K76" i="548" a="1"/>
  <c r="K76" i="548" s="1"/>
  <c r="M76" i="548" s="1"/>
  <c r="H76" i="548"/>
  <c r="W75" i="548"/>
  <c r="V75" i="548"/>
  <c r="N75" i="548"/>
  <c r="K75" i="548" a="1"/>
  <c r="K75" i="548" s="1"/>
  <c r="M75" i="548" s="1"/>
  <c r="J75" i="548" a="1"/>
  <c r="J75" i="548" s="1"/>
  <c r="H75" i="548"/>
  <c r="V74" i="548"/>
  <c r="W74" i="548" s="1"/>
  <c r="N74" i="548"/>
  <c r="K74" i="548"/>
  <c r="M74" i="548" s="1"/>
  <c r="K74" i="548" a="1"/>
  <c r="J74" i="548" a="1"/>
  <c r="J74" i="548" s="1"/>
  <c r="H74" i="548"/>
  <c r="W73" i="548"/>
  <c r="V73" i="548"/>
  <c r="N73" i="548"/>
  <c r="K73" i="548" a="1"/>
  <c r="K73" i="548" s="1"/>
  <c r="M73" i="548" s="1"/>
  <c r="J73" i="548" a="1"/>
  <c r="J73" i="548" s="1"/>
  <c r="H73" i="548"/>
  <c r="V72" i="548"/>
  <c r="W72" i="548" s="1"/>
  <c r="N72" i="548"/>
  <c r="K72" i="548"/>
  <c r="M72" i="548" s="1"/>
  <c r="K72" i="548" a="1"/>
  <c r="J72" i="548" a="1"/>
  <c r="J72" i="548" s="1"/>
  <c r="H72" i="548"/>
  <c r="H71" i="548"/>
  <c r="V70" i="548"/>
  <c r="W70" i="548" s="1"/>
  <c r="N70" i="548"/>
  <c r="K70" i="548" a="1"/>
  <c r="K70" i="548" s="1"/>
  <c r="M70" i="548" s="1"/>
  <c r="J70" i="548" a="1"/>
  <c r="J70" i="548" s="1"/>
  <c r="H70" i="548"/>
  <c r="V69" i="548"/>
  <c r="W69" i="548" s="1"/>
  <c r="N69" i="548"/>
  <c r="K69" i="548" a="1"/>
  <c r="K69" i="548" s="1"/>
  <c r="M69" i="548" s="1"/>
  <c r="J69" i="548" a="1"/>
  <c r="J69" i="548" s="1"/>
  <c r="H69" i="548"/>
  <c r="K68" i="548" a="1"/>
  <c r="K68" i="548" s="1"/>
  <c r="H68" i="548"/>
  <c r="K67" i="548"/>
  <c r="K67" i="548" a="1"/>
  <c r="H67" i="548"/>
  <c r="V66" i="548"/>
  <c r="W66" i="548" s="1"/>
  <c r="N66" i="548"/>
  <c r="K66" i="548" a="1"/>
  <c r="K66" i="548" s="1"/>
  <c r="M66" i="548" s="1"/>
  <c r="J66" i="548" a="1"/>
  <c r="J66" i="548" s="1"/>
  <c r="H66" i="548"/>
  <c r="W65" i="548"/>
  <c r="V65" i="548"/>
  <c r="N65" i="548"/>
  <c r="K65" i="548" a="1"/>
  <c r="K65" i="548" s="1"/>
  <c r="M65" i="548" s="1"/>
  <c r="J65" i="548" a="1"/>
  <c r="J65" i="548" s="1"/>
  <c r="H65" i="548"/>
  <c r="V64" i="548"/>
  <c r="W64" i="548" s="1"/>
  <c r="N64" i="548"/>
  <c r="K64" i="548" a="1"/>
  <c r="K64" i="548" s="1"/>
  <c r="M64" i="548" s="1"/>
  <c r="J64" i="548" a="1"/>
  <c r="J64" i="548" s="1"/>
  <c r="H64" i="548"/>
  <c r="V63" i="548"/>
  <c r="W63" i="548" s="1"/>
  <c r="N63" i="548"/>
  <c r="K63" i="548"/>
  <c r="M63" i="548" s="1"/>
  <c r="K63" i="548" a="1"/>
  <c r="J63" i="548"/>
  <c r="J63" i="548" a="1"/>
  <c r="H63" i="548"/>
  <c r="V62" i="548"/>
  <c r="W62" i="548" s="1"/>
  <c r="N62" i="548"/>
  <c r="K62" i="548" a="1"/>
  <c r="K62" i="548" s="1"/>
  <c r="M62" i="548" s="1"/>
  <c r="J62" i="548" a="1"/>
  <c r="J62" i="548" s="1"/>
  <c r="H62" i="548"/>
  <c r="W61" i="548"/>
  <c r="V61" i="548"/>
  <c r="N61" i="548"/>
  <c r="K61" i="548" a="1"/>
  <c r="K61" i="548" s="1"/>
  <c r="M61" i="548" s="1"/>
  <c r="J61" i="548" a="1"/>
  <c r="J61" i="548" s="1"/>
  <c r="H61" i="548"/>
  <c r="V60" i="548"/>
  <c r="W60" i="548" s="1"/>
  <c r="N60" i="548"/>
  <c r="K60" i="548" a="1"/>
  <c r="K60" i="548" s="1"/>
  <c r="M60" i="548" s="1"/>
  <c r="J60" i="548" a="1"/>
  <c r="J60" i="548" s="1"/>
  <c r="H60" i="548"/>
  <c r="W59" i="548"/>
  <c r="V59" i="548"/>
  <c r="N59" i="548"/>
  <c r="K59" i="548" a="1"/>
  <c r="K59" i="548" s="1"/>
  <c r="M59" i="548" s="1"/>
  <c r="J59" i="548" a="1"/>
  <c r="J59" i="548" s="1"/>
  <c r="H59" i="548"/>
  <c r="V58" i="548"/>
  <c r="W58" i="548" s="1"/>
  <c r="N58" i="548"/>
  <c r="K58" i="548" a="1"/>
  <c r="K58" i="548" s="1"/>
  <c r="M58" i="548" s="1"/>
  <c r="J58" i="548" a="1"/>
  <c r="J58" i="548" s="1"/>
  <c r="H58" i="548"/>
  <c r="W57" i="548"/>
  <c r="V57" i="548"/>
  <c r="N57" i="548"/>
  <c r="K57" i="548" a="1"/>
  <c r="K57" i="548" s="1"/>
  <c r="M57" i="548" s="1"/>
  <c r="J57" i="548" a="1"/>
  <c r="J57" i="548" s="1"/>
  <c r="H57" i="548"/>
  <c r="K56" i="548" a="1"/>
  <c r="K56" i="548" s="1"/>
  <c r="M56" i="548" s="1"/>
  <c r="H56" i="548"/>
  <c r="K55" i="548" a="1"/>
  <c r="K55" i="548" s="1"/>
  <c r="M55" i="548" s="1"/>
  <c r="H55" i="548"/>
  <c r="K54" i="548" a="1"/>
  <c r="K54" i="548" s="1"/>
  <c r="M54" i="548" s="1"/>
  <c r="H54" i="548"/>
  <c r="K53" i="548" a="1"/>
  <c r="K53" i="548" s="1"/>
  <c r="M53" i="548" s="1"/>
  <c r="H53" i="548"/>
  <c r="N52" i="548"/>
  <c r="K52" i="548" a="1"/>
  <c r="K52" i="548" s="1"/>
  <c r="M52" i="548" s="1"/>
  <c r="H52" i="548"/>
  <c r="N51" i="548"/>
  <c r="K51" i="548" a="1"/>
  <c r="K51" i="548" s="1"/>
  <c r="M51" i="548" s="1"/>
  <c r="H51" i="548"/>
  <c r="N50" i="548"/>
  <c r="K50" i="548"/>
  <c r="M50" i="548" s="1"/>
  <c r="K50" i="548" a="1"/>
  <c r="H50" i="548"/>
  <c r="N49" i="548"/>
  <c r="K49" i="548" a="1"/>
  <c r="K49" i="548" s="1"/>
  <c r="M49" i="548" s="1"/>
  <c r="H49" i="548"/>
  <c r="W48" i="548"/>
  <c r="V48" i="548"/>
  <c r="N48" i="548"/>
  <c r="K48" i="548" a="1"/>
  <c r="K48" i="548" s="1"/>
  <c r="M48" i="548" s="1"/>
  <c r="J48" i="548" a="1"/>
  <c r="J48" i="548" s="1"/>
  <c r="H48" i="548"/>
  <c r="V47" i="548"/>
  <c r="W47" i="548" s="1"/>
  <c r="N47" i="548"/>
  <c r="K47" i="548" a="1"/>
  <c r="K47" i="548" s="1"/>
  <c r="M47" i="548" s="1"/>
  <c r="J47" i="548" a="1"/>
  <c r="J47" i="548" s="1"/>
  <c r="H47" i="548"/>
  <c r="V46" i="548"/>
  <c r="W46" i="548" s="1"/>
  <c r="N46" i="548"/>
  <c r="K46" i="548" a="1"/>
  <c r="K46" i="548" s="1"/>
  <c r="M46" i="548" s="1"/>
  <c r="J46" i="548" a="1"/>
  <c r="J46" i="548" s="1"/>
  <c r="H46" i="548"/>
  <c r="V45" i="548"/>
  <c r="W45" i="548" s="1"/>
  <c r="N45" i="548"/>
  <c r="K45" i="548" a="1"/>
  <c r="K45" i="548" s="1"/>
  <c r="M45" i="548" s="1"/>
  <c r="J45" i="548" a="1"/>
  <c r="J45" i="548" s="1"/>
  <c r="H45" i="548"/>
  <c r="V44" i="548"/>
  <c r="W44" i="548" s="1"/>
  <c r="N44" i="548"/>
  <c r="K44" i="548"/>
  <c r="M44" i="548" s="1"/>
  <c r="K44" i="548" a="1"/>
  <c r="J44" i="548"/>
  <c r="J44" i="548" a="1"/>
  <c r="H44" i="548"/>
  <c r="V43" i="548"/>
  <c r="W43" i="548" s="1"/>
  <c r="N43" i="548"/>
  <c r="K43" i="548" a="1"/>
  <c r="K43" i="548" s="1"/>
  <c r="M43" i="548" s="1"/>
  <c r="J43" i="548" a="1"/>
  <c r="J43" i="548" s="1"/>
  <c r="H43" i="548"/>
  <c r="W42" i="548"/>
  <c r="V42" i="548"/>
  <c r="N42" i="548"/>
  <c r="K42" i="548" a="1"/>
  <c r="K42" i="548" s="1"/>
  <c r="M42" i="548" s="1"/>
  <c r="J42" i="548" a="1"/>
  <c r="J42" i="548" s="1"/>
  <c r="H42" i="548"/>
  <c r="V41" i="548"/>
  <c r="W41" i="548" s="1"/>
  <c r="N41" i="548"/>
  <c r="K41" i="548" a="1"/>
  <c r="K41" i="548" s="1"/>
  <c r="M41" i="548" s="1"/>
  <c r="J41" i="548" a="1"/>
  <c r="J41" i="548" s="1"/>
  <c r="H41" i="548"/>
  <c r="V40" i="548"/>
  <c r="W40" i="548" s="1"/>
  <c r="N40" i="548"/>
  <c r="K40" i="548"/>
  <c r="M40" i="548" s="1"/>
  <c r="K40" i="548" a="1"/>
  <c r="J40" i="548"/>
  <c r="J40" i="548" a="1"/>
  <c r="H40" i="548"/>
  <c r="V39" i="548"/>
  <c r="W39" i="548" s="1"/>
  <c r="N39" i="548"/>
  <c r="K39" i="548" a="1"/>
  <c r="K39" i="548" s="1"/>
  <c r="M39" i="548" s="1"/>
  <c r="J39" i="548" a="1"/>
  <c r="J39" i="548" s="1"/>
  <c r="H39" i="548"/>
  <c r="W38" i="548"/>
  <c r="V38" i="548"/>
  <c r="N38" i="548"/>
  <c r="K38" i="548" a="1"/>
  <c r="K38" i="548" s="1"/>
  <c r="M38" i="548" s="1"/>
  <c r="J38" i="548" a="1"/>
  <c r="J38" i="548" s="1"/>
  <c r="H38" i="548"/>
  <c r="V37" i="548"/>
  <c r="W37" i="548" s="1"/>
  <c r="N37" i="548"/>
  <c r="K37" i="548" a="1"/>
  <c r="K37" i="548" s="1"/>
  <c r="M37" i="548" s="1"/>
  <c r="J37" i="548" a="1"/>
  <c r="J37" i="548" s="1"/>
  <c r="H37" i="548"/>
  <c r="H36" i="548"/>
  <c r="H35" i="548"/>
  <c r="H34" i="548"/>
  <c r="V33" i="548"/>
  <c r="W33" i="548" s="1"/>
  <c r="N33" i="548"/>
  <c r="K33" i="548" a="1"/>
  <c r="K33" i="548" s="1"/>
  <c r="M33" i="548" s="1"/>
  <c r="J33" i="548" a="1"/>
  <c r="J33" i="548" s="1"/>
  <c r="H33" i="548"/>
  <c r="V32" i="548"/>
  <c r="W32" i="548" s="1"/>
  <c r="N32" i="548"/>
  <c r="K32" i="548"/>
  <c r="M32" i="548" s="1"/>
  <c r="K32" i="548" a="1"/>
  <c r="J32" i="548" a="1"/>
  <c r="J32" i="548" s="1"/>
  <c r="H32" i="548"/>
  <c r="V31" i="548"/>
  <c r="W31" i="548" s="1"/>
  <c r="N31" i="548"/>
  <c r="K31" i="548" a="1"/>
  <c r="K31" i="548" s="1"/>
  <c r="M31" i="548" s="1"/>
  <c r="J31" i="548" a="1"/>
  <c r="J31" i="548" s="1"/>
  <c r="H31" i="548"/>
  <c r="K30" i="548" a="1"/>
  <c r="K30" i="548" s="1"/>
  <c r="H30" i="548"/>
  <c r="V29" i="548"/>
  <c r="N29" i="548"/>
  <c r="N86" i="548" s="1"/>
  <c r="K29" i="548" a="1"/>
  <c r="K29" i="548" s="1"/>
  <c r="J29" i="548" a="1"/>
  <c r="J29" i="548" s="1"/>
  <c r="H29" i="548"/>
  <c r="AA28" i="548"/>
  <c r="AA164" i="548" s="1"/>
  <c r="Z28" i="548"/>
  <c r="Z164" i="548" s="1"/>
  <c r="Y28" i="548"/>
  <c r="Y164" i="548" s="1"/>
  <c r="X28" i="548"/>
  <c r="X164" i="548" s="1"/>
  <c r="U28" i="548"/>
  <c r="U164" i="548" s="1"/>
  <c r="T28" i="548"/>
  <c r="T164" i="548" s="1"/>
  <c r="S28" i="548"/>
  <c r="S164" i="548" s="1"/>
  <c r="R28" i="548"/>
  <c r="R164" i="548" s="1"/>
  <c r="Q28" i="548"/>
  <c r="Q164" i="548" s="1"/>
  <c r="P28" i="548"/>
  <c r="O28" i="548"/>
  <c r="I28" i="548"/>
  <c r="G28" i="548"/>
  <c r="V27" i="548"/>
  <c r="W27" i="548" s="1"/>
  <c r="N27" i="548"/>
  <c r="K27" i="548" a="1"/>
  <c r="K27" i="548" s="1"/>
  <c r="M27" i="548" s="1"/>
  <c r="J27" i="548" a="1"/>
  <c r="J27" i="548" s="1"/>
  <c r="H27" i="548"/>
  <c r="V26" i="548"/>
  <c r="W26" i="548" s="1"/>
  <c r="N26" i="548"/>
  <c r="K26" i="548" a="1"/>
  <c r="K26" i="548" s="1"/>
  <c r="M26" i="548" s="1"/>
  <c r="J26" i="548" a="1"/>
  <c r="J26" i="548" s="1"/>
  <c r="H26" i="548"/>
  <c r="K25" i="548"/>
  <c r="M25" i="548" s="1"/>
  <c r="K25" i="548" a="1"/>
  <c r="J25" i="548"/>
  <c r="J25" i="548" a="1"/>
  <c r="H25" i="548"/>
  <c r="K24" i="548" a="1"/>
  <c r="K24" i="548" s="1"/>
  <c r="M24" i="548" s="1"/>
  <c r="J24" i="548" a="1"/>
  <c r="J24" i="548" s="1"/>
  <c r="H24" i="548"/>
  <c r="K23" i="548" a="1"/>
  <c r="K23" i="548" s="1"/>
  <c r="M23" i="548" s="1"/>
  <c r="J23" i="548" a="1"/>
  <c r="J23" i="548" s="1"/>
  <c r="H23" i="548"/>
  <c r="K22" i="548" a="1"/>
  <c r="K22" i="548" s="1"/>
  <c r="M22" i="548" s="1"/>
  <c r="J22" i="548" a="1"/>
  <c r="J22" i="548" s="1"/>
  <c r="H22" i="548"/>
  <c r="W21" i="548"/>
  <c r="V21" i="548"/>
  <c r="N21" i="548"/>
  <c r="K21" i="548" a="1"/>
  <c r="K21" i="548" s="1"/>
  <c r="M21" i="548" s="1"/>
  <c r="J21" i="548" a="1"/>
  <c r="J21" i="548" s="1"/>
  <c r="H21" i="548"/>
  <c r="V20" i="548"/>
  <c r="W20" i="548" s="1"/>
  <c r="N20" i="548"/>
  <c r="K20" i="548" a="1"/>
  <c r="K20" i="548" s="1"/>
  <c r="M20" i="548" s="1"/>
  <c r="J20" i="548" a="1"/>
  <c r="J20" i="548" s="1"/>
  <c r="H20" i="548"/>
  <c r="V19" i="548"/>
  <c r="W19" i="548" s="1"/>
  <c r="N19" i="548"/>
  <c r="K19" i="548"/>
  <c r="M19" i="548" s="1"/>
  <c r="K19" i="548" a="1"/>
  <c r="J19" i="548"/>
  <c r="J19" i="548" a="1"/>
  <c r="H19" i="548"/>
  <c r="N18" i="548"/>
  <c r="K18" i="548" a="1"/>
  <c r="K18" i="548" s="1"/>
  <c r="M18" i="548" s="1"/>
  <c r="J18" i="548" a="1"/>
  <c r="J18" i="548" s="1"/>
  <c r="H18" i="548"/>
  <c r="N17" i="548"/>
  <c r="K17" i="548"/>
  <c r="M17" i="548" s="1"/>
  <c r="K17" i="548" a="1"/>
  <c r="J17" i="548"/>
  <c r="J17" i="548" a="1"/>
  <c r="H17" i="548"/>
  <c r="V16" i="548"/>
  <c r="W16" i="548" s="1"/>
  <c r="N16" i="548"/>
  <c r="K16" i="548" a="1"/>
  <c r="K16" i="548" s="1"/>
  <c r="M16" i="548" s="1"/>
  <c r="J16" i="548" a="1"/>
  <c r="J16" i="548" s="1"/>
  <c r="H16" i="548"/>
  <c r="W15" i="548"/>
  <c r="V15" i="548"/>
  <c r="N15" i="548"/>
  <c r="K15" i="548" a="1"/>
  <c r="K15" i="548" s="1"/>
  <c r="M15" i="548" s="1"/>
  <c r="J15" i="548" a="1"/>
  <c r="J15" i="548" s="1"/>
  <c r="H15" i="548"/>
  <c r="N14" i="548"/>
  <c r="K14" i="548" a="1"/>
  <c r="K14" i="548" s="1"/>
  <c r="M14" i="548" s="1"/>
  <c r="H14" i="548"/>
  <c r="N13" i="548"/>
  <c r="K13" i="548"/>
  <c r="M13" i="548" s="1"/>
  <c r="K13" i="548" a="1"/>
  <c r="H13" i="548"/>
  <c r="V12" i="548"/>
  <c r="W12" i="548" s="1"/>
  <c r="N12" i="548"/>
  <c r="K12" i="548" a="1"/>
  <c r="K12" i="548" s="1"/>
  <c r="M12" i="548" s="1"/>
  <c r="J12" i="548" a="1"/>
  <c r="J12" i="548" s="1"/>
  <c r="H12" i="548"/>
  <c r="W11" i="548"/>
  <c r="V11" i="548"/>
  <c r="N11" i="548"/>
  <c r="K11" i="548" a="1"/>
  <c r="K11" i="548" s="1"/>
  <c r="M11" i="548" s="1"/>
  <c r="J11" i="548" a="1"/>
  <c r="J11" i="548" s="1"/>
  <c r="H11" i="548"/>
  <c r="V10" i="548"/>
  <c r="W10" i="548" s="1"/>
  <c r="N10" i="548"/>
  <c r="K10" i="548" a="1"/>
  <c r="K10" i="548" s="1"/>
  <c r="M10" i="548" s="1"/>
  <c r="J10" i="548" a="1"/>
  <c r="J10" i="548" s="1"/>
  <c r="H10" i="548"/>
  <c r="V9" i="548"/>
  <c r="W9" i="548" s="1"/>
  <c r="N9" i="548"/>
  <c r="K9" i="548"/>
  <c r="M9" i="548" s="1"/>
  <c r="K9" i="548" a="1"/>
  <c r="J9" i="548"/>
  <c r="J9" i="548" a="1"/>
  <c r="H9" i="548"/>
  <c r="V8" i="548"/>
  <c r="W8" i="548" s="1"/>
  <c r="N8" i="548"/>
  <c r="K8" i="548" a="1"/>
  <c r="K8" i="548" s="1"/>
  <c r="M8" i="548" s="1"/>
  <c r="J8" i="548" a="1"/>
  <c r="J8" i="548" s="1"/>
  <c r="H8" i="548"/>
  <c r="W7" i="548"/>
  <c r="V7" i="548"/>
  <c r="V28" i="548" s="1"/>
  <c r="N7" i="548"/>
  <c r="N28" i="548" s="1"/>
  <c r="K7" i="548" a="1"/>
  <c r="K7" i="548" s="1"/>
  <c r="M7" i="548" s="1"/>
  <c r="J7" i="548" a="1"/>
  <c r="J7" i="548" s="1"/>
  <c r="H7" i="548"/>
  <c r="H28" i="548" s="1"/>
  <c r="D534" i="549" l="1"/>
  <c r="C534" i="549" s="1"/>
  <c r="D535" i="549"/>
  <c r="C535" i="549" s="1"/>
  <c r="T535" i="548" a="1"/>
  <c r="T535" i="548" s="1"/>
  <c r="J534" i="548"/>
  <c r="Q534" i="548" s="1"/>
  <c r="R534" i="548" s="1"/>
  <c r="T534" i="548" a="1"/>
  <c r="T534" i="548" s="1"/>
  <c r="J535" i="548"/>
  <c r="Q535" i="548" s="1"/>
  <c r="D533" i="549"/>
  <c r="T533" i="548" a="1"/>
  <c r="T533" i="548" s="1"/>
  <c r="C536" i="548"/>
  <c r="T536" i="548" s="1" a="1"/>
  <c r="T536" i="548" s="1"/>
  <c r="J533" i="548"/>
  <c r="J319" i="548" a="1"/>
  <c r="J319" i="548" s="1"/>
  <c r="J292" i="548" a="1"/>
  <c r="J292" i="548" s="1"/>
  <c r="J257" i="548" a="1"/>
  <c r="J257" i="548" s="1"/>
  <c r="J308" i="548" a="1"/>
  <c r="J308" i="548" s="1"/>
  <c r="I164" i="548"/>
  <c r="B172" i="548" s="1"/>
  <c r="J28" i="548" a="1"/>
  <c r="J28" i="548" s="1"/>
  <c r="W320" i="548"/>
  <c r="N308" i="548"/>
  <c r="N335" i="548"/>
  <c r="B344" i="548" s="1"/>
  <c r="E344" i="548" s="1"/>
  <c r="K292" i="548"/>
  <c r="V292" i="548"/>
  <c r="W292" i="548" s="1"/>
  <c r="H199" i="548"/>
  <c r="V199" i="548"/>
  <c r="W178" i="548"/>
  <c r="K163" i="548"/>
  <c r="R171" i="548"/>
  <c r="M137" i="548"/>
  <c r="N121" i="548"/>
  <c r="N164" i="548" s="1"/>
  <c r="B173" i="548" s="1"/>
  <c r="W87" i="548"/>
  <c r="J121" i="548" a="1"/>
  <c r="J121" i="548" s="1"/>
  <c r="M121" i="548"/>
  <c r="W122" i="548"/>
  <c r="H86" i="548"/>
  <c r="H164" i="548" s="1"/>
  <c r="E171" i="548" s="1"/>
  <c r="V86" i="548"/>
  <c r="W86" i="548" s="1"/>
  <c r="W334" i="548"/>
  <c r="W199" i="548"/>
  <c r="M257" i="548"/>
  <c r="H257" i="548"/>
  <c r="N479" i="548"/>
  <c r="M490" i="548"/>
  <c r="N490" i="548"/>
  <c r="K506" i="548"/>
  <c r="M506" i="548"/>
  <c r="N463" i="548"/>
  <c r="J463" i="548" a="1"/>
  <c r="J463" i="548" s="1"/>
  <c r="W349" i="548"/>
  <c r="W371" i="548"/>
  <c r="M370" i="548"/>
  <c r="J370" i="548" a="1"/>
  <c r="J370" i="548" s="1"/>
  <c r="M428" i="548"/>
  <c r="J163" i="548" a="1"/>
  <c r="J163" i="548" s="1"/>
  <c r="J137" i="548" a="1"/>
  <c r="J137" i="548" s="1"/>
  <c r="M28" i="548"/>
  <c r="V164" i="548"/>
  <c r="I173" i="548" s="1"/>
  <c r="W28" i="548"/>
  <c r="W164" i="548" s="1"/>
  <c r="M29" i="548"/>
  <c r="M86" i="548" s="1"/>
  <c r="K86" i="548"/>
  <c r="K148" i="548"/>
  <c r="M138" i="548"/>
  <c r="M148" i="548" s="1"/>
  <c r="K28" i="548"/>
  <c r="X167" i="548"/>
  <c r="P164" i="548"/>
  <c r="X168" i="548" s="1"/>
  <c r="W29" i="548"/>
  <c r="J86" i="548" a="1"/>
  <c r="J86" i="548" s="1"/>
  <c r="K121" i="548"/>
  <c r="K137" i="548"/>
  <c r="K528" i="548"/>
  <c r="K529" i="548"/>
  <c r="K308" i="548"/>
  <c r="M293" i="548"/>
  <c r="M308" i="548" s="1"/>
  <c r="C524" i="548"/>
  <c r="G164" i="548"/>
  <c r="C520" i="548"/>
  <c r="R166" i="548"/>
  <c r="O164" i="548"/>
  <c r="K525" i="548"/>
  <c r="R168" i="548"/>
  <c r="R169" i="548"/>
  <c r="K170" i="548"/>
  <c r="M166" i="548"/>
  <c r="M199" i="548"/>
  <c r="B342" i="548"/>
  <c r="J335" i="548" a="1"/>
  <c r="J335" i="548" s="1"/>
  <c r="M342" i="548" s="1"/>
  <c r="R344" i="548"/>
  <c r="T343" i="548" s="1"/>
  <c r="T338" i="548"/>
  <c r="T341" i="548"/>
  <c r="H334" i="548"/>
  <c r="H335" i="548" s="1"/>
  <c r="E342" i="548" s="1"/>
  <c r="K334" i="548"/>
  <c r="E170" i="548"/>
  <c r="J199" i="548" a="1"/>
  <c r="J199" i="548" s="1"/>
  <c r="K199" i="548"/>
  <c r="K257" i="548"/>
  <c r="V308" i="548"/>
  <c r="W308" i="548" s="1"/>
  <c r="W335" i="548" s="1"/>
  <c r="O335" i="548"/>
  <c r="J148" i="548" a="1"/>
  <c r="J148" i="548" s="1"/>
  <c r="M149" i="548"/>
  <c r="M163" i="548" s="1"/>
  <c r="M258" i="548"/>
  <c r="M292" i="548" s="1"/>
  <c r="M309" i="548"/>
  <c r="M319" i="548" s="1"/>
  <c r="M320" i="548"/>
  <c r="M334" i="548" s="1"/>
  <c r="P335" i="548"/>
  <c r="X339" i="548" s="1"/>
  <c r="X344" i="548" s="1"/>
  <c r="E341" i="548"/>
  <c r="K337" i="548"/>
  <c r="W370" i="548"/>
  <c r="K370" i="548"/>
  <c r="K428" i="548"/>
  <c r="M463" i="548"/>
  <c r="V463" i="548"/>
  <c r="W463" i="548" s="1"/>
  <c r="K490" i="548"/>
  <c r="V506" i="548"/>
  <c r="W491" i="548"/>
  <c r="W506" i="548" s="1"/>
  <c r="M509" i="548"/>
  <c r="B514" i="548"/>
  <c r="R509" i="548"/>
  <c r="O507" i="548"/>
  <c r="X510" i="548" s="1"/>
  <c r="K463" i="548"/>
  <c r="M479" i="548"/>
  <c r="V479" i="548"/>
  <c r="W479" i="548" s="1"/>
  <c r="K479" i="548"/>
  <c r="V490" i="548"/>
  <c r="W490" i="548" s="1"/>
  <c r="W480" i="548"/>
  <c r="J507" i="548" a="1"/>
  <c r="J507" i="548" s="1"/>
  <c r="M514" i="548" s="1"/>
  <c r="X509" i="548"/>
  <c r="R510" i="548"/>
  <c r="R511" i="548"/>
  <c r="R512" i="548"/>
  <c r="R513" i="548"/>
  <c r="H506" i="548"/>
  <c r="H507" i="548" s="1"/>
  <c r="E514" i="548" s="1"/>
  <c r="N506" i="548"/>
  <c r="N507" i="548" s="1"/>
  <c r="B516" i="548" s="1"/>
  <c r="S534" i="548" a="1"/>
  <c r="S534" i="548" s="1"/>
  <c r="M146" i="547"/>
  <c r="M145" i="547"/>
  <c r="M144" i="547"/>
  <c r="M143" i="547"/>
  <c r="J146" i="547" a="1"/>
  <c r="J146" i="547" s="1"/>
  <c r="J145" i="547" a="1"/>
  <c r="J145" i="547" s="1"/>
  <c r="J144" i="547" a="1"/>
  <c r="J144" i="547" s="1"/>
  <c r="J143" i="547" a="1"/>
  <c r="J143" i="547" s="1"/>
  <c r="I59" i="547"/>
  <c r="J112" i="547" a="1"/>
  <c r="J112" i="547" s="1"/>
  <c r="M36" i="547"/>
  <c r="M30" i="547"/>
  <c r="K36" i="547" a="1"/>
  <c r="K36" i="547" s="1"/>
  <c r="J36" i="547" a="1"/>
  <c r="J36" i="547" s="1"/>
  <c r="J30" i="547" a="1"/>
  <c r="J30" i="547" s="1"/>
  <c r="I47" i="547"/>
  <c r="I36" i="547"/>
  <c r="I135" i="547"/>
  <c r="I31" i="547"/>
  <c r="I33" i="547"/>
  <c r="I10" i="547"/>
  <c r="I143" i="547"/>
  <c r="I146" i="547"/>
  <c r="I40" i="547"/>
  <c r="I19" i="547"/>
  <c r="I15" i="547"/>
  <c r="M317" i="547"/>
  <c r="M314" i="547"/>
  <c r="J317" i="547" a="1"/>
  <c r="J317" i="547" s="1"/>
  <c r="J316" i="547" a="1"/>
  <c r="J316" i="547" s="1"/>
  <c r="J315" i="547" a="1"/>
  <c r="J315" i="547" s="1"/>
  <c r="J314" i="547" a="1"/>
  <c r="J314" i="547" s="1"/>
  <c r="K317" i="547" a="1"/>
  <c r="K317" i="547" s="1"/>
  <c r="K316" i="547" a="1"/>
  <c r="K316" i="547" s="1"/>
  <c r="K315" i="547" a="1"/>
  <c r="K315" i="547" s="1"/>
  <c r="K314" i="547" a="1"/>
  <c r="K314" i="547" s="1"/>
  <c r="M205" i="547"/>
  <c r="K205" i="547" a="1"/>
  <c r="K205" i="547" s="1"/>
  <c r="J205" i="547" a="1"/>
  <c r="J205" i="547" s="1"/>
  <c r="I187" i="547"/>
  <c r="I190" i="547"/>
  <c r="I262" i="547"/>
  <c r="I307" i="547"/>
  <c r="I306" i="547"/>
  <c r="I314" i="547"/>
  <c r="I181" i="547"/>
  <c r="I208" i="547"/>
  <c r="I211" i="547"/>
  <c r="R535" i="548" l="1"/>
  <c r="S535" i="548" a="1"/>
  <c r="S535" i="548" s="1"/>
  <c r="J535" i="549"/>
  <c r="Q535" i="549" s="1"/>
  <c r="T535" i="549" a="1"/>
  <c r="T535" i="549" s="1"/>
  <c r="J534" i="549"/>
  <c r="Q534" i="549" s="1"/>
  <c r="T534" i="549" a="1"/>
  <c r="T534" i="549" s="1"/>
  <c r="J536" i="548"/>
  <c r="Q533" i="548"/>
  <c r="D536" i="549"/>
  <c r="C533" i="549"/>
  <c r="E173" i="548"/>
  <c r="X173" i="548"/>
  <c r="Z171" i="548" s="1"/>
  <c r="K335" i="548"/>
  <c r="E343" i="548" s="1"/>
  <c r="I343" i="548" s="1"/>
  <c r="M343" i="548" s="1"/>
  <c r="M507" i="548"/>
  <c r="G519" i="548"/>
  <c r="E516" i="548"/>
  <c r="C521" i="548"/>
  <c r="G521" i="548" s="1"/>
  <c r="Z343" i="548"/>
  <c r="Z341" i="548"/>
  <c r="Z340" i="548"/>
  <c r="Z338" i="548"/>
  <c r="Z342" i="548"/>
  <c r="Z337" i="548" a="1"/>
  <c r="Z337" i="548" s="1"/>
  <c r="R516" i="548"/>
  <c r="T510" i="548" s="1"/>
  <c r="K507" i="548"/>
  <c r="V335" i="548"/>
  <c r="I344" i="548" s="1"/>
  <c r="M344" i="548" s="1" a="1"/>
  <c r="M344" i="548" s="1"/>
  <c r="M170" i="548"/>
  <c r="B171" i="548"/>
  <c r="C519" i="548" s="1"/>
  <c r="J164" i="548" a="1"/>
  <c r="J164" i="548" s="1"/>
  <c r="M171" i="548" s="1"/>
  <c r="T342" i="548"/>
  <c r="Q525" i="548"/>
  <c r="Z167" i="548"/>
  <c r="M164" i="548"/>
  <c r="T513" i="548"/>
  <c r="X516" i="548"/>
  <c r="K341" i="548"/>
  <c r="M341" i="548" s="1"/>
  <c r="M337" i="548"/>
  <c r="Z339" i="548"/>
  <c r="Z166" i="548" a="1"/>
  <c r="Z166" i="548" s="1"/>
  <c r="Z172" i="548"/>
  <c r="V507" i="548"/>
  <c r="Z170" i="548"/>
  <c r="Z169" i="548"/>
  <c r="T339" i="548"/>
  <c r="T337" i="548" a="1"/>
  <c r="T337" i="548" s="1"/>
  <c r="M335" i="548"/>
  <c r="K527" i="548"/>
  <c r="K526" i="548"/>
  <c r="K524" i="548"/>
  <c r="R173" i="548"/>
  <c r="C530" i="548"/>
  <c r="E524" i="548" s="1"/>
  <c r="T340" i="548"/>
  <c r="Q526" i="548"/>
  <c r="Z168" i="548"/>
  <c r="K164" i="548"/>
  <c r="E172" i="548" s="1"/>
  <c r="M173" i="548" a="1"/>
  <c r="M173" i="548" s="1"/>
  <c r="I456" i="547"/>
  <c r="I433" i="547"/>
  <c r="S534" i="549" l="1" a="1"/>
  <c r="S534" i="549" s="1"/>
  <c r="R534" i="549"/>
  <c r="R535" i="549"/>
  <c r="S535" i="549" a="1"/>
  <c r="S535" i="549" s="1"/>
  <c r="J533" i="549"/>
  <c r="T533" i="549" a="1"/>
  <c r="T533" i="549" s="1"/>
  <c r="C536" i="549"/>
  <c r="T536" i="549" s="1" a="1"/>
  <c r="T536" i="549" s="1"/>
  <c r="S533" i="548" a="1"/>
  <c r="S533" i="548" s="1"/>
  <c r="Q536" i="548"/>
  <c r="S536" i="548" s="1" a="1"/>
  <c r="S536" i="548" s="1"/>
  <c r="R533" i="548"/>
  <c r="R536" i="548" s="1"/>
  <c r="L335" i="548"/>
  <c r="I342" i="548" s="1"/>
  <c r="T511" i="548"/>
  <c r="T509" i="548" a="1"/>
  <c r="T509" i="548" s="1"/>
  <c r="I172" i="548"/>
  <c r="M172" i="548" s="1"/>
  <c r="K530" i="548"/>
  <c r="T172" i="548"/>
  <c r="T170" i="548"/>
  <c r="T171" i="548"/>
  <c r="T167" i="548"/>
  <c r="T168" i="548"/>
  <c r="T169" i="548"/>
  <c r="Z515" i="548"/>
  <c r="Z514" i="548"/>
  <c r="Z512" i="548"/>
  <c r="Z513" i="548"/>
  <c r="Z511" i="548"/>
  <c r="Q530" i="548"/>
  <c r="O519" i="548" a="1"/>
  <c r="O519" i="548" s="1"/>
  <c r="E525" i="548"/>
  <c r="E528" i="548"/>
  <c r="E526" i="548"/>
  <c r="E527" i="548"/>
  <c r="E529" i="548"/>
  <c r="T166" i="548" a="1"/>
  <c r="T166" i="548" s="1"/>
  <c r="M524" i="548" a="1"/>
  <c r="M524" i="548" s="1"/>
  <c r="M526" i="548"/>
  <c r="M527" i="548"/>
  <c r="W507" i="548"/>
  <c r="I516" i="548"/>
  <c r="Z510" i="548"/>
  <c r="Z509" i="548" a="1"/>
  <c r="Z509" i="548" s="1"/>
  <c r="L164" i="548"/>
  <c r="I171" i="548" s="1"/>
  <c r="E515" i="548"/>
  <c r="I515" i="548" s="1"/>
  <c r="M515" i="548" s="1"/>
  <c r="L507" i="548"/>
  <c r="I514" i="548" s="1"/>
  <c r="T515" i="548"/>
  <c r="T514" i="548"/>
  <c r="T512" i="548"/>
  <c r="J536" i="549" l="1"/>
  <c r="Q533" i="549"/>
  <c r="E530" i="548"/>
  <c r="S524" i="548" a="1"/>
  <c r="S524" i="548" s="1"/>
  <c r="S528" i="548"/>
  <c r="S527" i="548"/>
  <c r="S529" i="548"/>
  <c r="M516" i="548" a="1"/>
  <c r="M516" i="548" s="1"/>
  <c r="K521" i="548"/>
  <c r="O521" i="548" s="1" a="1"/>
  <c r="O521" i="548" s="1"/>
  <c r="S525" i="548"/>
  <c r="M525" i="548"/>
  <c r="M528" i="548"/>
  <c r="M529" i="548"/>
  <c r="S526" i="548"/>
  <c r="G520" i="548"/>
  <c r="G314" i="547"/>
  <c r="G183" i="547"/>
  <c r="R533" i="549" l="1"/>
  <c r="R536" i="549" s="1"/>
  <c r="S533" i="549" a="1"/>
  <c r="S533" i="549" s="1"/>
  <c r="Q536" i="549"/>
  <c r="S536" i="549" s="1" a="1"/>
  <c r="S536" i="549" s="1"/>
  <c r="K520" i="548"/>
  <c r="O520" i="548" s="1"/>
  <c r="K519" i="548"/>
  <c r="S530" i="548"/>
  <c r="G321" i="547"/>
  <c r="G204" i="547"/>
  <c r="G229" i="547"/>
  <c r="G230" i="547"/>
  <c r="G262" i="547"/>
  <c r="G307" i="547"/>
  <c r="G205" i="547"/>
  <c r="G187" i="547"/>
  <c r="G211" i="547"/>
  <c r="G181" i="547"/>
  <c r="G190" i="547"/>
  <c r="G306" i="547"/>
  <c r="G322" i="547"/>
  <c r="D534" i="547" l="1"/>
  <c r="D535" i="547"/>
  <c r="D533" i="547"/>
  <c r="C533" i="547" s="1"/>
  <c r="J533" i="547" s="1"/>
  <c r="G433" i="547"/>
  <c r="G152" i="547"/>
  <c r="G33" i="547"/>
  <c r="G30" i="547"/>
  <c r="G10" i="547"/>
  <c r="G19" i="547"/>
  <c r="G7" i="547"/>
  <c r="G143" i="547"/>
  <c r="G59" i="547"/>
  <c r="G151" i="547"/>
  <c r="G135" i="547"/>
  <c r="G112" i="547"/>
  <c r="G31" i="547"/>
  <c r="G150" i="547"/>
  <c r="P536" i="547"/>
  <c r="O536" i="547"/>
  <c r="N536" i="547"/>
  <c r="M536" i="547"/>
  <c r="L536" i="547"/>
  <c r="K536" i="547"/>
  <c r="I536" i="547"/>
  <c r="H536" i="547"/>
  <c r="G536" i="547"/>
  <c r="F536" i="547"/>
  <c r="E536" i="547"/>
  <c r="D536" i="547"/>
  <c r="C535" i="547"/>
  <c r="J535" i="547" s="1"/>
  <c r="Q535" i="547" s="1"/>
  <c r="C534" i="547"/>
  <c r="J534" i="547" s="1"/>
  <c r="Q534" i="547" s="1"/>
  <c r="G517" i="547"/>
  <c r="N517" i="547" s="1"/>
  <c r="X515" i="547"/>
  <c r="X514" i="547"/>
  <c r="X513" i="547"/>
  <c r="G513" i="547"/>
  <c r="C513" i="547"/>
  <c r="X512" i="547"/>
  <c r="I512" i="547"/>
  <c r="E512" i="547"/>
  <c r="K512" i="547" s="1"/>
  <c r="M512" i="547" s="1"/>
  <c r="X511" i="547"/>
  <c r="I511" i="547"/>
  <c r="E511" i="547"/>
  <c r="K511" i="547" s="1"/>
  <c r="M511" i="547" s="1"/>
  <c r="I510" i="547"/>
  <c r="E510" i="547"/>
  <c r="K510" i="547" s="1"/>
  <c r="M510" i="547" s="1"/>
  <c r="I509" i="547"/>
  <c r="I513" i="547" s="1"/>
  <c r="E509" i="547"/>
  <c r="E513" i="547" s="1"/>
  <c r="AA506" i="547"/>
  <c r="Z506" i="547"/>
  <c r="Y506" i="547"/>
  <c r="X506" i="547"/>
  <c r="U506" i="547"/>
  <c r="T506" i="547"/>
  <c r="S506" i="547"/>
  <c r="R506" i="547"/>
  <c r="Q506" i="547"/>
  <c r="P506" i="547"/>
  <c r="R514" i="547" s="1"/>
  <c r="O506" i="547"/>
  <c r="I506" i="547"/>
  <c r="G506" i="547"/>
  <c r="J506" i="547" s="1" a="1"/>
  <c r="J506" i="547" s="1"/>
  <c r="H505" i="547"/>
  <c r="H504" i="547"/>
  <c r="H503" i="547"/>
  <c r="D502" i="547"/>
  <c r="H502" i="547" s="1"/>
  <c r="V501" i="547"/>
  <c r="W501" i="547" s="1"/>
  <c r="N501" i="547"/>
  <c r="K501" i="547" a="1"/>
  <c r="K501" i="547" s="1"/>
  <c r="M501" i="547" s="1"/>
  <c r="J501" i="547" a="1"/>
  <c r="J501" i="547" s="1"/>
  <c r="H501" i="547"/>
  <c r="H500" i="547"/>
  <c r="H499" i="547"/>
  <c r="V498" i="547"/>
  <c r="W498" i="547" s="1"/>
  <c r="N498" i="547"/>
  <c r="K498" i="547" a="1"/>
  <c r="K498" i="547" s="1"/>
  <c r="M498" i="547" s="1"/>
  <c r="J498" i="547" a="1"/>
  <c r="J498" i="547" s="1"/>
  <c r="H498" i="547"/>
  <c r="V497" i="547"/>
  <c r="W497" i="547" s="1"/>
  <c r="N497" i="547"/>
  <c r="K497" i="547"/>
  <c r="M497" i="547" s="1"/>
  <c r="K497" i="547" a="1"/>
  <c r="J497" i="547"/>
  <c r="J497" i="547" a="1"/>
  <c r="H497" i="547"/>
  <c r="H496" i="547"/>
  <c r="H495" i="547"/>
  <c r="V494" i="547"/>
  <c r="W494" i="547" s="1"/>
  <c r="N494" i="547"/>
  <c r="K494" i="547" a="1"/>
  <c r="K494" i="547" s="1"/>
  <c r="M494" i="547" s="1"/>
  <c r="J494" i="547" a="1"/>
  <c r="J494" i="547" s="1"/>
  <c r="H494" i="547"/>
  <c r="V493" i="547"/>
  <c r="W493" i="547" s="1"/>
  <c r="N493" i="547"/>
  <c r="K493" i="547" a="1"/>
  <c r="K493" i="547" s="1"/>
  <c r="M493" i="547" s="1"/>
  <c r="J493" i="547" a="1"/>
  <c r="J493" i="547" s="1"/>
  <c r="H493" i="547"/>
  <c r="V492" i="547"/>
  <c r="W492" i="547" s="1"/>
  <c r="N492" i="547"/>
  <c r="K492" i="547" a="1"/>
  <c r="K492" i="547" s="1"/>
  <c r="M492" i="547" s="1"/>
  <c r="J492" i="547" a="1"/>
  <c r="J492" i="547" s="1"/>
  <c r="H492" i="547"/>
  <c r="V491" i="547"/>
  <c r="W491" i="547" s="1"/>
  <c r="N491" i="547"/>
  <c r="N506" i="547" s="1"/>
  <c r="K491" i="547"/>
  <c r="K491" i="547" a="1"/>
  <c r="J491" i="547" a="1"/>
  <c r="J491" i="547" s="1"/>
  <c r="H491" i="547"/>
  <c r="H506" i="547" s="1"/>
  <c r="AA490" i="547"/>
  <c r="Z490" i="547"/>
  <c r="Y490" i="547"/>
  <c r="X490" i="547"/>
  <c r="U490" i="547"/>
  <c r="T490" i="547"/>
  <c r="S490" i="547"/>
  <c r="Q490" i="547"/>
  <c r="P490" i="547"/>
  <c r="O490" i="547"/>
  <c r="R513" i="547" s="1"/>
  <c r="I490" i="547"/>
  <c r="G490" i="547"/>
  <c r="J490" i="547" s="1" a="1"/>
  <c r="J490" i="547" s="1"/>
  <c r="V489" i="547"/>
  <c r="W489" i="547" s="1"/>
  <c r="N489" i="547"/>
  <c r="K489" i="547" a="1"/>
  <c r="K489" i="547" s="1"/>
  <c r="M489" i="547" s="1"/>
  <c r="J489" i="547" a="1"/>
  <c r="J489" i="547" s="1"/>
  <c r="H489" i="547"/>
  <c r="H488" i="547"/>
  <c r="H487" i="547"/>
  <c r="H486" i="547"/>
  <c r="H485" i="547"/>
  <c r="W484" i="547"/>
  <c r="V484" i="547"/>
  <c r="N484" i="547"/>
  <c r="K484" i="547" a="1"/>
  <c r="K484" i="547" s="1"/>
  <c r="M484" i="547" s="1"/>
  <c r="J484" i="547" a="1"/>
  <c r="J484" i="547" s="1"/>
  <c r="H484" i="547"/>
  <c r="V483" i="547"/>
  <c r="W483" i="547" s="1"/>
  <c r="N483" i="547"/>
  <c r="K483" i="547" a="1"/>
  <c r="K483" i="547" s="1"/>
  <c r="M483" i="547" s="1"/>
  <c r="J483" i="547" a="1"/>
  <c r="J483" i="547" s="1"/>
  <c r="H483" i="547"/>
  <c r="V482" i="547"/>
  <c r="W482" i="547" s="1"/>
  <c r="N482" i="547"/>
  <c r="K482" i="547"/>
  <c r="M482" i="547" s="1"/>
  <c r="K482" i="547" a="1"/>
  <c r="J482" i="547"/>
  <c r="J482" i="547" a="1"/>
  <c r="H482" i="547"/>
  <c r="V481" i="547"/>
  <c r="W481" i="547" s="1"/>
  <c r="N481" i="547"/>
  <c r="K481" i="547" a="1"/>
  <c r="K481" i="547" s="1"/>
  <c r="M481" i="547" s="1"/>
  <c r="J481" i="547" a="1"/>
  <c r="J481" i="547" s="1"/>
  <c r="H481" i="547"/>
  <c r="W480" i="547"/>
  <c r="V480" i="547"/>
  <c r="N480" i="547"/>
  <c r="N490" i="547" s="1"/>
  <c r="K480" i="547" a="1"/>
  <c r="K480" i="547" s="1"/>
  <c r="K490" i="547" s="1"/>
  <c r="J480" i="547" a="1"/>
  <c r="J480" i="547" s="1"/>
  <c r="H480" i="547"/>
  <c r="AA479" i="547"/>
  <c r="Z479" i="547"/>
  <c r="Y479" i="547"/>
  <c r="X479" i="547"/>
  <c r="U479" i="547"/>
  <c r="T479" i="547"/>
  <c r="S479" i="547"/>
  <c r="Q479" i="547"/>
  <c r="P479" i="547"/>
  <c r="O479" i="547"/>
  <c r="I479" i="547"/>
  <c r="G479" i="547"/>
  <c r="V478" i="547"/>
  <c r="W478" i="547" s="1"/>
  <c r="N478" i="547"/>
  <c r="K478" i="547" a="1"/>
  <c r="K478" i="547" s="1"/>
  <c r="M478" i="547" s="1"/>
  <c r="J478" i="547" a="1"/>
  <c r="J478" i="547" s="1"/>
  <c r="H478" i="547"/>
  <c r="V477" i="547"/>
  <c r="W477" i="547" s="1"/>
  <c r="N477" i="547"/>
  <c r="K477" i="547"/>
  <c r="M477" i="547" s="1"/>
  <c r="K477" i="547" a="1"/>
  <c r="J477" i="547"/>
  <c r="J477" i="547" a="1"/>
  <c r="H477" i="547"/>
  <c r="V476" i="547"/>
  <c r="W476" i="547" s="1"/>
  <c r="N476" i="547"/>
  <c r="K476" i="547" a="1"/>
  <c r="K476" i="547" s="1"/>
  <c r="M476" i="547" s="1"/>
  <c r="J476" i="547" a="1"/>
  <c r="J476" i="547" s="1"/>
  <c r="H476" i="547"/>
  <c r="V475" i="547"/>
  <c r="W475" i="547" s="1"/>
  <c r="N475" i="547"/>
  <c r="K475" i="547"/>
  <c r="M475" i="547" s="1"/>
  <c r="K475" i="547" a="1"/>
  <c r="J475" i="547"/>
  <c r="J475" i="547" a="1"/>
  <c r="H475" i="547"/>
  <c r="V474" i="547"/>
  <c r="W474" i="547" s="1"/>
  <c r="N474" i="547"/>
  <c r="K474" i="547" a="1"/>
  <c r="K474" i="547" s="1"/>
  <c r="M474" i="547" s="1"/>
  <c r="J474" i="547" a="1"/>
  <c r="J474" i="547" s="1"/>
  <c r="H474" i="547"/>
  <c r="W473" i="547"/>
  <c r="V473" i="547"/>
  <c r="N473" i="547"/>
  <c r="K473" i="547" a="1"/>
  <c r="K473" i="547" s="1"/>
  <c r="M473" i="547" s="1"/>
  <c r="J473" i="547" a="1"/>
  <c r="J473" i="547" s="1"/>
  <c r="H473" i="547"/>
  <c r="V472" i="547"/>
  <c r="W472" i="547" s="1"/>
  <c r="N472" i="547"/>
  <c r="K472" i="547" a="1"/>
  <c r="K472" i="547" s="1"/>
  <c r="M472" i="547" s="1"/>
  <c r="J472" i="547" a="1"/>
  <c r="J472" i="547" s="1"/>
  <c r="H472" i="547"/>
  <c r="V471" i="547"/>
  <c r="W471" i="547" s="1"/>
  <c r="N471" i="547"/>
  <c r="K471" i="547"/>
  <c r="M471" i="547" s="1"/>
  <c r="K471" i="547" a="1"/>
  <c r="J471" i="547"/>
  <c r="J471" i="547" a="1"/>
  <c r="H471" i="547"/>
  <c r="V470" i="547"/>
  <c r="W470" i="547" s="1"/>
  <c r="N470" i="547"/>
  <c r="K470" i="547" a="1"/>
  <c r="K470" i="547" s="1"/>
  <c r="M470" i="547" s="1"/>
  <c r="J470" i="547" a="1"/>
  <c r="J470" i="547" s="1"/>
  <c r="H470" i="547"/>
  <c r="W469" i="547"/>
  <c r="V469" i="547"/>
  <c r="N469" i="547"/>
  <c r="K469" i="547" a="1"/>
  <c r="K469" i="547" s="1"/>
  <c r="M469" i="547" s="1"/>
  <c r="J469" i="547" a="1"/>
  <c r="J469" i="547" s="1"/>
  <c r="H469" i="547"/>
  <c r="V468" i="547"/>
  <c r="W468" i="547" s="1"/>
  <c r="N468" i="547"/>
  <c r="K468" i="547" a="1"/>
  <c r="K468" i="547" s="1"/>
  <c r="M468" i="547" s="1"/>
  <c r="J468" i="547" a="1"/>
  <c r="J468" i="547" s="1"/>
  <c r="H468" i="547"/>
  <c r="V467" i="547"/>
  <c r="W467" i="547" s="1"/>
  <c r="N467" i="547"/>
  <c r="K467" i="547"/>
  <c r="M467" i="547" s="1"/>
  <c r="K467" i="547" a="1"/>
  <c r="J467" i="547"/>
  <c r="J467" i="547" a="1"/>
  <c r="H467" i="547"/>
  <c r="V466" i="547"/>
  <c r="W466" i="547" s="1"/>
  <c r="N466" i="547"/>
  <c r="K466" i="547" a="1"/>
  <c r="K466" i="547" s="1"/>
  <c r="M466" i="547" s="1"/>
  <c r="J466" i="547" a="1"/>
  <c r="J466" i="547" s="1"/>
  <c r="H466" i="547"/>
  <c r="W465" i="547"/>
  <c r="V465" i="547"/>
  <c r="N465" i="547"/>
  <c r="K465" i="547" a="1"/>
  <c r="K465" i="547" s="1"/>
  <c r="M465" i="547" s="1"/>
  <c r="J465" i="547" a="1"/>
  <c r="J465" i="547" s="1"/>
  <c r="H465" i="547"/>
  <c r="V464" i="547"/>
  <c r="N464" i="547"/>
  <c r="K464" i="547"/>
  <c r="K464" i="547" a="1"/>
  <c r="J464" i="547"/>
  <c r="J464" i="547" a="1"/>
  <c r="H464" i="547"/>
  <c r="H479" i="547" s="1"/>
  <c r="AA463" i="547"/>
  <c r="Z463" i="547"/>
  <c r="Y463" i="547"/>
  <c r="X463" i="547"/>
  <c r="U463" i="547"/>
  <c r="T463" i="547"/>
  <c r="S463" i="547"/>
  <c r="R463" i="547"/>
  <c r="Q463" i="547"/>
  <c r="P463" i="547"/>
  <c r="O463" i="547"/>
  <c r="I463" i="547"/>
  <c r="G463" i="547"/>
  <c r="V462" i="547"/>
  <c r="W462" i="547" s="1"/>
  <c r="N462" i="547"/>
  <c r="K462" i="547"/>
  <c r="M462" i="547" s="1"/>
  <c r="K462" i="547" a="1"/>
  <c r="J462" i="547"/>
  <c r="J462" i="547" a="1"/>
  <c r="H462" i="547"/>
  <c r="V461" i="547"/>
  <c r="W461" i="547" s="1"/>
  <c r="N461" i="547"/>
  <c r="K461" i="547" a="1"/>
  <c r="K461" i="547" s="1"/>
  <c r="M461" i="547" s="1"/>
  <c r="J461" i="547" a="1"/>
  <c r="J461" i="547" s="1"/>
  <c r="H461" i="547"/>
  <c r="W460" i="547"/>
  <c r="V460" i="547"/>
  <c r="N460" i="547"/>
  <c r="K460" i="547" a="1"/>
  <c r="K460" i="547" s="1"/>
  <c r="M460" i="547" s="1"/>
  <c r="J460" i="547" a="1"/>
  <c r="J460" i="547" s="1"/>
  <c r="H460" i="547"/>
  <c r="K459" i="547"/>
  <c r="M459" i="547" s="1"/>
  <c r="K459" i="547" a="1"/>
  <c r="H459" i="547"/>
  <c r="K458" i="547" a="1"/>
  <c r="K458" i="547" s="1"/>
  <c r="M458" i="547" s="1"/>
  <c r="H458" i="547"/>
  <c r="K457" i="547" a="1"/>
  <c r="K457" i="547" s="1"/>
  <c r="M457" i="547" s="1"/>
  <c r="H457" i="547"/>
  <c r="W456" i="547"/>
  <c r="V456" i="547"/>
  <c r="N456" i="547"/>
  <c r="K456" i="547" a="1"/>
  <c r="K456" i="547" s="1"/>
  <c r="M456" i="547" s="1"/>
  <c r="J456" i="547" a="1"/>
  <c r="J456" i="547" s="1"/>
  <c r="H456" i="547"/>
  <c r="V455" i="547"/>
  <c r="W455" i="547" s="1"/>
  <c r="N455" i="547"/>
  <c r="K455" i="547"/>
  <c r="M455" i="547" s="1"/>
  <c r="K455" i="547" a="1"/>
  <c r="J455" i="547" a="1"/>
  <c r="J455" i="547" s="1"/>
  <c r="H455" i="547"/>
  <c r="N454" i="547"/>
  <c r="K454" i="547" a="1"/>
  <c r="K454" i="547" s="1"/>
  <c r="M454" i="547" s="1"/>
  <c r="H454" i="547"/>
  <c r="N453" i="547"/>
  <c r="K453" i="547" a="1"/>
  <c r="K453" i="547" s="1"/>
  <c r="M453" i="547" s="1"/>
  <c r="H453" i="547"/>
  <c r="N452" i="547"/>
  <c r="K452" i="547" a="1"/>
  <c r="K452" i="547" s="1"/>
  <c r="M452" i="547" s="1"/>
  <c r="H452" i="547"/>
  <c r="N451" i="547"/>
  <c r="K451" i="547" a="1"/>
  <c r="K451" i="547" s="1"/>
  <c r="M451" i="547" s="1"/>
  <c r="H451" i="547"/>
  <c r="N450" i="547"/>
  <c r="K450" i="547" a="1"/>
  <c r="K450" i="547" s="1"/>
  <c r="M450" i="547" s="1"/>
  <c r="H450" i="547"/>
  <c r="N449" i="547"/>
  <c r="K449" i="547" a="1"/>
  <c r="K449" i="547" s="1"/>
  <c r="M449" i="547" s="1"/>
  <c r="H449" i="547"/>
  <c r="W448" i="547"/>
  <c r="V448" i="547"/>
  <c r="N448" i="547"/>
  <c r="K448" i="547" a="1"/>
  <c r="K448" i="547" s="1"/>
  <c r="M448" i="547" s="1"/>
  <c r="J448" i="547" a="1"/>
  <c r="J448" i="547" s="1"/>
  <c r="H448" i="547"/>
  <c r="V447" i="547"/>
  <c r="W447" i="547" s="1"/>
  <c r="N447" i="547"/>
  <c r="K447" i="547"/>
  <c r="M447" i="547" s="1"/>
  <c r="K447" i="547" a="1"/>
  <c r="J447" i="547" a="1"/>
  <c r="J447" i="547" s="1"/>
  <c r="H447" i="547"/>
  <c r="W446" i="547"/>
  <c r="V446" i="547"/>
  <c r="N446" i="547"/>
  <c r="K446" i="547" a="1"/>
  <c r="K446" i="547" s="1"/>
  <c r="M446" i="547" s="1"/>
  <c r="J446" i="547" a="1"/>
  <c r="J446" i="547" s="1"/>
  <c r="H446" i="547"/>
  <c r="V445" i="547"/>
  <c r="W445" i="547" s="1"/>
  <c r="N445" i="547"/>
  <c r="K445" i="547"/>
  <c r="M445" i="547" s="1"/>
  <c r="K445" i="547" a="1"/>
  <c r="J445" i="547" a="1"/>
  <c r="J445" i="547" s="1"/>
  <c r="H445" i="547"/>
  <c r="W444" i="547"/>
  <c r="V444" i="547"/>
  <c r="N444" i="547"/>
  <c r="K444" i="547" a="1"/>
  <c r="K444" i="547" s="1"/>
  <c r="M444" i="547" s="1"/>
  <c r="J444" i="547" a="1"/>
  <c r="J444" i="547" s="1"/>
  <c r="H444" i="547"/>
  <c r="V443" i="547"/>
  <c r="W443" i="547" s="1"/>
  <c r="N443" i="547"/>
  <c r="K443" i="547"/>
  <c r="M443" i="547" s="1"/>
  <c r="K443" i="547" a="1"/>
  <c r="J443" i="547" a="1"/>
  <c r="J443" i="547" s="1"/>
  <c r="H443" i="547"/>
  <c r="W442" i="547"/>
  <c r="V442" i="547"/>
  <c r="N442" i="547"/>
  <c r="K442" i="547" a="1"/>
  <c r="K442" i="547" s="1"/>
  <c r="M442" i="547" s="1"/>
  <c r="J442" i="547" a="1"/>
  <c r="J442" i="547" s="1"/>
  <c r="H442" i="547"/>
  <c r="V441" i="547"/>
  <c r="W441" i="547" s="1"/>
  <c r="N441" i="547"/>
  <c r="K441" i="547"/>
  <c r="M441" i="547" s="1"/>
  <c r="K441" i="547" a="1"/>
  <c r="J441" i="547" a="1"/>
  <c r="J441" i="547" s="1"/>
  <c r="H441" i="547"/>
  <c r="W440" i="547"/>
  <c r="V440" i="547"/>
  <c r="N440" i="547"/>
  <c r="K440" i="547" a="1"/>
  <c r="K440" i="547" s="1"/>
  <c r="M440" i="547" s="1"/>
  <c r="J440" i="547" a="1"/>
  <c r="J440" i="547" s="1"/>
  <c r="H440" i="547"/>
  <c r="V439" i="547"/>
  <c r="W439" i="547" s="1"/>
  <c r="N439" i="547"/>
  <c r="K439" i="547"/>
  <c r="M439" i="547" s="1"/>
  <c r="K439" i="547" a="1"/>
  <c r="J439" i="547" a="1"/>
  <c r="J439" i="547" s="1"/>
  <c r="H439" i="547"/>
  <c r="W438" i="547"/>
  <c r="V438" i="547"/>
  <c r="N438" i="547"/>
  <c r="K438" i="547" a="1"/>
  <c r="K438" i="547" s="1"/>
  <c r="M438" i="547" s="1"/>
  <c r="J438" i="547" a="1"/>
  <c r="J438" i="547" s="1"/>
  <c r="H438" i="547"/>
  <c r="W437" i="547"/>
  <c r="V437" i="547"/>
  <c r="N437" i="547"/>
  <c r="K437" i="547" a="1"/>
  <c r="K437" i="547" s="1"/>
  <c r="M437" i="547" s="1"/>
  <c r="J437" i="547" a="1"/>
  <c r="J437" i="547" s="1"/>
  <c r="H437" i="547"/>
  <c r="N436" i="547"/>
  <c r="K436" i="547" a="1"/>
  <c r="K436" i="547" s="1"/>
  <c r="M436" i="547" s="1"/>
  <c r="H436" i="547"/>
  <c r="V435" i="547"/>
  <c r="W435" i="547" s="1"/>
  <c r="N435" i="547"/>
  <c r="K435" i="547"/>
  <c r="M435" i="547" s="1"/>
  <c r="K435" i="547" a="1"/>
  <c r="J435" i="547" a="1"/>
  <c r="J435" i="547" s="1"/>
  <c r="H435" i="547"/>
  <c r="W434" i="547"/>
  <c r="V434" i="547"/>
  <c r="N434" i="547"/>
  <c r="K434" i="547" a="1"/>
  <c r="K434" i="547" s="1"/>
  <c r="M434" i="547" s="1"/>
  <c r="J434" i="547" a="1"/>
  <c r="J434" i="547" s="1"/>
  <c r="H434" i="547"/>
  <c r="W433" i="547"/>
  <c r="V433" i="547"/>
  <c r="N433" i="547"/>
  <c r="K433" i="547" a="1"/>
  <c r="K433" i="547" s="1"/>
  <c r="M433" i="547" s="1"/>
  <c r="J433" i="547" a="1"/>
  <c r="J433" i="547" s="1"/>
  <c r="H433" i="547"/>
  <c r="V432" i="547"/>
  <c r="W432" i="547" s="1"/>
  <c r="N432" i="547"/>
  <c r="K432" i="547" a="1"/>
  <c r="K432" i="547" s="1"/>
  <c r="M432" i="547" s="1"/>
  <c r="J432" i="547" a="1"/>
  <c r="J432" i="547" s="1"/>
  <c r="H432" i="547"/>
  <c r="V431" i="547"/>
  <c r="W431" i="547" s="1"/>
  <c r="N431" i="547"/>
  <c r="K431" i="547"/>
  <c r="M431" i="547" s="1"/>
  <c r="K431" i="547" a="1"/>
  <c r="J431" i="547"/>
  <c r="J431" i="547" a="1"/>
  <c r="H431" i="547"/>
  <c r="V430" i="547"/>
  <c r="W430" i="547" s="1"/>
  <c r="N430" i="547"/>
  <c r="K430" i="547" a="1"/>
  <c r="K430" i="547" s="1"/>
  <c r="M430" i="547" s="1"/>
  <c r="J430" i="547" a="1"/>
  <c r="J430" i="547" s="1"/>
  <c r="H430" i="547"/>
  <c r="V429" i="547"/>
  <c r="V463" i="547" s="1"/>
  <c r="W463" i="547" s="1"/>
  <c r="N429" i="547"/>
  <c r="K429" i="547"/>
  <c r="K429" i="547" a="1"/>
  <c r="J429" i="547"/>
  <c r="J429" i="547" a="1"/>
  <c r="H429" i="547"/>
  <c r="H463" i="547" s="1"/>
  <c r="AA428" i="547"/>
  <c r="Z428" i="547"/>
  <c r="Y428" i="547"/>
  <c r="X428" i="547"/>
  <c r="U428" i="547"/>
  <c r="T428" i="547"/>
  <c r="S428" i="547"/>
  <c r="R428" i="547"/>
  <c r="Q428" i="547"/>
  <c r="P428" i="547"/>
  <c r="O428" i="547"/>
  <c r="R510" i="547" s="1"/>
  <c r="I428" i="547"/>
  <c r="G428" i="547"/>
  <c r="J428" i="547" s="1" a="1"/>
  <c r="J428" i="547" s="1"/>
  <c r="K427" i="547" a="1"/>
  <c r="K427" i="547" s="1"/>
  <c r="M427" i="547" s="1"/>
  <c r="H427" i="547"/>
  <c r="K426" i="547" a="1"/>
  <c r="K426" i="547" s="1"/>
  <c r="M426" i="547" s="1"/>
  <c r="H426" i="547"/>
  <c r="K425" i="547" a="1"/>
  <c r="K425" i="547" s="1"/>
  <c r="M425" i="547" s="1"/>
  <c r="H425" i="547"/>
  <c r="K424" i="547" a="1"/>
  <c r="K424" i="547" s="1"/>
  <c r="M424" i="547" s="1"/>
  <c r="H424" i="547"/>
  <c r="K423" i="547" a="1"/>
  <c r="K423" i="547" s="1"/>
  <c r="M423" i="547" s="1"/>
  <c r="H423" i="547"/>
  <c r="K422" i="547" a="1"/>
  <c r="K422" i="547" s="1"/>
  <c r="M422" i="547" s="1"/>
  <c r="H422" i="547"/>
  <c r="K421" i="547" a="1"/>
  <c r="K421" i="547" s="1"/>
  <c r="M421" i="547" s="1"/>
  <c r="H421" i="547"/>
  <c r="K420" i="547" a="1"/>
  <c r="K420" i="547" s="1"/>
  <c r="M420" i="547" s="1"/>
  <c r="H420" i="547"/>
  <c r="K419" i="547" a="1"/>
  <c r="K419" i="547" s="1"/>
  <c r="M419" i="547" s="1"/>
  <c r="H419" i="547"/>
  <c r="K418" i="547" a="1"/>
  <c r="K418" i="547" s="1"/>
  <c r="M418" i="547" s="1"/>
  <c r="H418" i="547"/>
  <c r="W417" i="547"/>
  <c r="V417" i="547"/>
  <c r="N417" i="547"/>
  <c r="K417" i="547" a="1"/>
  <c r="K417" i="547" s="1"/>
  <c r="M417" i="547" s="1"/>
  <c r="J417" i="547" a="1"/>
  <c r="J417" i="547" s="1"/>
  <c r="H417" i="547"/>
  <c r="V416" i="547"/>
  <c r="W416" i="547" s="1"/>
  <c r="N416" i="547"/>
  <c r="K416" i="547" a="1"/>
  <c r="K416" i="547" s="1"/>
  <c r="M416" i="547" s="1"/>
  <c r="J416" i="547" a="1"/>
  <c r="J416" i="547" s="1"/>
  <c r="H416" i="547"/>
  <c r="V415" i="547"/>
  <c r="W415" i="547" s="1"/>
  <c r="N415" i="547"/>
  <c r="K415" i="547"/>
  <c r="M415" i="547" s="1"/>
  <c r="K415" i="547" a="1"/>
  <c r="J415" i="547"/>
  <c r="J415" i="547" a="1"/>
  <c r="H415" i="547"/>
  <c r="V414" i="547"/>
  <c r="W414" i="547" s="1"/>
  <c r="N414" i="547"/>
  <c r="K414" i="547" a="1"/>
  <c r="K414" i="547" s="1"/>
  <c r="M414" i="547" s="1"/>
  <c r="J414" i="547" a="1"/>
  <c r="J414" i="547" s="1"/>
  <c r="H414" i="547"/>
  <c r="H413" i="547"/>
  <c r="V412" i="547"/>
  <c r="W412" i="547" s="1"/>
  <c r="N412" i="547"/>
  <c r="K412" i="547" a="1"/>
  <c r="K412" i="547" s="1"/>
  <c r="M412" i="547" s="1"/>
  <c r="J412" i="547" a="1"/>
  <c r="J412" i="547" s="1"/>
  <c r="H412" i="547"/>
  <c r="W411" i="547"/>
  <c r="V411" i="547"/>
  <c r="N411" i="547"/>
  <c r="K411" i="547" a="1"/>
  <c r="K411" i="547" s="1"/>
  <c r="M411" i="547" s="1"/>
  <c r="J411" i="547" a="1"/>
  <c r="J411" i="547" s="1"/>
  <c r="H411" i="547"/>
  <c r="H410" i="547"/>
  <c r="K409" i="547" a="1"/>
  <c r="K409" i="547" s="1"/>
  <c r="H409" i="547"/>
  <c r="V408" i="547"/>
  <c r="W408" i="547" s="1"/>
  <c r="N408" i="547"/>
  <c r="K408" i="547" a="1"/>
  <c r="K408" i="547" s="1"/>
  <c r="M408" i="547" s="1"/>
  <c r="J408" i="547" a="1"/>
  <c r="J408" i="547" s="1"/>
  <c r="H408" i="547"/>
  <c r="V407" i="547"/>
  <c r="W407" i="547" s="1"/>
  <c r="N407" i="547"/>
  <c r="K407" i="547"/>
  <c r="M407" i="547" s="1"/>
  <c r="K407" i="547" a="1"/>
  <c r="J407" i="547"/>
  <c r="J407" i="547" a="1"/>
  <c r="H407" i="547"/>
  <c r="V406" i="547"/>
  <c r="W406" i="547" s="1"/>
  <c r="N406" i="547"/>
  <c r="K406" i="547" a="1"/>
  <c r="K406" i="547" s="1"/>
  <c r="M406" i="547" s="1"/>
  <c r="J406" i="547" a="1"/>
  <c r="J406" i="547" s="1"/>
  <c r="H406" i="547"/>
  <c r="W405" i="547"/>
  <c r="V405" i="547"/>
  <c r="N405" i="547"/>
  <c r="K405" i="547" a="1"/>
  <c r="K405" i="547" s="1"/>
  <c r="M405" i="547" s="1"/>
  <c r="J405" i="547" a="1"/>
  <c r="J405" i="547" s="1"/>
  <c r="H405" i="547"/>
  <c r="V404" i="547"/>
  <c r="W404" i="547" s="1"/>
  <c r="N404" i="547"/>
  <c r="K404" i="547" a="1"/>
  <c r="K404" i="547" s="1"/>
  <c r="M404" i="547" s="1"/>
  <c r="J404" i="547" a="1"/>
  <c r="J404" i="547" s="1"/>
  <c r="H404" i="547"/>
  <c r="V403" i="547"/>
  <c r="W403" i="547" s="1"/>
  <c r="N403" i="547"/>
  <c r="K403" i="547"/>
  <c r="M403" i="547" s="1"/>
  <c r="K403" i="547" a="1"/>
  <c r="J403" i="547"/>
  <c r="J403" i="547" a="1"/>
  <c r="H403" i="547"/>
  <c r="V402" i="547"/>
  <c r="W402" i="547" s="1"/>
  <c r="N402" i="547"/>
  <c r="K402" i="547" a="1"/>
  <c r="K402" i="547" s="1"/>
  <c r="M402" i="547" s="1"/>
  <c r="J402" i="547" a="1"/>
  <c r="J402" i="547" s="1"/>
  <c r="H402" i="547"/>
  <c r="W401" i="547"/>
  <c r="V401" i="547"/>
  <c r="N401" i="547"/>
  <c r="K401" i="547" a="1"/>
  <c r="K401" i="547" s="1"/>
  <c r="M401" i="547" s="1"/>
  <c r="J401" i="547" a="1"/>
  <c r="J401" i="547" s="1"/>
  <c r="H401" i="547"/>
  <c r="V400" i="547"/>
  <c r="W400" i="547" s="1"/>
  <c r="N400" i="547"/>
  <c r="K400" i="547" a="1"/>
  <c r="K400" i="547" s="1"/>
  <c r="M400" i="547" s="1"/>
  <c r="J400" i="547" a="1"/>
  <c r="J400" i="547" s="1"/>
  <c r="H400" i="547"/>
  <c r="V399" i="547"/>
  <c r="W399" i="547" s="1"/>
  <c r="N399" i="547"/>
  <c r="K399" i="547"/>
  <c r="M399" i="547" s="1"/>
  <c r="K399" i="547" a="1"/>
  <c r="J399" i="547"/>
  <c r="J399" i="547" a="1"/>
  <c r="H399" i="547"/>
  <c r="K398" i="547" a="1"/>
  <c r="K398" i="547" s="1"/>
  <c r="M398" i="547" s="1"/>
  <c r="H398" i="547"/>
  <c r="K397" i="547"/>
  <c r="M397" i="547" s="1"/>
  <c r="K397" i="547" a="1"/>
  <c r="H397" i="547"/>
  <c r="K396" i="547" a="1"/>
  <c r="K396" i="547" s="1"/>
  <c r="M396" i="547" s="1"/>
  <c r="H396" i="547"/>
  <c r="K395" i="547"/>
  <c r="M395" i="547" s="1"/>
  <c r="K395" i="547" a="1"/>
  <c r="H395" i="547"/>
  <c r="N394" i="547"/>
  <c r="K394" i="547" a="1"/>
  <c r="K394" i="547" s="1"/>
  <c r="M394" i="547" s="1"/>
  <c r="H394" i="547"/>
  <c r="N393" i="547"/>
  <c r="K393" i="547" a="1"/>
  <c r="K393" i="547" s="1"/>
  <c r="M393" i="547" s="1"/>
  <c r="H393" i="547"/>
  <c r="N392" i="547"/>
  <c r="K392" i="547" a="1"/>
  <c r="K392" i="547" s="1"/>
  <c r="M392" i="547" s="1"/>
  <c r="H392" i="547"/>
  <c r="N391" i="547"/>
  <c r="K391" i="547" a="1"/>
  <c r="K391" i="547" s="1"/>
  <c r="M391" i="547" s="1"/>
  <c r="H391" i="547"/>
  <c r="V390" i="547"/>
  <c r="W390" i="547" s="1"/>
  <c r="N390" i="547"/>
  <c r="K390" i="547" a="1"/>
  <c r="K390" i="547" s="1"/>
  <c r="M390" i="547" s="1"/>
  <c r="J390" i="547" a="1"/>
  <c r="J390" i="547" s="1"/>
  <c r="H390" i="547"/>
  <c r="V389" i="547"/>
  <c r="W389" i="547" s="1"/>
  <c r="N389" i="547"/>
  <c r="K389" i="547"/>
  <c r="M389" i="547" s="1"/>
  <c r="K389" i="547" a="1"/>
  <c r="J389" i="547"/>
  <c r="J389" i="547" a="1"/>
  <c r="H389" i="547"/>
  <c r="V388" i="547"/>
  <c r="W388" i="547" s="1"/>
  <c r="N388" i="547"/>
  <c r="K388" i="547" a="1"/>
  <c r="K388" i="547" s="1"/>
  <c r="M388" i="547" s="1"/>
  <c r="J388" i="547" a="1"/>
  <c r="J388" i="547" s="1"/>
  <c r="H388" i="547"/>
  <c r="W387" i="547"/>
  <c r="V387" i="547"/>
  <c r="N387" i="547"/>
  <c r="K387" i="547" a="1"/>
  <c r="K387" i="547" s="1"/>
  <c r="M387" i="547" s="1"/>
  <c r="J387" i="547" a="1"/>
  <c r="J387" i="547" s="1"/>
  <c r="H387" i="547"/>
  <c r="V386" i="547"/>
  <c r="W386" i="547" s="1"/>
  <c r="N386" i="547"/>
  <c r="K386" i="547" a="1"/>
  <c r="K386" i="547" s="1"/>
  <c r="M386" i="547" s="1"/>
  <c r="J386" i="547" a="1"/>
  <c r="J386" i="547" s="1"/>
  <c r="H386" i="547"/>
  <c r="V385" i="547"/>
  <c r="W385" i="547" s="1"/>
  <c r="N385" i="547"/>
  <c r="K385" i="547"/>
  <c r="M385" i="547" s="1"/>
  <c r="K385" i="547" a="1"/>
  <c r="J385" i="547"/>
  <c r="J385" i="547" a="1"/>
  <c r="H385" i="547"/>
  <c r="V384" i="547"/>
  <c r="W384" i="547" s="1"/>
  <c r="N384" i="547"/>
  <c r="K384" i="547" a="1"/>
  <c r="K384" i="547" s="1"/>
  <c r="M384" i="547" s="1"/>
  <c r="J384" i="547" a="1"/>
  <c r="J384" i="547" s="1"/>
  <c r="H384" i="547"/>
  <c r="W383" i="547"/>
  <c r="V383" i="547"/>
  <c r="N383" i="547"/>
  <c r="K383" i="547" a="1"/>
  <c r="K383" i="547" s="1"/>
  <c r="M383" i="547" s="1"/>
  <c r="J383" i="547" a="1"/>
  <c r="J383" i="547" s="1"/>
  <c r="H383" i="547"/>
  <c r="V382" i="547"/>
  <c r="W382" i="547" s="1"/>
  <c r="N382" i="547"/>
  <c r="K382" i="547" a="1"/>
  <c r="K382" i="547" s="1"/>
  <c r="M382" i="547" s="1"/>
  <c r="J382" i="547" a="1"/>
  <c r="J382" i="547" s="1"/>
  <c r="H382" i="547"/>
  <c r="V381" i="547"/>
  <c r="W381" i="547" s="1"/>
  <c r="N381" i="547"/>
  <c r="K381" i="547"/>
  <c r="M381" i="547" s="1"/>
  <c r="K381" i="547" a="1"/>
  <c r="J381" i="547"/>
  <c r="J381" i="547" a="1"/>
  <c r="H381" i="547"/>
  <c r="V380" i="547"/>
  <c r="W380" i="547" s="1"/>
  <c r="N380" i="547"/>
  <c r="K380" i="547" a="1"/>
  <c r="K380" i="547" s="1"/>
  <c r="M380" i="547" s="1"/>
  <c r="J380" i="547" a="1"/>
  <c r="J380" i="547" s="1"/>
  <c r="H380" i="547"/>
  <c r="W379" i="547"/>
  <c r="V379" i="547"/>
  <c r="N379" i="547"/>
  <c r="K379" i="547" a="1"/>
  <c r="K379" i="547" s="1"/>
  <c r="M379" i="547" s="1"/>
  <c r="J379" i="547" a="1"/>
  <c r="J379" i="547" s="1"/>
  <c r="H379" i="547"/>
  <c r="K378" i="547"/>
  <c r="M378" i="547" s="1"/>
  <c r="K378" i="547" a="1"/>
  <c r="H378" i="547"/>
  <c r="K377" i="547" a="1"/>
  <c r="K377" i="547" s="1"/>
  <c r="M377" i="547" s="1"/>
  <c r="H377" i="547"/>
  <c r="K376" i="547" a="1"/>
  <c r="K376" i="547" s="1"/>
  <c r="M376" i="547" s="1"/>
  <c r="H376" i="547"/>
  <c r="V375" i="547"/>
  <c r="W375" i="547" s="1"/>
  <c r="N375" i="547"/>
  <c r="K375" i="547"/>
  <c r="M375" i="547" s="1"/>
  <c r="K375" i="547" a="1"/>
  <c r="J375" i="547" a="1"/>
  <c r="J375" i="547" s="1"/>
  <c r="H375" i="547"/>
  <c r="W374" i="547"/>
  <c r="V374" i="547"/>
  <c r="N374" i="547"/>
  <c r="K374" i="547" a="1"/>
  <c r="K374" i="547" s="1"/>
  <c r="M374" i="547" s="1"/>
  <c r="J374" i="547" a="1"/>
  <c r="J374" i="547" s="1"/>
  <c r="H374" i="547"/>
  <c r="V373" i="547"/>
  <c r="W373" i="547" s="1"/>
  <c r="N373" i="547"/>
  <c r="K373" i="547"/>
  <c r="M373" i="547" s="1"/>
  <c r="K373" i="547" a="1"/>
  <c r="J373" i="547" a="1"/>
  <c r="J373" i="547" s="1"/>
  <c r="H373" i="547"/>
  <c r="K372" i="547" a="1"/>
  <c r="K372" i="547" s="1"/>
  <c r="H372" i="547"/>
  <c r="V371" i="547"/>
  <c r="V428" i="547" s="1"/>
  <c r="W428" i="547" s="1"/>
  <c r="N371" i="547"/>
  <c r="N428" i="547" s="1"/>
  <c r="K371" i="547" a="1"/>
  <c r="K371" i="547" s="1"/>
  <c r="J371" i="547" a="1"/>
  <c r="J371" i="547" s="1"/>
  <c r="H371" i="547"/>
  <c r="H428" i="547" s="1"/>
  <c r="AA370" i="547"/>
  <c r="AA507" i="547" s="1"/>
  <c r="Z370" i="547"/>
  <c r="Z507" i="547" s="1"/>
  <c r="Y370" i="547"/>
  <c r="Y507" i="547" s="1"/>
  <c r="X370" i="547"/>
  <c r="X507" i="547" s="1"/>
  <c r="U370" i="547"/>
  <c r="U507" i="547" s="1"/>
  <c r="T370" i="547"/>
  <c r="T507" i="547" s="1"/>
  <c r="S370" i="547"/>
  <c r="S507" i="547" s="1"/>
  <c r="R370" i="547"/>
  <c r="R507" i="547" s="1"/>
  <c r="Q370" i="547"/>
  <c r="Q507" i="547" s="1"/>
  <c r="P370" i="547"/>
  <c r="P507" i="547" s="1"/>
  <c r="O370" i="547"/>
  <c r="I370" i="547"/>
  <c r="I507" i="547" s="1"/>
  <c r="B515" i="547" s="1"/>
  <c r="G370" i="547"/>
  <c r="G507" i="547" s="1"/>
  <c r="V369" i="547"/>
  <c r="W369" i="547" s="1"/>
  <c r="N369" i="547"/>
  <c r="K369" i="547" a="1"/>
  <c r="K369" i="547" s="1"/>
  <c r="M369" i="547" s="1"/>
  <c r="J369" i="547" a="1"/>
  <c r="J369" i="547" s="1"/>
  <c r="H369" i="547"/>
  <c r="V368" i="547"/>
  <c r="W368" i="547" s="1"/>
  <c r="N368" i="547"/>
  <c r="K368" i="547"/>
  <c r="M368" i="547" s="1"/>
  <c r="K368" i="547" a="1"/>
  <c r="J368" i="547"/>
  <c r="J368" i="547" a="1"/>
  <c r="H368" i="547"/>
  <c r="K367" i="547" a="1"/>
  <c r="K367" i="547" s="1"/>
  <c r="M367" i="547" s="1"/>
  <c r="H367" i="547"/>
  <c r="K366" i="547"/>
  <c r="M366" i="547" s="1"/>
  <c r="K366" i="547" a="1"/>
  <c r="H366" i="547"/>
  <c r="K365" i="547" a="1"/>
  <c r="K365" i="547" s="1"/>
  <c r="M365" i="547" s="1"/>
  <c r="H365" i="547"/>
  <c r="K364" i="547" a="1"/>
  <c r="K364" i="547" s="1"/>
  <c r="M364" i="547" s="1"/>
  <c r="H364" i="547"/>
  <c r="W363" i="547"/>
  <c r="V363" i="547"/>
  <c r="N363" i="547"/>
  <c r="K363" i="547" a="1"/>
  <c r="K363" i="547" s="1"/>
  <c r="M363" i="547" s="1"/>
  <c r="J363" i="547" a="1"/>
  <c r="J363" i="547" s="1"/>
  <c r="H363" i="547"/>
  <c r="V362" i="547"/>
  <c r="W362" i="547" s="1"/>
  <c r="N362" i="547"/>
  <c r="K362" i="547"/>
  <c r="M362" i="547" s="1"/>
  <c r="K362" i="547" a="1"/>
  <c r="J362" i="547" a="1"/>
  <c r="J362" i="547" s="1"/>
  <c r="H362" i="547"/>
  <c r="W361" i="547"/>
  <c r="V361" i="547"/>
  <c r="N361" i="547"/>
  <c r="K361" i="547" a="1"/>
  <c r="K361" i="547" s="1"/>
  <c r="M361" i="547" s="1"/>
  <c r="J361" i="547" a="1"/>
  <c r="J361" i="547" s="1"/>
  <c r="H361" i="547"/>
  <c r="H360" i="547"/>
  <c r="H359" i="547"/>
  <c r="V358" i="547"/>
  <c r="W358" i="547" s="1"/>
  <c r="N358" i="547"/>
  <c r="K358" i="547"/>
  <c r="M358" i="547" s="1"/>
  <c r="K358" i="547" a="1"/>
  <c r="J358" i="547" a="1"/>
  <c r="J358" i="547" s="1"/>
  <c r="H358" i="547"/>
  <c r="W357" i="547"/>
  <c r="V357" i="547"/>
  <c r="N357" i="547"/>
  <c r="K357" i="547" a="1"/>
  <c r="K357" i="547" s="1"/>
  <c r="M357" i="547" s="1"/>
  <c r="J357" i="547" a="1"/>
  <c r="J357" i="547" s="1"/>
  <c r="H357" i="547"/>
  <c r="K356" i="547" a="1"/>
  <c r="K356" i="547" s="1"/>
  <c r="M356" i="547" s="1"/>
  <c r="H356" i="547"/>
  <c r="K355" i="547" a="1"/>
  <c r="K355" i="547" s="1"/>
  <c r="M355" i="547" s="1"/>
  <c r="H355" i="547"/>
  <c r="W354" i="547"/>
  <c r="V354" i="547"/>
  <c r="N354" i="547"/>
  <c r="K354" i="547" a="1"/>
  <c r="K354" i="547" s="1"/>
  <c r="M354" i="547" s="1"/>
  <c r="J354" i="547" a="1"/>
  <c r="J354" i="547" s="1"/>
  <c r="H354" i="547"/>
  <c r="V353" i="547"/>
  <c r="W353" i="547" s="1"/>
  <c r="N353" i="547"/>
  <c r="K353" i="547" a="1"/>
  <c r="K353" i="547" s="1"/>
  <c r="M353" i="547" s="1"/>
  <c r="J353" i="547" a="1"/>
  <c r="J353" i="547" s="1"/>
  <c r="H353" i="547"/>
  <c r="V352" i="547"/>
  <c r="W352" i="547" s="1"/>
  <c r="N352" i="547"/>
  <c r="K352" i="547"/>
  <c r="M352" i="547" s="1"/>
  <c r="K352" i="547" a="1"/>
  <c r="J352" i="547"/>
  <c r="J352" i="547" a="1"/>
  <c r="H352" i="547"/>
  <c r="V351" i="547"/>
  <c r="W351" i="547" s="1"/>
  <c r="N351" i="547"/>
  <c r="K351" i="547" a="1"/>
  <c r="K351" i="547" s="1"/>
  <c r="M351" i="547" s="1"/>
  <c r="J351" i="547" a="1"/>
  <c r="J351" i="547" s="1"/>
  <c r="H351" i="547"/>
  <c r="W350" i="547"/>
  <c r="V350" i="547"/>
  <c r="N350" i="547"/>
  <c r="K350" i="547" a="1"/>
  <c r="K350" i="547" s="1"/>
  <c r="M350" i="547" s="1"/>
  <c r="J350" i="547" a="1"/>
  <c r="J350" i="547" s="1"/>
  <c r="H350" i="547"/>
  <c r="V349" i="547"/>
  <c r="V370" i="547" s="1"/>
  <c r="N349" i="547"/>
  <c r="K349" i="547" a="1"/>
  <c r="K349" i="547" s="1"/>
  <c r="J349" i="547" a="1"/>
  <c r="J349" i="547" s="1"/>
  <c r="H349" i="547"/>
  <c r="H370" i="547" s="1"/>
  <c r="X343" i="547"/>
  <c r="X342" i="547"/>
  <c r="X341" i="547"/>
  <c r="G341" i="547"/>
  <c r="E341" i="547"/>
  <c r="C341" i="547"/>
  <c r="X340" i="547"/>
  <c r="I340" i="547"/>
  <c r="E340" i="547"/>
  <c r="K340" i="547" s="1"/>
  <c r="M340" i="547" s="1"/>
  <c r="I339" i="547"/>
  <c r="E339" i="547"/>
  <c r="K339" i="547" s="1"/>
  <c r="M339" i="547" s="1"/>
  <c r="I338" i="547"/>
  <c r="E338" i="547"/>
  <c r="K338" i="547" s="1"/>
  <c r="M338" i="547" s="1"/>
  <c r="X337" i="547"/>
  <c r="I337" i="547"/>
  <c r="I341" i="547" s="1"/>
  <c r="E337" i="547"/>
  <c r="K337" i="547" s="1"/>
  <c r="AA334" i="547"/>
  <c r="Z334" i="547"/>
  <c r="Y334" i="547"/>
  <c r="X334" i="547"/>
  <c r="U334" i="547"/>
  <c r="T334" i="547"/>
  <c r="S334" i="547"/>
  <c r="R334" i="547"/>
  <c r="Q334" i="547"/>
  <c r="P334" i="547"/>
  <c r="O334" i="547"/>
  <c r="R342" i="547" s="1"/>
  <c r="I334" i="547"/>
  <c r="G334" i="547"/>
  <c r="K333" i="547" a="1"/>
  <c r="K333" i="547" s="1"/>
  <c r="H333" i="547"/>
  <c r="K332" i="547"/>
  <c r="K332" i="547" a="1"/>
  <c r="H332" i="547"/>
  <c r="K331" i="547" a="1"/>
  <c r="K331" i="547" s="1"/>
  <c r="H331" i="547"/>
  <c r="V330" i="547"/>
  <c r="W330" i="547" s="1"/>
  <c r="N330" i="547"/>
  <c r="K330" i="547" a="1"/>
  <c r="K330" i="547" s="1"/>
  <c r="D330" i="547"/>
  <c r="H330" i="547" s="1"/>
  <c r="H329" i="547"/>
  <c r="K328" i="547" a="1"/>
  <c r="K328" i="547" s="1"/>
  <c r="H328" i="547"/>
  <c r="H327" i="547"/>
  <c r="V326" i="547"/>
  <c r="W326" i="547" s="1"/>
  <c r="N326" i="547"/>
  <c r="K326" i="547" a="1"/>
  <c r="K326" i="547" s="1"/>
  <c r="M326" i="547" s="1"/>
  <c r="J326" i="547" a="1"/>
  <c r="J326" i="547" s="1"/>
  <c r="H326" i="547"/>
  <c r="V325" i="547"/>
  <c r="W325" i="547" s="1"/>
  <c r="N325" i="547"/>
  <c r="K325" i="547" a="1"/>
  <c r="K325" i="547" s="1"/>
  <c r="M325" i="547" s="1"/>
  <c r="J325" i="547" a="1"/>
  <c r="J325" i="547" s="1"/>
  <c r="H325" i="547"/>
  <c r="H324" i="547"/>
  <c r="V323" i="547"/>
  <c r="W323" i="547" s="1"/>
  <c r="N323" i="547"/>
  <c r="K323" i="547" a="1"/>
  <c r="K323" i="547" s="1"/>
  <c r="M323" i="547" s="1"/>
  <c r="J323" i="547" a="1"/>
  <c r="J323" i="547" s="1"/>
  <c r="H323" i="547"/>
  <c r="W322" i="547"/>
  <c r="V322" i="547"/>
  <c r="N322" i="547"/>
  <c r="K322" i="547" a="1"/>
  <c r="K322" i="547" s="1"/>
  <c r="M322" i="547" s="1"/>
  <c r="J322" i="547" a="1"/>
  <c r="J322" i="547" s="1"/>
  <c r="H322" i="547"/>
  <c r="V321" i="547"/>
  <c r="W321" i="547" s="1"/>
  <c r="N321" i="547"/>
  <c r="K321" i="547" a="1"/>
  <c r="K321" i="547" s="1"/>
  <c r="M321" i="547" s="1"/>
  <c r="J321" i="547" a="1"/>
  <c r="J321" i="547" s="1"/>
  <c r="H321" i="547"/>
  <c r="W320" i="547"/>
  <c r="V320" i="547"/>
  <c r="V334" i="547" s="1"/>
  <c r="N320" i="547"/>
  <c r="N334" i="547" s="1"/>
  <c r="K320" i="547" a="1"/>
  <c r="K320" i="547" s="1"/>
  <c r="J320" i="547" a="1"/>
  <c r="J320" i="547" s="1"/>
  <c r="H320" i="547"/>
  <c r="AA319" i="547"/>
  <c r="Z319" i="547"/>
  <c r="Y319" i="547"/>
  <c r="X319" i="547"/>
  <c r="U319" i="547"/>
  <c r="T319" i="547"/>
  <c r="S319" i="547"/>
  <c r="Q319" i="547"/>
  <c r="P319" i="547"/>
  <c r="O319" i="547"/>
  <c r="R341" i="547" s="1"/>
  <c r="I319" i="547"/>
  <c r="G319" i="547"/>
  <c r="V318" i="547"/>
  <c r="W318" i="547" s="1"/>
  <c r="N318" i="547"/>
  <c r="K318" i="547" a="1"/>
  <c r="K318" i="547" s="1"/>
  <c r="M318" i="547" s="1"/>
  <c r="J318" i="547" a="1"/>
  <c r="J318" i="547" s="1"/>
  <c r="H318" i="547"/>
  <c r="H317" i="547"/>
  <c r="H316" i="547"/>
  <c r="H315" i="547"/>
  <c r="H314" i="547"/>
  <c r="W313" i="547"/>
  <c r="V313" i="547"/>
  <c r="N313" i="547"/>
  <c r="K313" i="547" a="1"/>
  <c r="K313" i="547" s="1"/>
  <c r="M313" i="547" s="1"/>
  <c r="J313" i="547" a="1"/>
  <c r="J313" i="547" s="1"/>
  <c r="H313" i="547"/>
  <c r="V312" i="547"/>
  <c r="W312" i="547" s="1"/>
  <c r="N312" i="547"/>
  <c r="K312" i="547" a="1"/>
  <c r="K312" i="547" s="1"/>
  <c r="M312" i="547" s="1"/>
  <c r="J312" i="547" a="1"/>
  <c r="J312" i="547" s="1"/>
  <c r="H312" i="547"/>
  <c r="V311" i="547"/>
  <c r="W311" i="547" s="1"/>
  <c r="N311" i="547"/>
  <c r="K311" i="547"/>
  <c r="M311" i="547" s="1"/>
  <c r="K311" i="547" a="1"/>
  <c r="J311" i="547"/>
  <c r="J311" i="547" a="1"/>
  <c r="H311" i="547"/>
  <c r="V310" i="547"/>
  <c r="W310" i="547" s="1"/>
  <c r="N310" i="547"/>
  <c r="K310" i="547" a="1"/>
  <c r="K310" i="547" s="1"/>
  <c r="M310" i="547" s="1"/>
  <c r="J310" i="547" a="1"/>
  <c r="J310" i="547" s="1"/>
  <c r="H310" i="547"/>
  <c r="W309" i="547"/>
  <c r="V309" i="547"/>
  <c r="V319" i="547" s="1"/>
  <c r="N309" i="547"/>
  <c r="K309" i="547" a="1"/>
  <c r="K309" i="547" s="1"/>
  <c r="K319" i="547" s="1"/>
  <c r="J309" i="547" a="1"/>
  <c r="J309" i="547" s="1"/>
  <c r="H309" i="547"/>
  <c r="AA308" i="547"/>
  <c r="Z308" i="547"/>
  <c r="Y308" i="547"/>
  <c r="X308" i="547"/>
  <c r="U308" i="547"/>
  <c r="T308" i="547"/>
  <c r="S308" i="547"/>
  <c r="Q308" i="547"/>
  <c r="P308" i="547"/>
  <c r="O308" i="547"/>
  <c r="R340" i="547" s="1"/>
  <c r="I308" i="547"/>
  <c r="G308" i="547"/>
  <c r="V307" i="547"/>
  <c r="W307" i="547" s="1"/>
  <c r="N307" i="547"/>
  <c r="K307" i="547" a="1"/>
  <c r="K307" i="547" s="1"/>
  <c r="M307" i="547" s="1"/>
  <c r="J307" i="547" a="1"/>
  <c r="J307" i="547" s="1"/>
  <c r="H307" i="547"/>
  <c r="W306" i="547"/>
  <c r="V306" i="547"/>
  <c r="N306" i="547"/>
  <c r="K306" i="547" a="1"/>
  <c r="K306" i="547" s="1"/>
  <c r="M306" i="547" s="1"/>
  <c r="J306" i="547" a="1"/>
  <c r="J306" i="547" s="1"/>
  <c r="H306" i="547"/>
  <c r="V305" i="547"/>
  <c r="W305" i="547" s="1"/>
  <c r="N305" i="547"/>
  <c r="K305" i="547" a="1"/>
  <c r="K305" i="547" s="1"/>
  <c r="M305" i="547" s="1"/>
  <c r="J305" i="547" a="1"/>
  <c r="J305" i="547" s="1"/>
  <c r="H305" i="547"/>
  <c r="V304" i="547"/>
  <c r="W304" i="547" s="1"/>
  <c r="N304" i="547"/>
  <c r="K304" i="547"/>
  <c r="M304" i="547" s="1"/>
  <c r="K304" i="547" a="1"/>
  <c r="J304" i="547"/>
  <c r="J304" i="547" a="1"/>
  <c r="H304" i="547"/>
  <c r="V303" i="547"/>
  <c r="W303" i="547" s="1"/>
  <c r="N303" i="547"/>
  <c r="K303" i="547" a="1"/>
  <c r="K303" i="547" s="1"/>
  <c r="M303" i="547" s="1"/>
  <c r="J303" i="547" a="1"/>
  <c r="J303" i="547" s="1"/>
  <c r="H303" i="547"/>
  <c r="W302" i="547"/>
  <c r="V302" i="547"/>
  <c r="N302" i="547"/>
  <c r="K302" i="547" a="1"/>
  <c r="K302" i="547" s="1"/>
  <c r="M302" i="547" s="1"/>
  <c r="J302" i="547" a="1"/>
  <c r="J302" i="547" s="1"/>
  <c r="H302" i="547"/>
  <c r="V301" i="547"/>
  <c r="W301" i="547" s="1"/>
  <c r="N301" i="547"/>
  <c r="K301" i="547" a="1"/>
  <c r="K301" i="547" s="1"/>
  <c r="M301" i="547" s="1"/>
  <c r="J301" i="547" a="1"/>
  <c r="J301" i="547" s="1"/>
  <c r="H301" i="547"/>
  <c r="V300" i="547"/>
  <c r="W300" i="547" s="1"/>
  <c r="N300" i="547"/>
  <c r="K300" i="547"/>
  <c r="M300" i="547" s="1"/>
  <c r="K300" i="547" a="1"/>
  <c r="J300" i="547"/>
  <c r="J300" i="547" a="1"/>
  <c r="H300" i="547"/>
  <c r="V299" i="547"/>
  <c r="W299" i="547" s="1"/>
  <c r="N299" i="547"/>
  <c r="K299" i="547" a="1"/>
  <c r="K299" i="547" s="1"/>
  <c r="M299" i="547" s="1"/>
  <c r="J299" i="547" a="1"/>
  <c r="J299" i="547" s="1"/>
  <c r="H299" i="547"/>
  <c r="W298" i="547"/>
  <c r="V298" i="547"/>
  <c r="N298" i="547"/>
  <c r="K298" i="547" a="1"/>
  <c r="K298" i="547" s="1"/>
  <c r="M298" i="547" s="1"/>
  <c r="J298" i="547" a="1"/>
  <c r="J298" i="547" s="1"/>
  <c r="H298" i="547"/>
  <c r="V297" i="547"/>
  <c r="W297" i="547" s="1"/>
  <c r="N297" i="547"/>
  <c r="K297" i="547" a="1"/>
  <c r="K297" i="547" s="1"/>
  <c r="M297" i="547" s="1"/>
  <c r="J297" i="547" a="1"/>
  <c r="J297" i="547" s="1"/>
  <c r="H297" i="547"/>
  <c r="V296" i="547"/>
  <c r="W296" i="547" s="1"/>
  <c r="N296" i="547"/>
  <c r="K296" i="547"/>
  <c r="M296" i="547" s="1"/>
  <c r="K296" i="547" a="1"/>
  <c r="J296" i="547"/>
  <c r="J296" i="547" a="1"/>
  <c r="H296" i="547"/>
  <c r="V295" i="547"/>
  <c r="W295" i="547" s="1"/>
  <c r="N295" i="547"/>
  <c r="K295" i="547" a="1"/>
  <c r="K295" i="547" s="1"/>
  <c r="M295" i="547" s="1"/>
  <c r="J295" i="547" a="1"/>
  <c r="J295" i="547" s="1"/>
  <c r="H295" i="547"/>
  <c r="W294" i="547"/>
  <c r="V294" i="547"/>
  <c r="N294" i="547"/>
  <c r="K294" i="547" a="1"/>
  <c r="K294" i="547" s="1"/>
  <c r="M294" i="547" s="1"/>
  <c r="J294" i="547" a="1"/>
  <c r="J294" i="547" s="1"/>
  <c r="H294" i="547"/>
  <c r="V293" i="547"/>
  <c r="W293" i="547" s="1"/>
  <c r="N293" i="547"/>
  <c r="K293" i="547" a="1"/>
  <c r="K293" i="547" s="1"/>
  <c r="J293" i="547" a="1"/>
  <c r="J293" i="547" s="1"/>
  <c r="H293" i="547"/>
  <c r="H308" i="547" s="1"/>
  <c r="AA292" i="547"/>
  <c r="Z292" i="547"/>
  <c r="Y292" i="547"/>
  <c r="X292" i="547"/>
  <c r="U292" i="547"/>
  <c r="T292" i="547"/>
  <c r="S292" i="547"/>
  <c r="R292" i="547"/>
  <c r="Q292" i="547"/>
  <c r="P292" i="547"/>
  <c r="O292" i="547"/>
  <c r="R339" i="547" s="1"/>
  <c r="I292" i="547"/>
  <c r="G292" i="547"/>
  <c r="V291" i="547"/>
  <c r="W291" i="547" s="1"/>
  <c r="N291" i="547"/>
  <c r="K291" i="547" a="1"/>
  <c r="K291" i="547" s="1"/>
  <c r="M291" i="547" s="1"/>
  <c r="J291" i="547" a="1"/>
  <c r="J291" i="547" s="1"/>
  <c r="H291" i="547"/>
  <c r="V290" i="547"/>
  <c r="W290" i="547" s="1"/>
  <c r="N290" i="547"/>
  <c r="K290" i="547" a="1"/>
  <c r="K290" i="547" s="1"/>
  <c r="M290" i="547" s="1"/>
  <c r="J290" i="547" a="1"/>
  <c r="J290" i="547" s="1"/>
  <c r="H290" i="547"/>
  <c r="V289" i="547"/>
  <c r="W289" i="547" s="1"/>
  <c r="N289" i="547"/>
  <c r="K289" i="547" a="1"/>
  <c r="K289" i="547" s="1"/>
  <c r="M289" i="547" s="1"/>
  <c r="J289" i="547" a="1"/>
  <c r="J289" i="547" s="1"/>
  <c r="H289" i="547"/>
  <c r="H288" i="547"/>
  <c r="H287" i="547"/>
  <c r="H286" i="547"/>
  <c r="V285" i="547"/>
  <c r="W285" i="547" s="1"/>
  <c r="N285" i="547"/>
  <c r="K285" i="547" a="1"/>
  <c r="K285" i="547" s="1"/>
  <c r="M285" i="547" s="1"/>
  <c r="J285" i="547" a="1"/>
  <c r="J285" i="547" s="1"/>
  <c r="H285" i="547"/>
  <c r="V284" i="547"/>
  <c r="W284" i="547" s="1"/>
  <c r="N284" i="547"/>
  <c r="K284" i="547"/>
  <c r="M284" i="547" s="1"/>
  <c r="K284" i="547" a="1"/>
  <c r="J284" i="547"/>
  <c r="J284" i="547" a="1"/>
  <c r="H284" i="547"/>
  <c r="N283" i="547"/>
  <c r="K283" i="547" a="1"/>
  <c r="K283" i="547" s="1"/>
  <c r="M283" i="547" s="1"/>
  <c r="H283" i="547"/>
  <c r="N282" i="547"/>
  <c r="K282" i="547" a="1"/>
  <c r="K282" i="547" s="1"/>
  <c r="M282" i="547" s="1"/>
  <c r="H282" i="547"/>
  <c r="N281" i="547"/>
  <c r="K281" i="547" a="1"/>
  <c r="K281" i="547" s="1"/>
  <c r="M281" i="547" s="1"/>
  <c r="H281" i="547"/>
  <c r="N280" i="547"/>
  <c r="K280" i="547" a="1"/>
  <c r="K280" i="547" s="1"/>
  <c r="M280" i="547" s="1"/>
  <c r="H280" i="547"/>
  <c r="N279" i="547"/>
  <c r="K279" i="547" a="1"/>
  <c r="K279" i="547" s="1"/>
  <c r="M279" i="547" s="1"/>
  <c r="H279" i="547"/>
  <c r="N278" i="547"/>
  <c r="K278" i="547" a="1"/>
  <c r="K278" i="547" s="1"/>
  <c r="M278" i="547" s="1"/>
  <c r="H278" i="547"/>
  <c r="V277" i="547"/>
  <c r="W277" i="547" s="1"/>
  <c r="N277" i="547"/>
  <c r="K277" i="547" a="1"/>
  <c r="K277" i="547" s="1"/>
  <c r="M277" i="547" s="1"/>
  <c r="J277" i="547" a="1"/>
  <c r="J277" i="547" s="1"/>
  <c r="H277" i="547"/>
  <c r="V276" i="547"/>
  <c r="W276" i="547" s="1"/>
  <c r="N276" i="547"/>
  <c r="K276" i="547"/>
  <c r="M276" i="547" s="1"/>
  <c r="K276" i="547" a="1"/>
  <c r="J276" i="547"/>
  <c r="J276" i="547" a="1"/>
  <c r="H276" i="547"/>
  <c r="V275" i="547"/>
  <c r="W275" i="547" s="1"/>
  <c r="N275" i="547"/>
  <c r="K275" i="547" a="1"/>
  <c r="K275" i="547" s="1"/>
  <c r="M275" i="547" s="1"/>
  <c r="J275" i="547" a="1"/>
  <c r="J275" i="547" s="1"/>
  <c r="H275" i="547"/>
  <c r="V274" i="547"/>
  <c r="W274" i="547" s="1"/>
  <c r="N274" i="547"/>
  <c r="K274" i="547" a="1"/>
  <c r="K274" i="547" s="1"/>
  <c r="M274" i="547" s="1"/>
  <c r="J274" i="547" a="1"/>
  <c r="J274" i="547" s="1"/>
  <c r="H274" i="547"/>
  <c r="V273" i="547"/>
  <c r="W273" i="547" s="1"/>
  <c r="N273" i="547"/>
  <c r="K273" i="547" a="1"/>
  <c r="K273" i="547" s="1"/>
  <c r="M273" i="547" s="1"/>
  <c r="J273" i="547" a="1"/>
  <c r="J273" i="547" s="1"/>
  <c r="H273" i="547"/>
  <c r="V272" i="547"/>
  <c r="W272" i="547" s="1"/>
  <c r="N272" i="547"/>
  <c r="K272" i="547"/>
  <c r="M272" i="547" s="1"/>
  <c r="K272" i="547" a="1"/>
  <c r="J272" i="547"/>
  <c r="J272" i="547" a="1"/>
  <c r="H272" i="547"/>
  <c r="V271" i="547"/>
  <c r="W271" i="547" s="1"/>
  <c r="N271" i="547"/>
  <c r="K271" i="547" a="1"/>
  <c r="K271" i="547" s="1"/>
  <c r="M271" i="547" s="1"/>
  <c r="J271" i="547" a="1"/>
  <c r="J271" i="547" s="1"/>
  <c r="H271" i="547"/>
  <c r="W270" i="547"/>
  <c r="V270" i="547"/>
  <c r="N270" i="547"/>
  <c r="K270" i="547" a="1"/>
  <c r="K270" i="547" s="1"/>
  <c r="M270" i="547" s="1"/>
  <c r="J270" i="547" a="1"/>
  <c r="J270" i="547" s="1"/>
  <c r="H270" i="547"/>
  <c r="V269" i="547"/>
  <c r="W269" i="547" s="1"/>
  <c r="N269" i="547"/>
  <c r="K269" i="547" a="1"/>
  <c r="K269" i="547" s="1"/>
  <c r="M269" i="547" s="1"/>
  <c r="J269" i="547" a="1"/>
  <c r="J269" i="547" s="1"/>
  <c r="H269" i="547"/>
  <c r="V268" i="547"/>
  <c r="W268" i="547" s="1"/>
  <c r="N268" i="547"/>
  <c r="K268" i="547"/>
  <c r="M268" i="547" s="1"/>
  <c r="K268" i="547" a="1"/>
  <c r="J268" i="547"/>
  <c r="J268" i="547" a="1"/>
  <c r="H268" i="547"/>
  <c r="V267" i="547"/>
  <c r="W267" i="547" s="1"/>
  <c r="N267" i="547"/>
  <c r="K267" i="547" a="1"/>
  <c r="K267" i="547" s="1"/>
  <c r="M267" i="547" s="1"/>
  <c r="J267" i="547" a="1"/>
  <c r="J267" i="547" s="1"/>
  <c r="H267" i="547"/>
  <c r="W266" i="547"/>
  <c r="V266" i="547"/>
  <c r="N266" i="547"/>
  <c r="K266" i="547" a="1"/>
  <c r="K266" i="547" s="1"/>
  <c r="M266" i="547" s="1"/>
  <c r="J266" i="547" a="1"/>
  <c r="J266" i="547" s="1"/>
  <c r="H266" i="547"/>
  <c r="N265" i="547"/>
  <c r="K265" i="547" a="1"/>
  <c r="K265" i="547" s="1"/>
  <c r="M265" i="547" s="1"/>
  <c r="H265" i="547"/>
  <c r="V264" i="547"/>
  <c r="W264" i="547" s="1"/>
  <c r="N264" i="547"/>
  <c r="K264" i="547"/>
  <c r="M264" i="547" s="1"/>
  <c r="K264" i="547" a="1"/>
  <c r="J264" i="547"/>
  <c r="J264" i="547" a="1"/>
  <c r="H264" i="547"/>
  <c r="V263" i="547"/>
  <c r="W263" i="547" s="1"/>
  <c r="N263" i="547"/>
  <c r="K263" i="547" a="1"/>
  <c r="K263" i="547" s="1"/>
  <c r="M263" i="547" s="1"/>
  <c r="J263" i="547" a="1"/>
  <c r="J263" i="547" s="1"/>
  <c r="H263" i="547"/>
  <c r="W262" i="547"/>
  <c r="V262" i="547"/>
  <c r="N262" i="547"/>
  <c r="K262" i="547" a="1"/>
  <c r="K262" i="547" s="1"/>
  <c r="M262" i="547" s="1"/>
  <c r="J262" i="547" a="1"/>
  <c r="J262" i="547" s="1"/>
  <c r="H262" i="547"/>
  <c r="V261" i="547"/>
  <c r="W261" i="547" s="1"/>
  <c r="N261" i="547"/>
  <c r="K261" i="547" a="1"/>
  <c r="K261" i="547" s="1"/>
  <c r="M261" i="547" s="1"/>
  <c r="J261" i="547" a="1"/>
  <c r="J261" i="547" s="1"/>
  <c r="H261" i="547"/>
  <c r="V260" i="547"/>
  <c r="W260" i="547" s="1"/>
  <c r="N260" i="547"/>
  <c r="K260" i="547"/>
  <c r="M260" i="547" s="1"/>
  <c r="K260" i="547" a="1"/>
  <c r="J260" i="547"/>
  <c r="J260" i="547" a="1"/>
  <c r="H260" i="547"/>
  <c r="V259" i="547"/>
  <c r="W259" i="547" s="1"/>
  <c r="N259" i="547"/>
  <c r="K259" i="547" a="1"/>
  <c r="K259" i="547" s="1"/>
  <c r="M259" i="547" s="1"/>
  <c r="J259" i="547" a="1"/>
  <c r="J259" i="547" s="1"/>
  <c r="H259" i="547"/>
  <c r="V258" i="547"/>
  <c r="V292" i="547" s="1"/>
  <c r="N258" i="547"/>
  <c r="N292" i="547" s="1"/>
  <c r="K258" i="547" a="1"/>
  <c r="K258" i="547" s="1"/>
  <c r="J258" i="547" a="1"/>
  <c r="J258" i="547" s="1"/>
  <c r="H258" i="547"/>
  <c r="H292" i="547" s="1"/>
  <c r="AA257" i="547"/>
  <c r="Z257" i="547"/>
  <c r="Y257" i="547"/>
  <c r="X257" i="547"/>
  <c r="U257" i="547"/>
  <c r="T257" i="547"/>
  <c r="S257" i="547"/>
  <c r="R257" i="547"/>
  <c r="Q257" i="547"/>
  <c r="P257" i="547"/>
  <c r="O257" i="547"/>
  <c r="R338" i="547" s="1"/>
  <c r="I257" i="547"/>
  <c r="G257" i="547"/>
  <c r="H256" i="547"/>
  <c r="H255" i="547"/>
  <c r="H254" i="547"/>
  <c r="H253" i="547"/>
  <c r="H252" i="547"/>
  <c r="H251" i="547"/>
  <c r="K250" i="547" a="1"/>
  <c r="K250" i="547" s="1"/>
  <c r="M250" i="547" s="1"/>
  <c r="H250" i="547"/>
  <c r="K249" i="547" a="1"/>
  <c r="K249" i="547" s="1"/>
  <c r="M249" i="547" s="1"/>
  <c r="H249" i="547"/>
  <c r="K248" i="547" a="1"/>
  <c r="K248" i="547" s="1"/>
  <c r="M248" i="547" s="1"/>
  <c r="H248" i="547"/>
  <c r="K247" i="547" a="1"/>
  <c r="K247" i="547" s="1"/>
  <c r="M247" i="547" s="1"/>
  <c r="H247" i="547"/>
  <c r="W246" i="547"/>
  <c r="V246" i="547"/>
  <c r="N246" i="547"/>
  <c r="K246" i="547" a="1"/>
  <c r="K246" i="547" s="1"/>
  <c r="M246" i="547" s="1"/>
  <c r="J246" i="547" a="1"/>
  <c r="J246" i="547" s="1"/>
  <c r="H246" i="547"/>
  <c r="V245" i="547"/>
  <c r="W245" i="547" s="1"/>
  <c r="N245" i="547"/>
  <c r="K245" i="547" a="1"/>
  <c r="K245" i="547" s="1"/>
  <c r="M245" i="547" s="1"/>
  <c r="J245" i="547" a="1"/>
  <c r="J245" i="547" s="1"/>
  <c r="H245" i="547"/>
  <c r="V244" i="547"/>
  <c r="W244" i="547" s="1"/>
  <c r="N244" i="547"/>
  <c r="K244" i="547"/>
  <c r="M244" i="547" s="1"/>
  <c r="K244" i="547" a="1"/>
  <c r="J244" i="547"/>
  <c r="J244" i="547" a="1"/>
  <c r="H244" i="547"/>
  <c r="V243" i="547"/>
  <c r="W243" i="547" s="1"/>
  <c r="N243" i="547"/>
  <c r="K243" i="547" a="1"/>
  <c r="K243" i="547" s="1"/>
  <c r="M243" i="547" s="1"/>
  <c r="J243" i="547" a="1"/>
  <c r="J243" i="547" s="1"/>
  <c r="H243" i="547"/>
  <c r="M242" i="547"/>
  <c r="H242" i="547"/>
  <c r="W241" i="547"/>
  <c r="V241" i="547"/>
  <c r="N241" i="547"/>
  <c r="K241" i="547" a="1"/>
  <c r="K241" i="547" s="1"/>
  <c r="M241" i="547" s="1"/>
  <c r="J241" i="547" a="1"/>
  <c r="J241" i="547" s="1"/>
  <c r="H241" i="547"/>
  <c r="V240" i="547"/>
  <c r="W240" i="547" s="1"/>
  <c r="N240" i="547"/>
  <c r="K240" i="547" a="1"/>
  <c r="K240" i="547" s="1"/>
  <c r="M240" i="547" s="1"/>
  <c r="J240" i="547" a="1"/>
  <c r="J240" i="547" s="1"/>
  <c r="H240" i="547"/>
  <c r="K239" i="547" a="1"/>
  <c r="K239" i="547" s="1"/>
  <c r="M239" i="547" s="1"/>
  <c r="H239" i="547"/>
  <c r="H238" i="547"/>
  <c r="V237" i="547"/>
  <c r="W237" i="547" s="1"/>
  <c r="N237" i="547"/>
  <c r="K237" i="547" a="1"/>
  <c r="K237" i="547" s="1"/>
  <c r="M237" i="547" s="1"/>
  <c r="J237" i="547" a="1"/>
  <c r="J237" i="547" s="1"/>
  <c r="H237" i="547"/>
  <c r="V236" i="547"/>
  <c r="W236" i="547" s="1"/>
  <c r="N236" i="547"/>
  <c r="K236" i="547"/>
  <c r="M236" i="547" s="1"/>
  <c r="K236" i="547" a="1"/>
  <c r="J236" i="547"/>
  <c r="J236" i="547" a="1"/>
  <c r="H236" i="547"/>
  <c r="V235" i="547"/>
  <c r="W235" i="547" s="1"/>
  <c r="N235" i="547"/>
  <c r="K235" i="547" a="1"/>
  <c r="K235" i="547" s="1"/>
  <c r="M235" i="547" s="1"/>
  <c r="J235" i="547" a="1"/>
  <c r="J235" i="547" s="1"/>
  <c r="H235" i="547"/>
  <c r="W234" i="547"/>
  <c r="V234" i="547"/>
  <c r="N234" i="547"/>
  <c r="K234" i="547" a="1"/>
  <c r="K234" i="547" s="1"/>
  <c r="M234" i="547" s="1"/>
  <c r="J234" i="547" a="1"/>
  <c r="J234" i="547" s="1"/>
  <c r="H234" i="547"/>
  <c r="V233" i="547"/>
  <c r="W233" i="547" s="1"/>
  <c r="N233" i="547"/>
  <c r="K233" i="547" a="1"/>
  <c r="K233" i="547" s="1"/>
  <c r="M233" i="547" s="1"/>
  <c r="J233" i="547" a="1"/>
  <c r="J233" i="547" s="1"/>
  <c r="H233" i="547"/>
  <c r="V232" i="547"/>
  <c r="W232" i="547" s="1"/>
  <c r="N232" i="547"/>
  <c r="K232" i="547"/>
  <c r="M232" i="547" s="1"/>
  <c r="K232" i="547" a="1"/>
  <c r="J232" i="547"/>
  <c r="J232" i="547" a="1"/>
  <c r="H232" i="547"/>
  <c r="V231" i="547"/>
  <c r="W231" i="547" s="1"/>
  <c r="N231" i="547"/>
  <c r="K231" i="547" a="1"/>
  <c r="K231" i="547" s="1"/>
  <c r="M231" i="547" s="1"/>
  <c r="J231" i="547" a="1"/>
  <c r="J231" i="547" s="1"/>
  <c r="H231" i="547"/>
  <c r="W230" i="547"/>
  <c r="V230" i="547"/>
  <c r="N230" i="547"/>
  <c r="K230" i="547"/>
  <c r="M230" i="547" s="1"/>
  <c r="K230" i="547" a="1"/>
  <c r="J230" i="547" a="1"/>
  <c r="J230" i="547" s="1"/>
  <c r="H230" i="547"/>
  <c r="V229" i="547"/>
  <c r="W229" i="547" s="1"/>
  <c r="N229" i="547"/>
  <c r="K229" i="547" a="1"/>
  <c r="K229" i="547" s="1"/>
  <c r="M229" i="547" s="1"/>
  <c r="J229" i="547" a="1"/>
  <c r="J229" i="547" s="1"/>
  <c r="H229" i="547"/>
  <c r="W228" i="547"/>
  <c r="V228" i="547"/>
  <c r="N228" i="547"/>
  <c r="K228" i="547" a="1"/>
  <c r="K228" i="547" s="1"/>
  <c r="M228" i="547" s="1"/>
  <c r="J228" i="547" a="1"/>
  <c r="J228" i="547" s="1"/>
  <c r="H228" i="547"/>
  <c r="N227" i="547"/>
  <c r="K227" i="547" a="1"/>
  <c r="K227" i="547" s="1"/>
  <c r="M227" i="547" s="1"/>
  <c r="H227" i="547"/>
  <c r="N226" i="547"/>
  <c r="K226" i="547"/>
  <c r="M226" i="547" s="1"/>
  <c r="K226" i="547" a="1"/>
  <c r="H226" i="547"/>
  <c r="N225" i="547"/>
  <c r="K225" i="547" a="1"/>
  <c r="K225" i="547" s="1"/>
  <c r="M225" i="547" s="1"/>
  <c r="H225" i="547"/>
  <c r="N224" i="547"/>
  <c r="K224" i="547" a="1"/>
  <c r="K224" i="547" s="1"/>
  <c r="M224" i="547" s="1"/>
  <c r="H224" i="547"/>
  <c r="N223" i="547"/>
  <c r="K223" i="547" a="1"/>
  <c r="K223" i="547" s="1"/>
  <c r="M223" i="547" s="1"/>
  <c r="H223" i="547"/>
  <c r="N222" i="547"/>
  <c r="K222" i="547"/>
  <c r="M222" i="547" s="1"/>
  <c r="K222" i="547" a="1"/>
  <c r="H222" i="547"/>
  <c r="N221" i="547"/>
  <c r="K221" i="547" a="1"/>
  <c r="K221" i="547" s="1"/>
  <c r="M221" i="547" s="1"/>
  <c r="H221" i="547"/>
  <c r="N220" i="547"/>
  <c r="K220" i="547" a="1"/>
  <c r="K220" i="547" s="1"/>
  <c r="M220" i="547" s="1"/>
  <c r="H220" i="547"/>
  <c r="V219" i="547"/>
  <c r="W219" i="547" s="1"/>
  <c r="N219" i="547"/>
  <c r="K219" i="547" a="1"/>
  <c r="K219" i="547" s="1"/>
  <c r="M219" i="547" s="1"/>
  <c r="J219" i="547" a="1"/>
  <c r="J219" i="547" s="1"/>
  <c r="H219" i="547"/>
  <c r="W218" i="547"/>
  <c r="V218" i="547"/>
  <c r="N218" i="547"/>
  <c r="K218" i="547"/>
  <c r="M218" i="547" s="1"/>
  <c r="K218" i="547" a="1"/>
  <c r="J218" i="547" a="1"/>
  <c r="J218" i="547" s="1"/>
  <c r="H218" i="547"/>
  <c r="V217" i="547"/>
  <c r="W217" i="547" s="1"/>
  <c r="N217" i="547"/>
  <c r="K217" i="547" a="1"/>
  <c r="K217" i="547" s="1"/>
  <c r="M217" i="547" s="1"/>
  <c r="J217" i="547" a="1"/>
  <c r="J217" i="547" s="1"/>
  <c r="H217" i="547"/>
  <c r="W216" i="547"/>
  <c r="V216" i="547"/>
  <c r="N216" i="547"/>
  <c r="K216" i="547" a="1"/>
  <c r="K216" i="547" s="1"/>
  <c r="M216" i="547" s="1"/>
  <c r="J216" i="547" a="1"/>
  <c r="J216" i="547" s="1"/>
  <c r="H216" i="547"/>
  <c r="V215" i="547"/>
  <c r="W215" i="547" s="1"/>
  <c r="N215" i="547"/>
  <c r="K215" i="547" a="1"/>
  <c r="K215" i="547" s="1"/>
  <c r="M215" i="547" s="1"/>
  <c r="J215" i="547" a="1"/>
  <c r="J215" i="547" s="1"/>
  <c r="H215" i="547"/>
  <c r="V214" i="547"/>
  <c r="W214" i="547" s="1"/>
  <c r="N214" i="547"/>
  <c r="K214" i="547"/>
  <c r="M214" i="547" s="1"/>
  <c r="K214" i="547" a="1"/>
  <c r="J214" i="547"/>
  <c r="J214" i="547" a="1"/>
  <c r="H214" i="547"/>
  <c r="V213" i="547"/>
  <c r="W213" i="547" s="1"/>
  <c r="N213" i="547"/>
  <c r="K213" i="547" a="1"/>
  <c r="K213" i="547" s="1"/>
  <c r="M213" i="547" s="1"/>
  <c r="J213" i="547" a="1"/>
  <c r="J213" i="547" s="1"/>
  <c r="H213" i="547"/>
  <c r="V212" i="547"/>
  <c r="W212" i="547" s="1"/>
  <c r="N212" i="547"/>
  <c r="K212" i="547" a="1"/>
  <c r="K212" i="547" s="1"/>
  <c r="M212" i="547" s="1"/>
  <c r="J212" i="547" a="1"/>
  <c r="J212" i="547" s="1"/>
  <c r="H212" i="547"/>
  <c r="V211" i="547"/>
  <c r="W211" i="547" s="1"/>
  <c r="N211" i="547"/>
  <c r="K211" i="547" a="1"/>
  <c r="K211" i="547" s="1"/>
  <c r="M211" i="547" s="1"/>
  <c r="J211" i="547" a="1"/>
  <c r="J211" i="547" s="1"/>
  <c r="H211" i="547"/>
  <c r="V210" i="547"/>
  <c r="W210" i="547" s="1"/>
  <c r="N210" i="547"/>
  <c r="K210" i="547" a="1"/>
  <c r="K210" i="547" s="1"/>
  <c r="M210" i="547" s="1"/>
  <c r="J210" i="547" a="1"/>
  <c r="J210" i="547" s="1"/>
  <c r="H210" i="547"/>
  <c r="V209" i="547"/>
  <c r="W209" i="547" s="1"/>
  <c r="N209" i="547"/>
  <c r="K209" i="547" a="1"/>
  <c r="K209" i="547" s="1"/>
  <c r="M209" i="547" s="1"/>
  <c r="J209" i="547" a="1"/>
  <c r="J209" i="547" s="1"/>
  <c r="H209" i="547"/>
  <c r="W208" i="547"/>
  <c r="V208" i="547"/>
  <c r="N208" i="547"/>
  <c r="K208" i="547" a="1"/>
  <c r="K208" i="547" s="1"/>
  <c r="M208" i="547" s="1"/>
  <c r="J208" i="547" a="1"/>
  <c r="J208" i="547" s="1"/>
  <c r="H208" i="547"/>
  <c r="H207" i="547"/>
  <c r="H206" i="547"/>
  <c r="H205" i="547"/>
  <c r="W204" i="547"/>
  <c r="V204" i="547"/>
  <c r="N204" i="547"/>
  <c r="K204" i="547"/>
  <c r="M204" i="547" s="1"/>
  <c r="K204" i="547" a="1"/>
  <c r="J204" i="547" a="1"/>
  <c r="J204" i="547" s="1"/>
  <c r="H204" i="547"/>
  <c r="V203" i="547"/>
  <c r="W203" i="547" s="1"/>
  <c r="N203" i="547"/>
  <c r="K203" i="547" a="1"/>
  <c r="K203" i="547" s="1"/>
  <c r="M203" i="547" s="1"/>
  <c r="J203" i="547" a="1"/>
  <c r="J203" i="547" s="1"/>
  <c r="H203" i="547"/>
  <c r="V202" i="547"/>
  <c r="W202" i="547" s="1"/>
  <c r="N202" i="547"/>
  <c r="K202" i="547"/>
  <c r="M202" i="547" s="1"/>
  <c r="K202" i="547" a="1"/>
  <c r="J202" i="547"/>
  <c r="J202" i="547" a="1"/>
  <c r="H202" i="547"/>
  <c r="H201" i="547"/>
  <c r="W200" i="547"/>
  <c r="V200" i="547"/>
  <c r="V257" i="547" s="1"/>
  <c r="W257" i="547" s="1"/>
  <c r="N200" i="547"/>
  <c r="N257" i="547" s="1"/>
  <c r="K200" i="547" a="1"/>
  <c r="K200" i="547" s="1"/>
  <c r="J200" i="547" a="1"/>
  <c r="J200" i="547" s="1"/>
  <c r="H200" i="547"/>
  <c r="H257" i="547" s="1"/>
  <c r="AA199" i="547"/>
  <c r="AA335" i="547" s="1"/>
  <c r="Z199" i="547"/>
  <c r="Y199" i="547"/>
  <c r="Y335" i="547" s="1"/>
  <c r="X199" i="547"/>
  <c r="U199" i="547"/>
  <c r="U335" i="547" s="1"/>
  <c r="T199" i="547"/>
  <c r="S199" i="547"/>
  <c r="S335" i="547" s="1"/>
  <c r="R199" i="547"/>
  <c r="R335" i="547" s="1"/>
  <c r="Q199" i="547"/>
  <c r="Q335" i="547" s="1"/>
  <c r="P199" i="547"/>
  <c r="O199" i="547"/>
  <c r="I199" i="547"/>
  <c r="I335" i="547" s="1"/>
  <c r="B343" i="547" s="1"/>
  <c r="G199" i="547"/>
  <c r="V198" i="547"/>
  <c r="W198" i="547" s="1"/>
  <c r="N198" i="547"/>
  <c r="K198" i="547" a="1"/>
  <c r="K198" i="547" s="1"/>
  <c r="M198" i="547" s="1"/>
  <c r="J198" i="547" a="1"/>
  <c r="J198" i="547" s="1"/>
  <c r="H198" i="547"/>
  <c r="V197" i="547"/>
  <c r="W197" i="547" s="1"/>
  <c r="N197" i="547"/>
  <c r="K197" i="547"/>
  <c r="M197" i="547" s="1"/>
  <c r="K197" i="547" a="1"/>
  <c r="J197" i="547" a="1"/>
  <c r="J197" i="547" s="1"/>
  <c r="H197" i="547"/>
  <c r="K196" i="547" a="1"/>
  <c r="K196" i="547" s="1"/>
  <c r="M196" i="547" s="1"/>
  <c r="H196" i="547"/>
  <c r="K195" i="547" a="1"/>
  <c r="K195" i="547" s="1"/>
  <c r="M195" i="547" s="1"/>
  <c r="H195" i="547"/>
  <c r="K194" i="547" a="1"/>
  <c r="K194" i="547" s="1"/>
  <c r="M194" i="547" s="1"/>
  <c r="H194" i="547"/>
  <c r="K193" i="547" a="1"/>
  <c r="K193" i="547" s="1"/>
  <c r="M193" i="547" s="1"/>
  <c r="H193" i="547"/>
  <c r="W192" i="547"/>
  <c r="V192" i="547"/>
  <c r="N192" i="547"/>
  <c r="K192" i="547" a="1"/>
  <c r="K192" i="547" s="1"/>
  <c r="M192" i="547" s="1"/>
  <c r="J192" i="547" a="1"/>
  <c r="J192" i="547" s="1"/>
  <c r="H192" i="547"/>
  <c r="V191" i="547"/>
  <c r="W191" i="547" s="1"/>
  <c r="N191" i="547"/>
  <c r="K191" i="547"/>
  <c r="M191" i="547" s="1"/>
  <c r="K191" i="547" a="1"/>
  <c r="J191" i="547" a="1"/>
  <c r="J191" i="547" s="1"/>
  <c r="H191" i="547"/>
  <c r="W190" i="547"/>
  <c r="V190" i="547"/>
  <c r="N190" i="547"/>
  <c r="K190" i="547"/>
  <c r="M190" i="547" s="1"/>
  <c r="K190" i="547" a="1"/>
  <c r="J190" i="547" a="1"/>
  <c r="J190" i="547" s="1"/>
  <c r="H190" i="547"/>
  <c r="N189" i="547"/>
  <c r="K189" i="547" a="1"/>
  <c r="K189" i="547" s="1"/>
  <c r="M189" i="547" s="1"/>
  <c r="J189" i="547" a="1"/>
  <c r="J189" i="547" s="1"/>
  <c r="H189" i="547"/>
  <c r="N188" i="547"/>
  <c r="K188" i="547" a="1"/>
  <c r="K188" i="547" s="1"/>
  <c r="M188" i="547" s="1"/>
  <c r="J188" i="547" a="1"/>
  <c r="J188" i="547" s="1"/>
  <c r="H188" i="547"/>
  <c r="V187" i="547"/>
  <c r="W187" i="547" s="1"/>
  <c r="N187" i="547"/>
  <c r="K187" i="547" a="1"/>
  <c r="K187" i="547" s="1"/>
  <c r="M187" i="547" s="1"/>
  <c r="J187" i="547" a="1"/>
  <c r="J187" i="547" s="1"/>
  <c r="H187" i="547"/>
  <c r="V186" i="547"/>
  <c r="W186" i="547" s="1"/>
  <c r="N186" i="547"/>
  <c r="K186" i="547" a="1"/>
  <c r="K186" i="547" s="1"/>
  <c r="M186" i="547" s="1"/>
  <c r="J186" i="547" a="1"/>
  <c r="J186" i="547" s="1"/>
  <c r="H186" i="547"/>
  <c r="N185" i="547"/>
  <c r="K185" i="547"/>
  <c r="M185" i="547" s="1"/>
  <c r="K185" i="547" a="1"/>
  <c r="H185" i="547"/>
  <c r="N184" i="547"/>
  <c r="K184" i="547" a="1"/>
  <c r="K184" i="547" s="1"/>
  <c r="M184" i="547" s="1"/>
  <c r="H184" i="547"/>
  <c r="W183" i="547"/>
  <c r="V183" i="547"/>
  <c r="N183" i="547"/>
  <c r="K183" i="547" a="1"/>
  <c r="K183" i="547" s="1"/>
  <c r="M183" i="547" s="1"/>
  <c r="J183" i="547" a="1"/>
  <c r="J183" i="547" s="1"/>
  <c r="H183" i="547"/>
  <c r="V182" i="547"/>
  <c r="W182" i="547" s="1"/>
  <c r="N182" i="547"/>
  <c r="K182" i="547" a="1"/>
  <c r="K182" i="547" s="1"/>
  <c r="M182" i="547" s="1"/>
  <c r="J182" i="547" a="1"/>
  <c r="J182" i="547" s="1"/>
  <c r="H182" i="547"/>
  <c r="V181" i="547"/>
  <c r="W181" i="547" s="1"/>
  <c r="N181" i="547"/>
  <c r="K181" i="547" a="1"/>
  <c r="K181" i="547" s="1"/>
  <c r="M181" i="547" s="1"/>
  <c r="J181" i="547" a="1"/>
  <c r="J181" i="547" s="1"/>
  <c r="H181" i="547"/>
  <c r="V180" i="547"/>
  <c r="W180" i="547" s="1"/>
  <c r="N180" i="547"/>
  <c r="K180" i="547" a="1"/>
  <c r="K180" i="547" s="1"/>
  <c r="M180" i="547" s="1"/>
  <c r="J180" i="547" a="1"/>
  <c r="J180" i="547" s="1"/>
  <c r="H180" i="547"/>
  <c r="V179" i="547"/>
  <c r="W179" i="547" s="1"/>
  <c r="N179" i="547"/>
  <c r="K179" i="547" a="1"/>
  <c r="K179" i="547" s="1"/>
  <c r="M179" i="547" s="1"/>
  <c r="J179" i="547" a="1"/>
  <c r="J179" i="547" s="1"/>
  <c r="H179" i="547"/>
  <c r="V178" i="547"/>
  <c r="V199" i="547" s="1"/>
  <c r="N178" i="547"/>
  <c r="N199" i="547" s="1"/>
  <c r="K178" i="547" a="1"/>
  <c r="K178" i="547" s="1"/>
  <c r="J178" i="547" a="1"/>
  <c r="J178" i="547" s="1"/>
  <c r="H178" i="547"/>
  <c r="X171" i="547"/>
  <c r="Q529" i="547" s="1"/>
  <c r="X170" i="547"/>
  <c r="Q528" i="547" s="1"/>
  <c r="G170" i="547"/>
  <c r="C170" i="547"/>
  <c r="X169" i="547"/>
  <c r="Q527" i="547" s="1"/>
  <c r="I169" i="547"/>
  <c r="E169" i="547"/>
  <c r="K169" i="547" s="1"/>
  <c r="M169" i="547" s="1"/>
  <c r="I168" i="547"/>
  <c r="E168" i="547"/>
  <c r="K168" i="547" s="1"/>
  <c r="M168" i="547" s="1"/>
  <c r="I167" i="547"/>
  <c r="E167" i="547"/>
  <c r="K167" i="547" s="1"/>
  <c r="M167" i="547" s="1"/>
  <c r="X166" i="547"/>
  <c r="Q524" i="547" s="1"/>
  <c r="I166" i="547"/>
  <c r="I170" i="547" s="1"/>
  <c r="E166" i="547"/>
  <c r="E170" i="547" s="1"/>
  <c r="AA163" i="547"/>
  <c r="Z163" i="547"/>
  <c r="Y163" i="547"/>
  <c r="X163" i="547"/>
  <c r="U163" i="547"/>
  <c r="T163" i="547"/>
  <c r="S163" i="547"/>
  <c r="R163" i="547"/>
  <c r="Q163" i="547"/>
  <c r="P163" i="547"/>
  <c r="O163" i="547"/>
  <c r="I163" i="547"/>
  <c r="G163" i="547"/>
  <c r="C529" i="547" s="1"/>
  <c r="H162" i="547"/>
  <c r="H161" i="547"/>
  <c r="H160" i="547"/>
  <c r="V159" i="547"/>
  <c r="W159" i="547" s="1"/>
  <c r="N159" i="547"/>
  <c r="K159" i="547"/>
  <c r="K159" i="547" a="1"/>
  <c r="J159" i="547" a="1"/>
  <c r="J159" i="547" s="1"/>
  <c r="H159" i="547"/>
  <c r="D159" i="547"/>
  <c r="V158" i="547"/>
  <c r="W158" i="547" s="1"/>
  <c r="N158" i="547"/>
  <c r="K158" i="547" a="1"/>
  <c r="K158" i="547" s="1"/>
  <c r="M158" i="547" s="1"/>
  <c r="J158" i="547" a="1"/>
  <c r="J158" i="547" s="1"/>
  <c r="H158" i="547"/>
  <c r="H157" i="547"/>
  <c r="H156" i="547"/>
  <c r="V155" i="547"/>
  <c r="W155" i="547" s="1"/>
  <c r="N155" i="547"/>
  <c r="K155" i="547" a="1"/>
  <c r="K155" i="547" s="1"/>
  <c r="M155" i="547" s="1"/>
  <c r="J155" i="547" a="1"/>
  <c r="J155" i="547" s="1"/>
  <c r="H155" i="547"/>
  <c r="V154" i="547"/>
  <c r="W154" i="547" s="1"/>
  <c r="N154" i="547"/>
  <c r="K154" i="547"/>
  <c r="M154" i="547" s="1"/>
  <c r="K154" i="547" a="1"/>
  <c r="J154" i="547"/>
  <c r="J154" i="547" a="1"/>
  <c r="H154" i="547"/>
  <c r="H153" i="547"/>
  <c r="W152" i="547"/>
  <c r="V152" i="547"/>
  <c r="N152" i="547"/>
  <c r="K152" i="547" a="1"/>
  <c r="K152" i="547" s="1"/>
  <c r="M152" i="547" s="1"/>
  <c r="J152" i="547" a="1"/>
  <c r="J152" i="547" s="1"/>
  <c r="H152" i="547"/>
  <c r="V151" i="547"/>
  <c r="W151" i="547" s="1"/>
  <c r="N151" i="547"/>
  <c r="K151" i="547" a="1"/>
  <c r="K151" i="547" s="1"/>
  <c r="M151" i="547" s="1"/>
  <c r="J151" i="547" a="1"/>
  <c r="J151" i="547" s="1"/>
  <c r="H151" i="547"/>
  <c r="W150" i="547"/>
  <c r="V150" i="547"/>
  <c r="N150" i="547"/>
  <c r="K150" i="547"/>
  <c r="M150" i="547" s="1"/>
  <c r="K150" i="547" a="1"/>
  <c r="J150" i="547" a="1"/>
  <c r="J150" i="547" s="1"/>
  <c r="H150" i="547"/>
  <c r="V149" i="547"/>
  <c r="W149" i="547" s="1"/>
  <c r="N149" i="547"/>
  <c r="N163" i="547" s="1"/>
  <c r="K149" i="547" a="1"/>
  <c r="K149" i="547" s="1"/>
  <c r="J149" i="547" a="1"/>
  <c r="J149" i="547" s="1"/>
  <c r="H149" i="547"/>
  <c r="AA148" i="547"/>
  <c r="Z148" i="547"/>
  <c r="Y148" i="547"/>
  <c r="X148" i="547"/>
  <c r="U148" i="547"/>
  <c r="T148" i="547"/>
  <c r="S148" i="547"/>
  <c r="Q148" i="547"/>
  <c r="P148" i="547"/>
  <c r="O148" i="547"/>
  <c r="R170" i="547" s="1"/>
  <c r="I148" i="547"/>
  <c r="G148" i="547"/>
  <c r="C528" i="547" s="1"/>
  <c r="V147" i="547"/>
  <c r="W147" i="547" s="1"/>
  <c r="N147" i="547"/>
  <c r="K147" i="547" a="1"/>
  <c r="K147" i="547" s="1"/>
  <c r="M147" i="547" s="1"/>
  <c r="J147" i="547" a="1"/>
  <c r="J147" i="547" s="1"/>
  <c r="H147" i="547"/>
  <c r="K146" i="547" a="1"/>
  <c r="K146" i="547" s="1"/>
  <c r="H146" i="547"/>
  <c r="K145" i="547" a="1"/>
  <c r="K145" i="547" s="1"/>
  <c r="H145" i="547"/>
  <c r="K144" i="547" a="1"/>
  <c r="K144" i="547" s="1"/>
  <c r="H144" i="547"/>
  <c r="K143" i="547" a="1"/>
  <c r="K143" i="547" s="1"/>
  <c r="H143" i="547"/>
  <c r="W142" i="547"/>
  <c r="V142" i="547"/>
  <c r="N142" i="547"/>
  <c r="K142" i="547" a="1"/>
  <c r="K142" i="547" s="1"/>
  <c r="M142" i="547" s="1"/>
  <c r="J142" i="547" a="1"/>
  <c r="J142" i="547" s="1"/>
  <c r="H142" i="547"/>
  <c r="V141" i="547"/>
  <c r="W141" i="547" s="1"/>
  <c r="N141" i="547"/>
  <c r="K141" i="547"/>
  <c r="M141" i="547" s="1"/>
  <c r="K141" i="547" a="1"/>
  <c r="J141" i="547" a="1"/>
  <c r="J141" i="547" s="1"/>
  <c r="H141" i="547"/>
  <c r="W140" i="547"/>
  <c r="V140" i="547"/>
  <c r="N140" i="547"/>
  <c r="K140" i="547" a="1"/>
  <c r="K140" i="547" s="1"/>
  <c r="M140" i="547" s="1"/>
  <c r="J140" i="547" a="1"/>
  <c r="J140" i="547" s="1"/>
  <c r="H140" i="547"/>
  <c r="V139" i="547"/>
  <c r="W139" i="547" s="1"/>
  <c r="N139" i="547"/>
  <c r="K139" i="547"/>
  <c r="M139" i="547" s="1"/>
  <c r="K139" i="547" a="1"/>
  <c r="J139" i="547" a="1"/>
  <c r="J139" i="547" s="1"/>
  <c r="H139" i="547"/>
  <c r="W138" i="547"/>
  <c r="V138" i="547"/>
  <c r="N138" i="547"/>
  <c r="N148" i="547" s="1"/>
  <c r="K138" i="547" a="1"/>
  <c r="K138" i="547" s="1"/>
  <c r="J138" i="547" a="1"/>
  <c r="J138" i="547" s="1"/>
  <c r="H138" i="547"/>
  <c r="H148" i="547" s="1"/>
  <c r="AA137" i="547"/>
  <c r="Z137" i="547"/>
  <c r="Y137" i="547"/>
  <c r="X137" i="547"/>
  <c r="U137" i="547"/>
  <c r="T137" i="547"/>
  <c r="S137" i="547"/>
  <c r="Q137" i="547"/>
  <c r="P137" i="547"/>
  <c r="O137" i="547"/>
  <c r="I137" i="547"/>
  <c r="G137" i="547"/>
  <c r="C527" i="547" s="1"/>
  <c r="V136" i="547"/>
  <c r="W136" i="547" s="1"/>
  <c r="N136" i="547"/>
  <c r="K136" i="547" a="1"/>
  <c r="K136" i="547" s="1"/>
  <c r="M136" i="547" s="1"/>
  <c r="J136" i="547" a="1"/>
  <c r="J136" i="547" s="1"/>
  <c r="H136" i="547"/>
  <c r="W135" i="547"/>
  <c r="V135" i="547"/>
  <c r="N135" i="547"/>
  <c r="K135" i="547" a="1"/>
  <c r="K135" i="547" s="1"/>
  <c r="M135" i="547" s="1"/>
  <c r="J135" i="547" a="1"/>
  <c r="J135" i="547" s="1"/>
  <c r="H135" i="547"/>
  <c r="V134" i="547"/>
  <c r="W134" i="547" s="1"/>
  <c r="N134" i="547"/>
  <c r="K134" i="547" a="1"/>
  <c r="K134" i="547" s="1"/>
  <c r="M134" i="547" s="1"/>
  <c r="J134" i="547" a="1"/>
  <c r="J134" i="547" s="1"/>
  <c r="H134" i="547"/>
  <c r="V133" i="547"/>
  <c r="W133" i="547" s="1"/>
  <c r="N133" i="547"/>
  <c r="K133" i="547"/>
  <c r="M133" i="547" s="1"/>
  <c r="K133" i="547" a="1"/>
  <c r="J133" i="547"/>
  <c r="J133" i="547" a="1"/>
  <c r="H133" i="547"/>
  <c r="V132" i="547"/>
  <c r="W132" i="547" s="1"/>
  <c r="N132" i="547"/>
  <c r="K132" i="547" a="1"/>
  <c r="K132" i="547" s="1"/>
  <c r="M132" i="547" s="1"/>
  <c r="J132" i="547" a="1"/>
  <c r="J132" i="547" s="1"/>
  <c r="H132" i="547"/>
  <c r="W131" i="547"/>
  <c r="V131" i="547"/>
  <c r="N131" i="547"/>
  <c r="K131" i="547" a="1"/>
  <c r="K131" i="547" s="1"/>
  <c r="M131" i="547" s="1"/>
  <c r="J131" i="547" a="1"/>
  <c r="J131" i="547" s="1"/>
  <c r="H131" i="547"/>
  <c r="V130" i="547"/>
  <c r="W130" i="547" s="1"/>
  <c r="N130" i="547"/>
  <c r="K130" i="547" a="1"/>
  <c r="K130" i="547" s="1"/>
  <c r="M130" i="547" s="1"/>
  <c r="J130" i="547" a="1"/>
  <c r="J130" i="547" s="1"/>
  <c r="H130" i="547"/>
  <c r="V129" i="547"/>
  <c r="W129" i="547" s="1"/>
  <c r="N129" i="547"/>
  <c r="K129" i="547"/>
  <c r="M129" i="547" s="1"/>
  <c r="K129" i="547" a="1"/>
  <c r="J129" i="547"/>
  <c r="J129" i="547" a="1"/>
  <c r="H129" i="547"/>
  <c r="V128" i="547"/>
  <c r="W128" i="547" s="1"/>
  <c r="N128" i="547"/>
  <c r="K128" i="547" a="1"/>
  <c r="K128" i="547" s="1"/>
  <c r="M128" i="547" s="1"/>
  <c r="J128" i="547" a="1"/>
  <c r="J128" i="547" s="1"/>
  <c r="H128" i="547"/>
  <c r="W127" i="547"/>
  <c r="V127" i="547"/>
  <c r="N127" i="547"/>
  <c r="K127" i="547" a="1"/>
  <c r="K127" i="547" s="1"/>
  <c r="M127" i="547" s="1"/>
  <c r="J127" i="547" a="1"/>
  <c r="J127" i="547" s="1"/>
  <c r="H127" i="547"/>
  <c r="V126" i="547"/>
  <c r="W126" i="547" s="1"/>
  <c r="N126" i="547"/>
  <c r="K126" i="547" a="1"/>
  <c r="K126" i="547" s="1"/>
  <c r="M126" i="547" s="1"/>
  <c r="J126" i="547" a="1"/>
  <c r="J126" i="547" s="1"/>
  <c r="H126" i="547"/>
  <c r="V125" i="547"/>
  <c r="W125" i="547" s="1"/>
  <c r="N125" i="547"/>
  <c r="K125" i="547"/>
  <c r="M125" i="547" s="1"/>
  <c r="K125" i="547" a="1"/>
  <c r="J125" i="547"/>
  <c r="J125" i="547" a="1"/>
  <c r="H125" i="547"/>
  <c r="V124" i="547"/>
  <c r="W124" i="547" s="1"/>
  <c r="N124" i="547"/>
  <c r="K124" i="547" a="1"/>
  <c r="K124" i="547" s="1"/>
  <c r="M124" i="547" s="1"/>
  <c r="J124" i="547" a="1"/>
  <c r="J124" i="547" s="1"/>
  <c r="H124" i="547"/>
  <c r="W123" i="547"/>
  <c r="V123" i="547"/>
  <c r="N123" i="547"/>
  <c r="K123" i="547" a="1"/>
  <c r="K123" i="547" s="1"/>
  <c r="M123" i="547" s="1"/>
  <c r="J123" i="547" a="1"/>
  <c r="J123" i="547" s="1"/>
  <c r="H123" i="547"/>
  <c r="V122" i="547"/>
  <c r="V137" i="547" s="1"/>
  <c r="W137" i="547" s="1"/>
  <c r="N122" i="547"/>
  <c r="K122" i="547" a="1"/>
  <c r="K122" i="547" s="1"/>
  <c r="J122" i="547" a="1"/>
  <c r="J122" i="547" s="1"/>
  <c r="H122" i="547"/>
  <c r="H137" i="547" s="1"/>
  <c r="AA121" i="547"/>
  <c r="Z121" i="547"/>
  <c r="Y121" i="547"/>
  <c r="X121" i="547"/>
  <c r="U121" i="547"/>
  <c r="T121" i="547"/>
  <c r="S121" i="547"/>
  <c r="R121" i="547"/>
  <c r="Q121" i="547"/>
  <c r="P121" i="547"/>
  <c r="O121" i="547"/>
  <c r="R168" i="547" s="1"/>
  <c r="I121" i="547"/>
  <c r="G121" i="547"/>
  <c r="V120" i="547"/>
  <c r="W120" i="547" s="1"/>
  <c r="N120" i="547"/>
  <c r="K120" i="547" a="1"/>
  <c r="K120" i="547" s="1"/>
  <c r="M120" i="547" s="1"/>
  <c r="J120" i="547" a="1"/>
  <c r="J120" i="547" s="1"/>
  <c r="H120" i="547"/>
  <c r="V119" i="547"/>
  <c r="W119" i="547" s="1"/>
  <c r="N119" i="547"/>
  <c r="K119" i="547"/>
  <c r="M119" i="547" s="1"/>
  <c r="K119" i="547" a="1"/>
  <c r="J119" i="547" a="1"/>
  <c r="J119" i="547" s="1"/>
  <c r="H119" i="547"/>
  <c r="V118" i="547"/>
  <c r="W118" i="547" s="1"/>
  <c r="N118" i="547"/>
  <c r="K118" i="547" a="1"/>
  <c r="K118" i="547" s="1"/>
  <c r="M118" i="547" s="1"/>
  <c r="J118" i="547" a="1"/>
  <c r="J118" i="547" s="1"/>
  <c r="H118" i="547"/>
  <c r="K117" i="547" a="1"/>
  <c r="K117" i="547" s="1"/>
  <c r="H117" i="547"/>
  <c r="K116" i="547" a="1"/>
  <c r="K116" i="547" s="1"/>
  <c r="H116" i="547"/>
  <c r="K115" i="547"/>
  <c r="K115" i="547" a="1"/>
  <c r="H115" i="547"/>
  <c r="V114" i="547"/>
  <c r="W114" i="547" s="1"/>
  <c r="N114" i="547"/>
  <c r="K114" i="547" a="1"/>
  <c r="K114" i="547" s="1"/>
  <c r="M114" i="547" s="1"/>
  <c r="J114" i="547" a="1"/>
  <c r="J114" i="547" s="1"/>
  <c r="H114" i="547"/>
  <c r="V113" i="547"/>
  <c r="W113" i="547" s="1"/>
  <c r="N113" i="547"/>
  <c r="K113" i="547" a="1"/>
  <c r="K113" i="547" s="1"/>
  <c r="M113" i="547" s="1"/>
  <c r="J113" i="547" a="1"/>
  <c r="J113" i="547" s="1"/>
  <c r="H113" i="547"/>
  <c r="N112" i="547"/>
  <c r="K112" i="547" a="1"/>
  <c r="K112" i="547" s="1"/>
  <c r="M112" i="547" s="1"/>
  <c r="H112" i="547"/>
  <c r="N111" i="547"/>
  <c r="K111" i="547" a="1"/>
  <c r="K111" i="547" s="1"/>
  <c r="M111" i="547" s="1"/>
  <c r="H111" i="547"/>
  <c r="N110" i="547"/>
  <c r="K110" i="547" a="1"/>
  <c r="K110" i="547" s="1"/>
  <c r="M110" i="547" s="1"/>
  <c r="H110" i="547"/>
  <c r="N109" i="547"/>
  <c r="K109" i="547" a="1"/>
  <c r="K109" i="547" s="1"/>
  <c r="M109" i="547" s="1"/>
  <c r="H109" i="547"/>
  <c r="N108" i="547"/>
  <c r="K108" i="547" a="1"/>
  <c r="K108" i="547" s="1"/>
  <c r="M108" i="547" s="1"/>
  <c r="H108" i="547"/>
  <c r="N107" i="547"/>
  <c r="K107" i="547"/>
  <c r="M107" i="547" s="1"/>
  <c r="K107" i="547" a="1"/>
  <c r="H107" i="547"/>
  <c r="V106" i="547"/>
  <c r="W106" i="547" s="1"/>
  <c r="N106" i="547"/>
  <c r="K106" i="547" a="1"/>
  <c r="K106" i="547" s="1"/>
  <c r="M106" i="547" s="1"/>
  <c r="J106" i="547" a="1"/>
  <c r="J106" i="547" s="1"/>
  <c r="H106" i="547"/>
  <c r="V105" i="547"/>
  <c r="W105" i="547" s="1"/>
  <c r="N105" i="547"/>
  <c r="K105" i="547"/>
  <c r="M105" i="547" s="1"/>
  <c r="K105" i="547" a="1"/>
  <c r="J105" i="547" a="1"/>
  <c r="J105" i="547" s="1"/>
  <c r="H105" i="547"/>
  <c r="V104" i="547"/>
  <c r="W104" i="547" s="1"/>
  <c r="N104" i="547"/>
  <c r="K104" i="547" a="1"/>
  <c r="K104" i="547" s="1"/>
  <c r="M104" i="547" s="1"/>
  <c r="J104" i="547" a="1"/>
  <c r="J104" i="547" s="1"/>
  <c r="H104" i="547"/>
  <c r="V103" i="547"/>
  <c r="W103" i="547" s="1"/>
  <c r="N103" i="547"/>
  <c r="K103" i="547" a="1"/>
  <c r="K103" i="547" s="1"/>
  <c r="M103" i="547" s="1"/>
  <c r="J103" i="547" a="1"/>
  <c r="J103" i="547" s="1"/>
  <c r="H103" i="547"/>
  <c r="V102" i="547"/>
  <c r="W102" i="547" s="1"/>
  <c r="N102" i="547"/>
  <c r="K102" i="547" a="1"/>
  <c r="K102" i="547" s="1"/>
  <c r="M102" i="547" s="1"/>
  <c r="J102" i="547" a="1"/>
  <c r="J102" i="547" s="1"/>
  <c r="H102" i="547"/>
  <c r="V101" i="547"/>
  <c r="W101" i="547" s="1"/>
  <c r="N101" i="547"/>
  <c r="K101" i="547"/>
  <c r="M101" i="547" s="1"/>
  <c r="K101" i="547" a="1"/>
  <c r="J101" i="547"/>
  <c r="J101" i="547" a="1"/>
  <c r="H101" i="547"/>
  <c r="V100" i="547"/>
  <c r="W100" i="547" s="1"/>
  <c r="N100" i="547"/>
  <c r="K100" i="547" a="1"/>
  <c r="K100" i="547" s="1"/>
  <c r="M100" i="547" s="1"/>
  <c r="J100" i="547" a="1"/>
  <c r="J100" i="547" s="1"/>
  <c r="H100" i="547"/>
  <c r="W99" i="547"/>
  <c r="V99" i="547"/>
  <c r="N99" i="547"/>
  <c r="K99" i="547" a="1"/>
  <c r="K99" i="547" s="1"/>
  <c r="M99" i="547" s="1"/>
  <c r="J99" i="547" a="1"/>
  <c r="J99" i="547" s="1"/>
  <c r="H99" i="547"/>
  <c r="V98" i="547"/>
  <c r="W98" i="547" s="1"/>
  <c r="N98" i="547"/>
  <c r="K98" i="547" a="1"/>
  <c r="K98" i="547" s="1"/>
  <c r="M98" i="547" s="1"/>
  <c r="J98" i="547" a="1"/>
  <c r="J98" i="547" s="1"/>
  <c r="H98" i="547"/>
  <c r="V97" i="547"/>
  <c r="W97" i="547" s="1"/>
  <c r="N97" i="547"/>
  <c r="K97" i="547"/>
  <c r="M97" i="547" s="1"/>
  <c r="K97" i="547" a="1"/>
  <c r="J97" i="547"/>
  <c r="J97" i="547" a="1"/>
  <c r="H97" i="547"/>
  <c r="V96" i="547"/>
  <c r="W96" i="547" s="1"/>
  <c r="N96" i="547"/>
  <c r="K96" i="547" a="1"/>
  <c r="K96" i="547" s="1"/>
  <c r="M96" i="547" s="1"/>
  <c r="J96" i="547" a="1"/>
  <c r="J96" i="547" s="1"/>
  <c r="H96" i="547"/>
  <c r="W95" i="547"/>
  <c r="V95" i="547"/>
  <c r="N95" i="547"/>
  <c r="K95" i="547" a="1"/>
  <c r="K95" i="547" s="1"/>
  <c r="M95" i="547" s="1"/>
  <c r="J95" i="547" a="1"/>
  <c r="J95" i="547" s="1"/>
  <c r="H95" i="547"/>
  <c r="K94" i="547" a="1"/>
  <c r="K94" i="547" s="1"/>
  <c r="M94" i="547" s="1"/>
  <c r="H94" i="547"/>
  <c r="W93" i="547"/>
  <c r="V93" i="547"/>
  <c r="N93" i="547"/>
  <c r="K93" i="547" a="1"/>
  <c r="K93" i="547" s="1"/>
  <c r="M93" i="547" s="1"/>
  <c r="J93" i="547" a="1"/>
  <c r="J93" i="547" s="1"/>
  <c r="H93" i="547"/>
  <c r="V92" i="547"/>
  <c r="W92" i="547" s="1"/>
  <c r="N92" i="547"/>
  <c r="K92" i="547"/>
  <c r="M92" i="547" s="1"/>
  <c r="K92" i="547" a="1"/>
  <c r="J92" i="547" a="1"/>
  <c r="J92" i="547" s="1"/>
  <c r="H92" i="547"/>
  <c r="W91" i="547"/>
  <c r="V91" i="547"/>
  <c r="N91" i="547"/>
  <c r="K91" i="547" a="1"/>
  <c r="K91" i="547" s="1"/>
  <c r="M91" i="547" s="1"/>
  <c r="J91" i="547" a="1"/>
  <c r="J91" i="547" s="1"/>
  <c r="H91" i="547"/>
  <c r="V90" i="547"/>
  <c r="W90" i="547" s="1"/>
  <c r="N90" i="547"/>
  <c r="K90" i="547" a="1"/>
  <c r="K90" i="547" s="1"/>
  <c r="M90" i="547" s="1"/>
  <c r="J90" i="547" a="1"/>
  <c r="J90" i="547" s="1"/>
  <c r="H90" i="547"/>
  <c r="V89" i="547"/>
  <c r="W89" i="547" s="1"/>
  <c r="N89" i="547"/>
  <c r="K89" i="547"/>
  <c r="M89" i="547" s="1"/>
  <c r="K89" i="547" a="1"/>
  <c r="J89" i="547" a="1"/>
  <c r="J89" i="547" s="1"/>
  <c r="H89" i="547"/>
  <c r="W88" i="547"/>
  <c r="V88" i="547"/>
  <c r="N88" i="547"/>
  <c r="K88" i="547" a="1"/>
  <c r="K88" i="547" s="1"/>
  <c r="M88" i="547" s="1"/>
  <c r="J88" i="547" a="1"/>
  <c r="J88" i="547" s="1"/>
  <c r="H88" i="547"/>
  <c r="V87" i="547"/>
  <c r="V121" i="547" s="1"/>
  <c r="W121" i="547" s="1"/>
  <c r="N87" i="547"/>
  <c r="K87" i="547"/>
  <c r="M87" i="547" s="1"/>
  <c r="K87" i="547" a="1"/>
  <c r="J87" i="547"/>
  <c r="J87" i="547" a="1"/>
  <c r="H87" i="547"/>
  <c r="H121" i="547" s="1"/>
  <c r="AA86" i="547"/>
  <c r="Z86" i="547"/>
  <c r="Y86" i="547"/>
  <c r="X86" i="547"/>
  <c r="U86" i="547"/>
  <c r="T86" i="547"/>
  <c r="S86" i="547"/>
  <c r="R86" i="547"/>
  <c r="Q86" i="547"/>
  <c r="P86" i="547"/>
  <c r="O86" i="547"/>
  <c r="R167" i="547" s="1"/>
  <c r="I86" i="547"/>
  <c r="G86" i="547"/>
  <c r="C525" i="547" s="1"/>
  <c r="K85" i="547" a="1"/>
  <c r="K85" i="547" s="1"/>
  <c r="H85" i="547"/>
  <c r="K84" i="547"/>
  <c r="K84" i="547" a="1"/>
  <c r="H84" i="547"/>
  <c r="K83" i="547" a="1"/>
  <c r="K83" i="547" s="1"/>
  <c r="H83" i="547"/>
  <c r="K82" i="547" a="1"/>
  <c r="K82" i="547" s="1"/>
  <c r="H82" i="547"/>
  <c r="K81" i="547" a="1"/>
  <c r="K81" i="547" s="1"/>
  <c r="H81" i="547"/>
  <c r="K80" i="547" a="1"/>
  <c r="K80" i="547" s="1"/>
  <c r="H80" i="547"/>
  <c r="K79" i="547" a="1"/>
  <c r="K79" i="547" s="1"/>
  <c r="M79" i="547" s="1"/>
  <c r="H79" i="547"/>
  <c r="K78" i="547" a="1"/>
  <c r="K78" i="547" s="1"/>
  <c r="M78" i="547" s="1"/>
  <c r="H78" i="547"/>
  <c r="K77" i="547" a="1"/>
  <c r="K77" i="547" s="1"/>
  <c r="M77" i="547" s="1"/>
  <c r="H77" i="547"/>
  <c r="K76" i="547" a="1"/>
  <c r="K76" i="547" s="1"/>
  <c r="M76" i="547" s="1"/>
  <c r="H76" i="547"/>
  <c r="W75" i="547"/>
  <c r="V75" i="547"/>
  <c r="N75" i="547"/>
  <c r="K75" i="547" a="1"/>
  <c r="K75" i="547" s="1"/>
  <c r="M75" i="547" s="1"/>
  <c r="J75" i="547" a="1"/>
  <c r="J75" i="547" s="1"/>
  <c r="H75" i="547"/>
  <c r="V74" i="547"/>
  <c r="W74" i="547" s="1"/>
  <c r="N74" i="547"/>
  <c r="K74" i="547" a="1"/>
  <c r="K74" i="547" s="1"/>
  <c r="M74" i="547" s="1"/>
  <c r="J74" i="547" a="1"/>
  <c r="J74" i="547" s="1"/>
  <c r="H74" i="547"/>
  <c r="V73" i="547"/>
  <c r="W73" i="547" s="1"/>
  <c r="N73" i="547"/>
  <c r="K73" i="547"/>
  <c r="M73" i="547" s="1"/>
  <c r="K73" i="547" a="1"/>
  <c r="J73" i="547"/>
  <c r="J73" i="547" a="1"/>
  <c r="H73" i="547"/>
  <c r="V72" i="547"/>
  <c r="W72" i="547" s="1"/>
  <c r="N72" i="547"/>
  <c r="K72" i="547" a="1"/>
  <c r="K72" i="547" s="1"/>
  <c r="M72" i="547" s="1"/>
  <c r="J72" i="547" a="1"/>
  <c r="J72" i="547" s="1"/>
  <c r="H72" i="547"/>
  <c r="H71" i="547"/>
  <c r="V70" i="547"/>
  <c r="W70" i="547" s="1"/>
  <c r="N70" i="547"/>
  <c r="K70" i="547" a="1"/>
  <c r="K70" i="547" s="1"/>
  <c r="M70" i="547" s="1"/>
  <c r="J70" i="547" a="1"/>
  <c r="J70" i="547" s="1"/>
  <c r="H70" i="547"/>
  <c r="W69" i="547"/>
  <c r="V69" i="547"/>
  <c r="N69" i="547"/>
  <c r="K69" i="547" a="1"/>
  <c r="K69" i="547" s="1"/>
  <c r="M69" i="547" s="1"/>
  <c r="J69" i="547" a="1"/>
  <c r="J69" i="547" s="1"/>
  <c r="H69" i="547"/>
  <c r="K68" i="547" a="1"/>
  <c r="K68" i="547" s="1"/>
  <c r="H68" i="547"/>
  <c r="K67" i="547"/>
  <c r="K67" i="547" a="1"/>
  <c r="H67" i="547"/>
  <c r="V66" i="547"/>
  <c r="W66" i="547" s="1"/>
  <c r="N66" i="547"/>
  <c r="K66" i="547" a="1"/>
  <c r="K66" i="547" s="1"/>
  <c r="M66" i="547" s="1"/>
  <c r="J66" i="547" a="1"/>
  <c r="J66" i="547" s="1"/>
  <c r="H66" i="547"/>
  <c r="W65" i="547"/>
  <c r="V65" i="547"/>
  <c r="N65" i="547"/>
  <c r="K65" i="547" a="1"/>
  <c r="K65" i="547" s="1"/>
  <c r="M65" i="547" s="1"/>
  <c r="J65" i="547" a="1"/>
  <c r="J65" i="547" s="1"/>
  <c r="H65" i="547"/>
  <c r="V64" i="547"/>
  <c r="W64" i="547" s="1"/>
  <c r="N64" i="547"/>
  <c r="K64" i="547" a="1"/>
  <c r="K64" i="547" s="1"/>
  <c r="M64" i="547" s="1"/>
  <c r="J64" i="547" a="1"/>
  <c r="J64" i="547" s="1"/>
  <c r="H64" i="547"/>
  <c r="V63" i="547"/>
  <c r="W63" i="547" s="1"/>
  <c r="N63" i="547"/>
  <c r="K63" i="547"/>
  <c r="M63" i="547" s="1"/>
  <c r="K63" i="547" a="1"/>
  <c r="J63" i="547"/>
  <c r="J63" i="547" a="1"/>
  <c r="H63" i="547"/>
  <c r="V62" i="547"/>
  <c r="W62" i="547" s="1"/>
  <c r="N62" i="547"/>
  <c r="K62" i="547" a="1"/>
  <c r="K62" i="547" s="1"/>
  <c r="M62" i="547" s="1"/>
  <c r="J62" i="547" a="1"/>
  <c r="J62" i="547" s="1"/>
  <c r="H62" i="547"/>
  <c r="W61" i="547"/>
  <c r="V61" i="547"/>
  <c r="N61" i="547"/>
  <c r="K61" i="547" a="1"/>
  <c r="K61" i="547" s="1"/>
  <c r="M61" i="547" s="1"/>
  <c r="J61" i="547" a="1"/>
  <c r="J61" i="547" s="1"/>
  <c r="H61" i="547"/>
  <c r="V60" i="547"/>
  <c r="W60" i="547" s="1"/>
  <c r="N60" i="547"/>
  <c r="K60" i="547" a="1"/>
  <c r="K60" i="547" s="1"/>
  <c r="M60" i="547" s="1"/>
  <c r="J60" i="547" a="1"/>
  <c r="J60" i="547" s="1"/>
  <c r="H60" i="547"/>
  <c r="W59" i="547"/>
  <c r="V59" i="547"/>
  <c r="N59" i="547"/>
  <c r="K59" i="547" a="1"/>
  <c r="K59" i="547" s="1"/>
  <c r="M59" i="547" s="1"/>
  <c r="J59" i="547" a="1"/>
  <c r="J59" i="547" s="1"/>
  <c r="H59" i="547"/>
  <c r="V58" i="547"/>
  <c r="W58" i="547" s="1"/>
  <c r="N58" i="547"/>
  <c r="K58" i="547" a="1"/>
  <c r="K58" i="547" s="1"/>
  <c r="M58" i="547" s="1"/>
  <c r="J58" i="547" a="1"/>
  <c r="J58" i="547" s="1"/>
  <c r="H58" i="547"/>
  <c r="V57" i="547"/>
  <c r="W57" i="547" s="1"/>
  <c r="N57" i="547"/>
  <c r="K57" i="547"/>
  <c r="M57" i="547" s="1"/>
  <c r="K57" i="547" a="1"/>
  <c r="J57" i="547" a="1"/>
  <c r="J57" i="547" s="1"/>
  <c r="H57" i="547"/>
  <c r="K56" i="547" a="1"/>
  <c r="K56" i="547" s="1"/>
  <c r="M56" i="547" s="1"/>
  <c r="H56" i="547"/>
  <c r="K55" i="547" a="1"/>
  <c r="K55" i="547" s="1"/>
  <c r="M55" i="547" s="1"/>
  <c r="H55" i="547"/>
  <c r="K54" i="547" a="1"/>
  <c r="K54" i="547" s="1"/>
  <c r="M54" i="547" s="1"/>
  <c r="H54" i="547"/>
  <c r="K53" i="547" a="1"/>
  <c r="K53" i="547" s="1"/>
  <c r="M53" i="547" s="1"/>
  <c r="H53" i="547"/>
  <c r="N52" i="547"/>
  <c r="K52" i="547" a="1"/>
  <c r="K52" i="547" s="1"/>
  <c r="M52" i="547" s="1"/>
  <c r="H52" i="547"/>
  <c r="N51" i="547"/>
  <c r="K51" i="547" a="1"/>
  <c r="K51" i="547" s="1"/>
  <c r="M51" i="547" s="1"/>
  <c r="H51" i="547"/>
  <c r="N50" i="547"/>
  <c r="K50" i="547" a="1"/>
  <c r="K50" i="547" s="1"/>
  <c r="M50" i="547" s="1"/>
  <c r="H50" i="547"/>
  <c r="N49" i="547"/>
  <c r="K49" i="547" a="1"/>
  <c r="K49" i="547" s="1"/>
  <c r="M49" i="547" s="1"/>
  <c r="H49" i="547"/>
  <c r="V48" i="547"/>
  <c r="W48" i="547" s="1"/>
  <c r="N48" i="547"/>
  <c r="K48" i="547" a="1"/>
  <c r="K48" i="547" s="1"/>
  <c r="M48" i="547" s="1"/>
  <c r="J48" i="547" a="1"/>
  <c r="J48" i="547" s="1"/>
  <c r="H48" i="547"/>
  <c r="W47" i="547"/>
  <c r="V47" i="547"/>
  <c r="N47" i="547"/>
  <c r="K47" i="547" a="1"/>
  <c r="K47" i="547" s="1"/>
  <c r="M47" i="547" s="1"/>
  <c r="J47" i="547" a="1"/>
  <c r="J47" i="547" s="1"/>
  <c r="H47" i="547"/>
  <c r="V46" i="547"/>
  <c r="W46" i="547" s="1"/>
  <c r="N46" i="547"/>
  <c r="K46" i="547" a="1"/>
  <c r="K46" i="547" s="1"/>
  <c r="M46" i="547" s="1"/>
  <c r="J46" i="547" a="1"/>
  <c r="J46" i="547" s="1"/>
  <c r="H46" i="547"/>
  <c r="V45" i="547"/>
  <c r="W45" i="547" s="1"/>
  <c r="N45" i="547"/>
  <c r="K45" i="547" a="1"/>
  <c r="K45" i="547" s="1"/>
  <c r="M45" i="547" s="1"/>
  <c r="J45" i="547" a="1"/>
  <c r="J45" i="547" s="1"/>
  <c r="H45" i="547"/>
  <c r="V44" i="547"/>
  <c r="W44" i="547" s="1"/>
  <c r="N44" i="547"/>
  <c r="K44" i="547" a="1"/>
  <c r="K44" i="547" s="1"/>
  <c r="M44" i="547" s="1"/>
  <c r="J44" i="547" a="1"/>
  <c r="J44" i="547" s="1"/>
  <c r="H44" i="547"/>
  <c r="V43" i="547"/>
  <c r="W43" i="547" s="1"/>
  <c r="N43" i="547"/>
  <c r="K43" i="547"/>
  <c r="M43" i="547" s="1"/>
  <c r="K43" i="547" a="1"/>
  <c r="J43" i="547"/>
  <c r="J43" i="547" a="1"/>
  <c r="H43" i="547"/>
  <c r="V42" i="547"/>
  <c r="W42" i="547" s="1"/>
  <c r="N42" i="547"/>
  <c r="K42" i="547" a="1"/>
  <c r="K42" i="547" s="1"/>
  <c r="M42" i="547" s="1"/>
  <c r="J42" i="547" a="1"/>
  <c r="J42" i="547" s="1"/>
  <c r="H42" i="547"/>
  <c r="V41" i="547"/>
  <c r="W41" i="547" s="1"/>
  <c r="N41" i="547"/>
  <c r="K41" i="547" a="1"/>
  <c r="K41" i="547" s="1"/>
  <c r="M41" i="547" s="1"/>
  <c r="J41" i="547" a="1"/>
  <c r="J41" i="547" s="1"/>
  <c r="H41" i="547"/>
  <c r="V40" i="547"/>
  <c r="W40" i="547" s="1"/>
  <c r="N40" i="547"/>
  <c r="K40" i="547" a="1"/>
  <c r="K40" i="547" s="1"/>
  <c r="M40" i="547" s="1"/>
  <c r="J40" i="547" a="1"/>
  <c r="J40" i="547" s="1"/>
  <c r="H40" i="547"/>
  <c r="V39" i="547"/>
  <c r="W39" i="547" s="1"/>
  <c r="N39" i="547"/>
  <c r="K39" i="547" a="1"/>
  <c r="K39" i="547" s="1"/>
  <c r="M39" i="547" s="1"/>
  <c r="J39" i="547" a="1"/>
  <c r="J39" i="547" s="1"/>
  <c r="H39" i="547"/>
  <c r="V38" i="547"/>
  <c r="W38" i="547" s="1"/>
  <c r="N38" i="547"/>
  <c r="K38" i="547" a="1"/>
  <c r="K38" i="547" s="1"/>
  <c r="M38" i="547" s="1"/>
  <c r="J38" i="547" a="1"/>
  <c r="J38" i="547" s="1"/>
  <c r="H38" i="547"/>
  <c r="V37" i="547"/>
  <c r="W37" i="547" s="1"/>
  <c r="N37" i="547"/>
  <c r="K37" i="547"/>
  <c r="M37" i="547" s="1"/>
  <c r="K37" i="547" a="1"/>
  <c r="J37" i="547"/>
  <c r="J37" i="547" a="1"/>
  <c r="H37" i="547"/>
  <c r="H36" i="547"/>
  <c r="H35" i="547"/>
  <c r="H34" i="547"/>
  <c r="W33" i="547"/>
  <c r="V33" i="547"/>
  <c r="N33" i="547"/>
  <c r="K33" i="547" a="1"/>
  <c r="K33" i="547" s="1"/>
  <c r="M33" i="547" s="1"/>
  <c r="J33" i="547" a="1"/>
  <c r="J33" i="547" s="1"/>
  <c r="H33" i="547"/>
  <c r="V32" i="547"/>
  <c r="W32" i="547" s="1"/>
  <c r="N32" i="547"/>
  <c r="K32" i="547" a="1"/>
  <c r="K32" i="547" s="1"/>
  <c r="M32" i="547" s="1"/>
  <c r="J32" i="547" a="1"/>
  <c r="J32" i="547" s="1"/>
  <c r="H32" i="547"/>
  <c r="W31" i="547"/>
  <c r="V31" i="547"/>
  <c r="N31" i="547"/>
  <c r="K31" i="547" a="1"/>
  <c r="K31" i="547" s="1"/>
  <c r="M31" i="547" s="1"/>
  <c r="J31" i="547" a="1"/>
  <c r="J31" i="547" s="1"/>
  <c r="H31" i="547"/>
  <c r="K30" i="547" a="1"/>
  <c r="K30" i="547" s="1"/>
  <c r="H30" i="547"/>
  <c r="W29" i="547"/>
  <c r="V29" i="547"/>
  <c r="V86" i="547" s="1"/>
  <c r="W86" i="547" s="1"/>
  <c r="N29" i="547"/>
  <c r="N86" i="547" s="1"/>
  <c r="K29" i="547" a="1"/>
  <c r="K29" i="547" s="1"/>
  <c r="M29" i="547" s="1"/>
  <c r="J29" i="547" a="1"/>
  <c r="J29" i="547" s="1"/>
  <c r="H29" i="547"/>
  <c r="H86" i="547" s="1"/>
  <c r="AA28" i="547"/>
  <c r="AA164" i="547" s="1"/>
  <c r="Z28" i="547"/>
  <c r="Z164" i="547" s="1"/>
  <c r="Y28" i="547"/>
  <c r="Y164" i="547" s="1"/>
  <c r="X28" i="547"/>
  <c r="X164" i="547" s="1"/>
  <c r="U28" i="547"/>
  <c r="U164" i="547" s="1"/>
  <c r="T28" i="547"/>
  <c r="T164" i="547" s="1"/>
  <c r="S28" i="547"/>
  <c r="S164" i="547" s="1"/>
  <c r="R28" i="547"/>
  <c r="R164" i="547" s="1"/>
  <c r="Q28" i="547"/>
  <c r="Q164" i="547" s="1"/>
  <c r="P28" i="547"/>
  <c r="X167" i="547" s="1"/>
  <c r="O28" i="547"/>
  <c r="O164" i="547" s="1"/>
  <c r="I28" i="547"/>
  <c r="I164" i="547" s="1"/>
  <c r="B172" i="547" s="1"/>
  <c r="G28" i="547"/>
  <c r="C524" i="547" s="1"/>
  <c r="V27" i="547"/>
  <c r="W27" i="547" s="1"/>
  <c r="N27" i="547"/>
  <c r="K27" i="547" a="1"/>
  <c r="K27" i="547" s="1"/>
  <c r="M27" i="547" s="1"/>
  <c r="J27" i="547" a="1"/>
  <c r="J27" i="547" s="1"/>
  <c r="H27" i="547"/>
  <c r="V26" i="547"/>
  <c r="W26" i="547" s="1"/>
  <c r="N26" i="547"/>
  <c r="K26" i="547" a="1"/>
  <c r="K26" i="547" s="1"/>
  <c r="M26" i="547" s="1"/>
  <c r="J26" i="547" a="1"/>
  <c r="J26" i="547" s="1"/>
  <c r="H26" i="547"/>
  <c r="K25" i="547"/>
  <c r="M25" i="547" s="1"/>
  <c r="K25" i="547" a="1"/>
  <c r="J25" i="547" a="1"/>
  <c r="J25" i="547" s="1"/>
  <c r="H25" i="547"/>
  <c r="K24" i="547" a="1"/>
  <c r="K24" i="547" s="1"/>
  <c r="M24" i="547" s="1"/>
  <c r="J24" i="547" a="1"/>
  <c r="J24" i="547" s="1"/>
  <c r="H24" i="547"/>
  <c r="K23" i="547" a="1"/>
  <c r="K23" i="547" s="1"/>
  <c r="M23" i="547" s="1"/>
  <c r="J23" i="547" a="1"/>
  <c r="J23" i="547" s="1"/>
  <c r="H23" i="547"/>
  <c r="K22" i="547" a="1"/>
  <c r="K22" i="547" s="1"/>
  <c r="M22" i="547" s="1"/>
  <c r="J22" i="547" a="1"/>
  <c r="J22" i="547" s="1"/>
  <c r="H22" i="547"/>
  <c r="V21" i="547"/>
  <c r="W21" i="547" s="1"/>
  <c r="N21" i="547"/>
  <c r="K21" i="547"/>
  <c r="M21" i="547" s="1"/>
  <c r="K21" i="547" a="1"/>
  <c r="J21" i="547"/>
  <c r="J21" i="547" a="1"/>
  <c r="H21" i="547"/>
  <c r="V20" i="547"/>
  <c r="W20" i="547" s="1"/>
  <c r="N20" i="547"/>
  <c r="K20" i="547" a="1"/>
  <c r="K20" i="547" s="1"/>
  <c r="M20" i="547" s="1"/>
  <c r="J20" i="547" a="1"/>
  <c r="J20" i="547" s="1"/>
  <c r="H20" i="547"/>
  <c r="W19" i="547"/>
  <c r="V19" i="547"/>
  <c r="N19" i="547"/>
  <c r="K19" i="547" a="1"/>
  <c r="K19" i="547" s="1"/>
  <c r="M19" i="547" s="1"/>
  <c r="J19" i="547" a="1"/>
  <c r="J19" i="547" s="1"/>
  <c r="H19" i="547"/>
  <c r="N18" i="547"/>
  <c r="K18" i="547" a="1"/>
  <c r="K18" i="547" s="1"/>
  <c r="M18" i="547" s="1"/>
  <c r="J18" i="547" a="1"/>
  <c r="J18" i="547" s="1"/>
  <c r="H18" i="547"/>
  <c r="N17" i="547"/>
  <c r="K17" i="547" a="1"/>
  <c r="K17" i="547" s="1"/>
  <c r="M17" i="547" s="1"/>
  <c r="J17" i="547" a="1"/>
  <c r="J17" i="547" s="1"/>
  <c r="H17" i="547"/>
  <c r="V16" i="547"/>
  <c r="W16" i="547" s="1"/>
  <c r="N16" i="547"/>
  <c r="K16" i="547" a="1"/>
  <c r="K16" i="547" s="1"/>
  <c r="M16" i="547" s="1"/>
  <c r="J16" i="547" a="1"/>
  <c r="J16" i="547" s="1"/>
  <c r="H16" i="547"/>
  <c r="W15" i="547"/>
  <c r="V15" i="547"/>
  <c r="N15" i="547"/>
  <c r="K15" i="547"/>
  <c r="M15" i="547" s="1"/>
  <c r="K15" i="547" a="1"/>
  <c r="J15" i="547" a="1"/>
  <c r="J15" i="547" s="1"/>
  <c r="H15" i="547"/>
  <c r="N14" i="547"/>
  <c r="K14" i="547" a="1"/>
  <c r="K14" i="547" s="1"/>
  <c r="M14" i="547" s="1"/>
  <c r="H14" i="547"/>
  <c r="N13" i="547"/>
  <c r="K13" i="547" a="1"/>
  <c r="K13" i="547" s="1"/>
  <c r="M13" i="547" s="1"/>
  <c r="H13" i="547"/>
  <c r="V12" i="547"/>
  <c r="W12" i="547" s="1"/>
  <c r="N12" i="547"/>
  <c r="K12" i="547" a="1"/>
  <c r="K12" i="547" s="1"/>
  <c r="M12" i="547" s="1"/>
  <c r="J12" i="547" a="1"/>
  <c r="J12" i="547" s="1"/>
  <c r="H12" i="547"/>
  <c r="V11" i="547"/>
  <c r="W11" i="547" s="1"/>
  <c r="N11" i="547"/>
  <c r="K11" i="547"/>
  <c r="M11" i="547" s="1"/>
  <c r="K11" i="547" a="1"/>
  <c r="J11" i="547"/>
  <c r="J11" i="547" a="1"/>
  <c r="H11" i="547"/>
  <c r="V10" i="547"/>
  <c r="W10" i="547" s="1"/>
  <c r="N10" i="547"/>
  <c r="K10" i="547" a="1"/>
  <c r="K10" i="547" s="1"/>
  <c r="M10" i="547" s="1"/>
  <c r="J10" i="547" a="1"/>
  <c r="J10" i="547" s="1"/>
  <c r="H10" i="547"/>
  <c r="V9" i="547"/>
  <c r="W9" i="547" s="1"/>
  <c r="N9" i="547"/>
  <c r="K9" i="547" a="1"/>
  <c r="K9" i="547" s="1"/>
  <c r="M9" i="547" s="1"/>
  <c r="J9" i="547" a="1"/>
  <c r="J9" i="547" s="1"/>
  <c r="H9" i="547"/>
  <c r="V8" i="547"/>
  <c r="W8" i="547" s="1"/>
  <c r="N8" i="547"/>
  <c r="K8" i="547" a="1"/>
  <c r="K8" i="547" s="1"/>
  <c r="M8" i="547" s="1"/>
  <c r="J8" i="547" a="1"/>
  <c r="J8" i="547" s="1"/>
  <c r="H8" i="547"/>
  <c r="W7" i="547"/>
  <c r="V7" i="547"/>
  <c r="V28" i="547" s="1"/>
  <c r="N7" i="547"/>
  <c r="N28" i="547" s="1"/>
  <c r="K7" i="547" a="1"/>
  <c r="K7" i="547" s="1"/>
  <c r="M7" i="547" s="1"/>
  <c r="J7" i="547" a="1"/>
  <c r="J7" i="547" s="1"/>
  <c r="H7" i="547"/>
  <c r="H28" i="547" s="1"/>
  <c r="J292" i="547" l="1" a="1"/>
  <c r="J292" i="547" s="1"/>
  <c r="J308" i="547" a="1"/>
  <c r="J308" i="547" s="1"/>
  <c r="J319" i="547" a="1"/>
  <c r="J319" i="547" s="1"/>
  <c r="J257" i="547" a="1"/>
  <c r="J257" i="547" s="1"/>
  <c r="J463" i="547" a="1"/>
  <c r="J463" i="547" s="1"/>
  <c r="T335" i="547"/>
  <c r="X335" i="547"/>
  <c r="Z335" i="547"/>
  <c r="N319" i="547"/>
  <c r="N335" i="547"/>
  <c r="B344" i="547" s="1"/>
  <c r="E344" i="547" s="1"/>
  <c r="N308" i="547"/>
  <c r="W258" i="547"/>
  <c r="H199" i="547"/>
  <c r="C526" i="547"/>
  <c r="G335" i="547"/>
  <c r="J335" i="547" s="1" a="1"/>
  <c r="J335" i="547" s="1"/>
  <c r="M342" i="547" s="1"/>
  <c r="K292" i="547"/>
  <c r="W292" i="547"/>
  <c r="W334" i="547"/>
  <c r="H319" i="547"/>
  <c r="W319" i="547"/>
  <c r="K257" i="547"/>
  <c r="N479" i="547"/>
  <c r="K479" i="547"/>
  <c r="J479" i="547" a="1"/>
  <c r="J479" i="547" s="1"/>
  <c r="R512" i="547"/>
  <c r="H490" i="547"/>
  <c r="H507" i="547" s="1"/>
  <c r="E514" i="547" s="1"/>
  <c r="N463" i="547"/>
  <c r="W429" i="547"/>
  <c r="N370" i="547"/>
  <c r="N507" i="547" s="1"/>
  <c r="B516" i="547" s="1"/>
  <c r="E516" i="547" s="1"/>
  <c r="R171" i="547"/>
  <c r="V148" i="547"/>
  <c r="R169" i="547"/>
  <c r="N137" i="547"/>
  <c r="N121" i="547"/>
  <c r="W87" i="547"/>
  <c r="N164" i="547"/>
  <c r="B173" i="547" s="1"/>
  <c r="M121" i="547"/>
  <c r="H163" i="547"/>
  <c r="H164" i="547" s="1"/>
  <c r="E171" i="547" s="1"/>
  <c r="M86" i="547"/>
  <c r="J148" i="547" a="1"/>
  <c r="J148" i="547" s="1"/>
  <c r="W148" i="547"/>
  <c r="J163" i="547" a="1"/>
  <c r="J163" i="547" s="1"/>
  <c r="M28" i="547"/>
  <c r="W28" i="547"/>
  <c r="K525" i="547"/>
  <c r="K526" i="547"/>
  <c r="K199" i="547"/>
  <c r="M178" i="547"/>
  <c r="M199" i="547" s="1"/>
  <c r="C520" i="547"/>
  <c r="Q525" i="547"/>
  <c r="M122" i="547"/>
  <c r="M137" i="547" s="1"/>
  <c r="K137" i="547"/>
  <c r="K527" i="547"/>
  <c r="K148" i="547"/>
  <c r="M138" i="547"/>
  <c r="M148" i="547" s="1"/>
  <c r="K528" i="547"/>
  <c r="K163" i="547"/>
  <c r="M149" i="547"/>
  <c r="M163" i="547" s="1"/>
  <c r="K529" i="547"/>
  <c r="J28" i="547" a="1"/>
  <c r="J28" i="547" s="1"/>
  <c r="K28" i="547"/>
  <c r="J86" i="547" a="1"/>
  <c r="J86" i="547" s="1"/>
  <c r="K86" i="547"/>
  <c r="J121" i="547" a="1"/>
  <c r="J121" i="547" s="1"/>
  <c r="K121" i="547"/>
  <c r="W122" i="547"/>
  <c r="J137" i="547" a="1"/>
  <c r="J137" i="547" s="1"/>
  <c r="V163" i="547"/>
  <c r="W163" i="547" s="1"/>
  <c r="G164" i="547"/>
  <c r="P164" i="547"/>
  <c r="X168" i="547" s="1"/>
  <c r="X173" i="547" s="1"/>
  <c r="K166" i="547"/>
  <c r="R166" i="547"/>
  <c r="B342" i="547"/>
  <c r="R337" i="547"/>
  <c r="O335" i="547"/>
  <c r="M200" i="547"/>
  <c r="M257" i="547" s="1"/>
  <c r="H334" i="547"/>
  <c r="H335" i="547" s="1"/>
  <c r="E342" i="547" s="1"/>
  <c r="K334" i="547"/>
  <c r="K341" i="547"/>
  <c r="M341" i="547" s="1"/>
  <c r="M337" i="547"/>
  <c r="C530" i="547"/>
  <c r="W178" i="547"/>
  <c r="W199" i="547" s="1"/>
  <c r="J199" i="547" a="1"/>
  <c r="J199" i="547" s="1"/>
  <c r="X338" i="547"/>
  <c r="P335" i="547"/>
  <c r="X339" i="547" s="1"/>
  <c r="K308" i="547"/>
  <c r="M293" i="547"/>
  <c r="M308" i="547" s="1"/>
  <c r="V308" i="547"/>
  <c r="W308" i="547" s="1"/>
  <c r="M349" i="547"/>
  <c r="M370" i="547" s="1"/>
  <c r="K370" i="547"/>
  <c r="K428" i="547"/>
  <c r="M371" i="547"/>
  <c r="M428" i="547" s="1"/>
  <c r="M258" i="547"/>
  <c r="M292" i="547" s="1"/>
  <c r="M309" i="547"/>
  <c r="M319" i="547" s="1"/>
  <c r="M320" i="547"/>
  <c r="M334" i="547" s="1"/>
  <c r="K463" i="547"/>
  <c r="W349" i="547"/>
  <c r="W370" i="547" s="1"/>
  <c r="J370" i="547" a="1"/>
  <c r="J370" i="547" s="1"/>
  <c r="W371" i="547"/>
  <c r="M429" i="547"/>
  <c r="M463" i="547" s="1"/>
  <c r="R511" i="547"/>
  <c r="M464" i="547"/>
  <c r="M479" i="547" s="1"/>
  <c r="W464" i="547"/>
  <c r="V479" i="547"/>
  <c r="W479" i="547" s="1"/>
  <c r="K506" i="547"/>
  <c r="J507" i="547" a="1"/>
  <c r="J507" i="547" s="1"/>
  <c r="M514" i="547" s="1"/>
  <c r="B514" i="547"/>
  <c r="X509" i="547"/>
  <c r="O507" i="547"/>
  <c r="X510" i="547" s="1"/>
  <c r="R509" i="547"/>
  <c r="V490" i="547"/>
  <c r="W490" i="547" s="1"/>
  <c r="W506" i="547"/>
  <c r="V506" i="547"/>
  <c r="K509" i="547"/>
  <c r="R534" i="547"/>
  <c r="S534" i="547" a="1"/>
  <c r="S534" i="547" s="1"/>
  <c r="M480" i="547"/>
  <c r="M490" i="547" s="1"/>
  <c r="M491" i="547"/>
  <c r="M506" i="547" s="1"/>
  <c r="J536" i="547"/>
  <c r="Q533" i="547"/>
  <c r="R535" i="547"/>
  <c r="S535" i="547" a="1"/>
  <c r="S535" i="547" s="1"/>
  <c r="T533" i="547" a="1"/>
  <c r="T533" i="547" s="1"/>
  <c r="T534" i="547" a="1"/>
  <c r="T534" i="547" s="1"/>
  <c r="T535" i="547" a="1"/>
  <c r="T535" i="547" s="1"/>
  <c r="C536" i="547"/>
  <c r="T536" i="547" s="1" a="1"/>
  <c r="T536" i="547" s="1"/>
  <c r="J334" i="546" a="1"/>
  <c r="J334" i="546" s="1"/>
  <c r="J317" i="546" a="1"/>
  <c r="J317" i="546" s="1"/>
  <c r="K317" i="546" a="1"/>
  <c r="K317" i="546" s="1"/>
  <c r="M317" i="546" s="1"/>
  <c r="M287" i="546"/>
  <c r="J287" i="546" a="1"/>
  <c r="J287" i="546" s="1"/>
  <c r="J283" i="546" a="1"/>
  <c r="J283" i="546" s="1"/>
  <c r="J222" i="546"/>
  <c r="J222" i="546" a="1"/>
  <c r="J201" i="546" a="1"/>
  <c r="J201" i="546" s="1"/>
  <c r="M201" i="546"/>
  <c r="K201" i="546" a="1"/>
  <c r="K201" i="546" s="1"/>
  <c r="I211" i="546"/>
  <c r="I212" i="546"/>
  <c r="I317" i="546"/>
  <c r="I306" i="546"/>
  <c r="I307" i="546"/>
  <c r="I186" i="546"/>
  <c r="I283" i="546"/>
  <c r="I287" i="546"/>
  <c r="I202" i="546"/>
  <c r="I200" i="546"/>
  <c r="E524" i="547" l="1"/>
  <c r="C521" i="547"/>
  <c r="G521" i="547" s="1"/>
  <c r="E173" i="547"/>
  <c r="Z167" i="547"/>
  <c r="Z169" i="547"/>
  <c r="Z171" i="547"/>
  <c r="Z170" i="547"/>
  <c r="G519" i="547"/>
  <c r="E528" i="547"/>
  <c r="E526" i="547"/>
  <c r="E529" i="547"/>
  <c r="E527" i="547"/>
  <c r="E525" i="547"/>
  <c r="R533" i="547"/>
  <c r="R536" i="547" s="1"/>
  <c r="Q536" i="547"/>
  <c r="S536" i="547" s="1" a="1"/>
  <c r="S536" i="547" s="1"/>
  <c r="S533" i="547" a="1"/>
  <c r="S533" i="547" s="1"/>
  <c r="M509" i="547"/>
  <c r="K513" i="547"/>
  <c r="M513" i="547" s="1"/>
  <c r="R516" i="547"/>
  <c r="T509" i="547" s="1" a="1"/>
  <c r="T509" i="547" s="1"/>
  <c r="X516" i="547"/>
  <c r="Z509" i="547" a="1"/>
  <c r="Z509" i="547" s="1"/>
  <c r="T511" i="547"/>
  <c r="K507" i="547"/>
  <c r="W335" i="547"/>
  <c r="R344" i="547"/>
  <c r="T337" i="547" s="1" a="1"/>
  <c r="T337" i="547" s="1"/>
  <c r="M166" i="547"/>
  <c r="K170" i="547"/>
  <c r="M170" i="547" s="1"/>
  <c r="J164" i="547" a="1"/>
  <c r="J164" i="547" s="1"/>
  <c r="M171" i="547" s="1"/>
  <c r="B171" i="547"/>
  <c r="C519" i="547" s="1"/>
  <c r="K164" i="547"/>
  <c r="E172" i="547" s="1"/>
  <c r="V335" i="547"/>
  <c r="I344" i="547" s="1"/>
  <c r="M344" i="547" s="1" a="1"/>
  <c r="M344" i="547" s="1"/>
  <c r="K335" i="547"/>
  <c r="V164" i="547"/>
  <c r="I173" i="547" s="1"/>
  <c r="M164" i="547"/>
  <c r="Z510" i="547"/>
  <c r="V507" i="547"/>
  <c r="M507" i="547"/>
  <c r="E530" i="547"/>
  <c r="X344" i="547"/>
  <c r="Z338" i="547" s="1"/>
  <c r="Z172" i="547"/>
  <c r="Z166" i="547" a="1"/>
  <c r="Z166" i="547" s="1"/>
  <c r="K524" i="547"/>
  <c r="R173" i="547"/>
  <c r="T166" i="547" s="1" a="1"/>
  <c r="T166" i="547" s="1"/>
  <c r="Q526" i="547"/>
  <c r="Z168" i="547"/>
  <c r="M335" i="547"/>
  <c r="W164" i="547"/>
  <c r="M173" i="547" l="1" a="1"/>
  <c r="M173" i="547" s="1"/>
  <c r="L164" i="547"/>
  <c r="I171" i="547" s="1"/>
  <c r="T343" i="547"/>
  <c r="T339" i="547"/>
  <c r="T340" i="547"/>
  <c r="T341" i="547"/>
  <c r="T338" i="547"/>
  <c r="T342" i="547"/>
  <c r="Z515" i="547"/>
  <c r="Z512" i="547"/>
  <c r="Z513" i="547"/>
  <c r="Z511" i="547"/>
  <c r="Z514" i="547"/>
  <c r="Q530" i="547"/>
  <c r="S526" i="547" s="1"/>
  <c r="K530" i="547"/>
  <c r="T172" i="547"/>
  <c r="T167" i="547"/>
  <c r="T168" i="547"/>
  <c r="T169" i="547"/>
  <c r="T170" i="547"/>
  <c r="T171" i="547"/>
  <c r="Z342" i="547"/>
  <c r="Z341" i="547"/>
  <c r="Z340" i="547"/>
  <c r="Z343" i="547"/>
  <c r="Z337" i="547" a="1"/>
  <c r="Z337" i="547" s="1"/>
  <c r="Z339" i="547"/>
  <c r="I516" i="547"/>
  <c r="M516" i="547" s="1" a="1"/>
  <c r="M516" i="547" s="1"/>
  <c r="W507" i="547"/>
  <c r="E343" i="547"/>
  <c r="I343" i="547" s="1"/>
  <c r="M343" i="547" s="1"/>
  <c r="L335" i="547"/>
  <c r="I342" i="547" s="1"/>
  <c r="I172" i="547"/>
  <c r="M172" i="547" s="1"/>
  <c r="O519" i="547" a="1"/>
  <c r="O519" i="547" s="1"/>
  <c r="E515" i="547"/>
  <c r="I515" i="547" s="1"/>
  <c r="M515" i="547" s="1"/>
  <c r="L507" i="547"/>
  <c r="I514" i="547" s="1"/>
  <c r="T515" i="547"/>
  <c r="T512" i="547"/>
  <c r="T510" i="547"/>
  <c r="T513" i="547"/>
  <c r="T514" i="547"/>
  <c r="G287" i="546"/>
  <c r="G146" i="546"/>
  <c r="M529" i="547" l="1"/>
  <c r="M527" i="547"/>
  <c r="M526" i="547"/>
  <c r="M528" i="547"/>
  <c r="M525" i="547"/>
  <c r="K521" i="547"/>
  <c r="O521" i="547" s="1" a="1"/>
  <c r="O521" i="547" s="1"/>
  <c r="G520" i="547"/>
  <c r="S528" i="547"/>
  <c r="S524" i="547" a="1"/>
  <c r="S524" i="547" s="1"/>
  <c r="S527" i="547"/>
  <c r="S529" i="547"/>
  <c r="S525" i="547"/>
  <c r="M524" i="547" a="1"/>
  <c r="M524" i="547" s="1"/>
  <c r="G200" i="546"/>
  <c r="G186" i="546"/>
  <c r="G202" i="546"/>
  <c r="G222" i="546"/>
  <c r="G201" i="546"/>
  <c r="S530" i="547" l="1"/>
  <c r="K520" i="547"/>
  <c r="O520" i="547" s="1"/>
  <c r="K519" i="547"/>
  <c r="D534" i="546"/>
  <c r="D535" i="546"/>
  <c r="D533" i="546"/>
  <c r="G317" i="546"/>
  <c r="G283" i="546"/>
  <c r="G323" i="546"/>
  <c r="G306" i="546"/>
  <c r="G178" i="546"/>
  <c r="G307" i="546"/>
  <c r="G212" i="546"/>
  <c r="I150" i="546"/>
  <c r="M145" i="546"/>
  <c r="M144" i="546"/>
  <c r="J146" i="546" a="1"/>
  <c r="J146" i="546" s="1"/>
  <c r="J145" i="546" a="1"/>
  <c r="J145" i="546" s="1"/>
  <c r="J144" i="546" a="1"/>
  <c r="J144" i="546" s="1"/>
  <c r="M116" i="546"/>
  <c r="J116" i="546" a="1"/>
  <c r="J116" i="546" s="1"/>
  <c r="J115" i="546" a="1"/>
  <c r="J115" i="546" s="1"/>
  <c r="J114" i="546" a="1"/>
  <c r="J114" i="546" s="1"/>
  <c r="J113" i="546" a="1"/>
  <c r="J113" i="546" s="1"/>
  <c r="J112" i="546" a="1"/>
  <c r="J112" i="546" s="1"/>
  <c r="M30" i="546"/>
  <c r="J51" i="546" a="1"/>
  <c r="J51" i="546" s="1"/>
  <c r="J30" i="546" a="1"/>
  <c r="J30" i="546" s="1"/>
  <c r="G30" i="546"/>
  <c r="I112" i="546"/>
  <c r="I15" i="546"/>
  <c r="I29" i="546"/>
  <c r="I136" i="546"/>
  <c r="I41" i="546"/>
  <c r="I146" i="546"/>
  <c r="H488" i="543"/>
  <c r="H488" i="542"/>
  <c r="H488" i="541"/>
  <c r="H488" i="544"/>
  <c r="H488" i="545"/>
  <c r="H488" i="434"/>
  <c r="H488" i="508"/>
  <c r="H488" i="505"/>
  <c r="H488" i="489"/>
  <c r="H488" i="546"/>
  <c r="K146" i="543" a="1"/>
  <c r="K146" i="543" s="1"/>
  <c r="K146" i="542" a="1"/>
  <c r="K146" i="542" s="1"/>
  <c r="K146" i="541" a="1"/>
  <c r="K146" i="541" s="1"/>
  <c r="K146" i="544" a="1"/>
  <c r="K146" i="544" s="1"/>
  <c r="K146" i="545" a="1"/>
  <c r="K146" i="545" s="1"/>
  <c r="K146" i="434" a="1"/>
  <c r="K146" i="434" s="1"/>
  <c r="K146" i="508" a="1"/>
  <c r="K146" i="508" s="1"/>
  <c r="K146" i="505" a="1"/>
  <c r="K146" i="505" s="1"/>
  <c r="K146" i="489" a="1"/>
  <c r="K146" i="489" s="1"/>
  <c r="K146" i="546" a="1"/>
  <c r="K146" i="546" s="1"/>
  <c r="M146" i="546" s="1"/>
  <c r="H146" i="543"/>
  <c r="H146" i="542"/>
  <c r="H146" i="541"/>
  <c r="H146" i="544"/>
  <c r="H146" i="545"/>
  <c r="H146" i="434"/>
  <c r="H146" i="508"/>
  <c r="H146" i="489"/>
  <c r="H146" i="546"/>
  <c r="G317" i="489"/>
  <c r="H317" i="489" s="1"/>
  <c r="H317" i="543"/>
  <c r="H317" i="542"/>
  <c r="H317" i="541"/>
  <c r="H317" i="544"/>
  <c r="H317" i="545"/>
  <c r="H317" i="434"/>
  <c r="H317" i="508"/>
  <c r="H317" i="505"/>
  <c r="H317" i="546"/>
  <c r="I144" i="546"/>
  <c r="I116" i="546"/>
  <c r="G218" i="546" l="1"/>
  <c r="G7" i="546"/>
  <c r="G29" i="546"/>
  <c r="G136" i="546"/>
  <c r="G51" i="546"/>
  <c r="G15" i="546"/>
  <c r="G116" i="546"/>
  <c r="G41" i="546"/>
  <c r="G150" i="546"/>
  <c r="G151" i="546"/>
  <c r="P536" i="546"/>
  <c r="O536" i="546"/>
  <c r="N536" i="546"/>
  <c r="M536" i="546"/>
  <c r="L536" i="546"/>
  <c r="K536" i="546"/>
  <c r="I536" i="546"/>
  <c r="H536" i="546"/>
  <c r="G536" i="546"/>
  <c r="F536" i="546"/>
  <c r="E536" i="546"/>
  <c r="D536" i="546"/>
  <c r="C535" i="546"/>
  <c r="J535" i="546" s="1"/>
  <c r="Q535" i="546" s="1"/>
  <c r="C534" i="546"/>
  <c r="J534" i="546" s="1"/>
  <c r="Q534" i="546" s="1"/>
  <c r="C533" i="546"/>
  <c r="J533" i="546" s="1"/>
  <c r="G517" i="546"/>
  <c r="N517" i="546" s="1"/>
  <c r="X515" i="546"/>
  <c r="X514" i="546"/>
  <c r="X513" i="546"/>
  <c r="G513" i="546"/>
  <c r="C513" i="546"/>
  <c r="X512" i="546"/>
  <c r="I512" i="546"/>
  <c r="E512" i="546"/>
  <c r="K512" i="546" s="1"/>
  <c r="M512" i="546" s="1"/>
  <c r="X511" i="546"/>
  <c r="I511" i="546"/>
  <c r="E511" i="546"/>
  <c r="K511" i="546" s="1"/>
  <c r="M511" i="546" s="1"/>
  <c r="I510" i="546"/>
  <c r="E510" i="546"/>
  <c r="K510" i="546" s="1"/>
  <c r="M510" i="546" s="1"/>
  <c r="I509" i="546"/>
  <c r="I513" i="546" s="1"/>
  <c r="E509" i="546"/>
  <c r="K509" i="546" s="1"/>
  <c r="AA506" i="546"/>
  <c r="Z506" i="546"/>
  <c r="Y506" i="546"/>
  <c r="X506" i="546"/>
  <c r="U506" i="546"/>
  <c r="T506" i="546"/>
  <c r="S506" i="546"/>
  <c r="R506" i="546"/>
  <c r="Q506" i="546"/>
  <c r="P506" i="546"/>
  <c r="O506" i="546"/>
  <c r="I506" i="546"/>
  <c r="G506" i="546"/>
  <c r="J506" i="546" s="1" a="1"/>
  <c r="J506" i="546" s="1"/>
  <c r="H505" i="546"/>
  <c r="H504" i="546"/>
  <c r="H503" i="546"/>
  <c r="D502" i="546"/>
  <c r="H502" i="546" s="1"/>
  <c r="V501" i="546"/>
  <c r="W501" i="546" s="1"/>
  <c r="N501" i="546"/>
  <c r="K501" i="546" a="1"/>
  <c r="K501" i="546" s="1"/>
  <c r="M501" i="546" s="1"/>
  <c r="J501" i="546" a="1"/>
  <c r="J501" i="546" s="1"/>
  <c r="H501" i="546"/>
  <c r="H500" i="546"/>
  <c r="H499" i="546"/>
  <c r="V498" i="546"/>
  <c r="W498" i="546" s="1"/>
  <c r="N498" i="546"/>
  <c r="K498" i="546" a="1"/>
  <c r="K498" i="546" s="1"/>
  <c r="M498" i="546" s="1"/>
  <c r="J498" i="546" a="1"/>
  <c r="J498" i="546" s="1"/>
  <c r="H498" i="546"/>
  <c r="V497" i="546"/>
  <c r="W497" i="546" s="1"/>
  <c r="N497" i="546"/>
  <c r="K497" i="546"/>
  <c r="M497" i="546" s="1"/>
  <c r="K497" i="546" a="1"/>
  <c r="J497" i="546"/>
  <c r="J497" i="546" a="1"/>
  <c r="H497" i="546"/>
  <c r="H496" i="546"/>
  <c r="H495" i="546"/>
  <c r="V494" i="546"/>
  <c r="W494" i="546" s="1"/>
  <c r="N494" i="546"/>
  <c r="K494" i="546" a="1"/>
  <c r="K494" i="546" s="1"/>
  <c r="M494" i="546" s="1"/>
  <c r="J494" i="546" a="1"/>
  <c r="J494" i="546" s="1"/>
  <c r="H494" i="546"/>
  <c r="V493" i="546"/>
  <c r="W493" i="546" s="1"/>
  <c r="N493" i="546"/>
  <c r="K493" i="546" a="1"/>
  <c r="K493" i="546" s="1"/>
  <c r="M493" i="546" s="1"/>
  <c r="J493" i="546" a="1"/>
  <c r="J493" i="546" s="1"/>
  <c r="H493" i="546"/>
  <c r="V492" i="546"/>
  <c r="W492" i="546" s="1"/>
  <c r="N492" i="546"/>
  <c r="K492" i="546" a="1"/>
  <c r="K492" i="546" s="1"/>
  <c r="M492" i="546" s="1"/>
  <c r="J492" i="546" a="1"/>
  <c r="J492" i="546" s="1"/>
  <c r="H492" i="546"/>
  <c r="V491" i="546"/>
  <c r="W491" i="546" s="1"/>
  <c r="N491" i="546"/>
  <c r="N506" i="546" s="1"/>
  <c r="K491" i="546"/>
  <c r="K491" i="546" a="1"/>
  <c r="J491" i="546" a="1"/>
  <c r="J491" i="546" s="1"/>
  <c r="H491" i="546"/>
  <c r="H506" i="546" s="1"/>
  <c r="AA490" i="546"/>
  <c r="Z490" i="546"/>
  <c r="Y490" i="546"/>
  <c r="X490" i="546"/>
  <c r="U490" i="546"/>
  <c r="T490" i="546"/>
  <c r="S490" i="546"/>
  <c r="Q490" i="546"/>
  <c r="P490" i="546"/>
  <c r="O490" i="546"/>
  <c r="R513" i="546" s="1"/>
  <c r="I490" i="546"/>
  <c r="G490" i="546"/>
  <c r="J490" i="546" s="1" a="1"/>
  <c r="J490" i="546" s="1"/>
  <c r="V489" i="546"/>
  <c r="W489" i="546" s="1"/>
  <c r="N489" i="546"/>
  <c r="K489" i="546" a="1"/>
  <c r="K489" i="546" s="1"/>
  <c r="M489" i="546" s="1"/>
  <c r="J489" i="546" a="1"/>
  <c r="J489" i="546" s="1"/>
  <c r="H489" i="546"/>
  <c r="H487" i="546"/>
  <c r="H486" i="546"/>
  <c r="H485" i="546"/>
  <c r="V484" i="546"/>
  <c r="W484" i="546" s="1"/>
  <c r="N484" i="546"/>
  <c r="K484" i="546" a="1"/>
  <c r="K484" i="546" s="1"/>
  <c r="M484" i="546" s="1"/>
  <c r="J484" i="546" a="1"/>
  <c r="J484" i="546" s="1"/>
  <c r="H484" i="546"/>
  <c r="V483" i="546"/>
  <c r="W483" i="546" s="1"/>
  <c r="N483" i="546"/>
  <c r="K483" i="546" a="1"/>
  <c r="K483" i="546" s="1"/>
  <c r="M483" i="546" s="1"/>
  <c r="J483" i="546" a="1"/>
  <c r="J483" i="546" s="1"/>
  <c r="H483" i="546"/>
  <c r="V482" i="546"/>
  <c r="W482" i="546" s="1"/>
  <c r="N482" i="546"/>
  <c r="K482" i="546" a="1"/>
  <c r="K482" i="546" s="1"/>
  <c r="M482" i="546" s="1"/>
  <c r="J482" i="546" a="1"/>
  <c r="J482" i="546" s="1"/>
  <c r="H482" i="546"/>
  <c r="V481" i="546"/>
  <c r="W481" i="546" s="1"/>
  <c r="N481" i="546"/>
  <c r="K481" i="546"/>
  <c r="M481" i="546" s="1"/>
  <c r="K481" i="546" a="1"/>
  <c r="J481" i="546"/>
  <c r="J481" i="546" a="1"/>
  <c r="H481" i="546"/>
  <c r="V480" i="546"/>
  <c r="W480" i="546" s="1"/>
  <c r="N480" i="546"/>
  <c r="K480" i="546" a="1"/>
  <c r="K480" i="546" s="1"/>
  <c r="J480" i="546" a="1"/>
  <c r="J480" i="546" s="1"/>
  <c r="H480" i="546"/>
  <c r="H490" i="546" s="1"/>
  <c r="AA479" i="546"/>
  <c r="Z479" i="546"/>
  <c r="Y479" i="546"/>
  <c r="X479" i="546"/>
  <c r="U479" i="546"/>
  <c r="T479" i="546"/>
  <c r="S479" i="546"/>
  <c r="Q479" i="546"/>
  <c r="P479" i="546"/>
  <c r="O479" i="546"/>
  <c r="I479" i="546"/>
  <c r="G479" i="546"/>
  <c r="J479" i="546" s="1" a="1"/>
  <c r="J479" i="546" s="1"/>
  <c r="V478" i="546"/>
  <c r="W478" i="546" s="1"/>
  <c r="N478" i="546"/>
  <c r="K478" i="546" a="1"/>
  <c r="K478" i="546" s="1"/>
  <c r="M478" i="546" s="1"/>
  <c r="J478" i="546" a="1"/>
  <c r="J478" i="546" s="1"/>
  <c r="H478" i="546"/>
  <c r="V477" i="546"/>
  <c r="W477" i="546" s="1"/>
  <c r="N477" i="546"/>
  <c r="K477" i="546" a="1"/>
  <c r="K477" i="546" s="1"/>
  <c r="M477" i="546" s="1"/>
  <c r="J477" i="546" a="1"/>
  <c r="J477" i="546" s="1"/>
  <c r="H477" i="546"/>
  <c r="V476" i="546"/>
  <c r="W476" i="546" s="1"/>
  <c r="N476" i="546"/>
  <c r="K476" i="546" a="1"/>
  <c r="K476" i="546" s="1"/>
  <c r="M476" i="546" s="1"/>
  <c r="J476" i="546" a="1"/>
  <c r="J476" i="546" s="1"/>
  <c r="H476" i="546"/>
  <c r="V475" i="546"/>
  <c r="W475" i="546" s="1"/>
  <c r="N475" i="546"/>
  <c r="K475" i="546" a="1"/>
  <c r="K475" i="546" s="1"/>
  <c r="M475" i="546" s="1"/>
  <c r="J475" i="546" a="1"/>
  <c r="J475" i="546" s="1"/>
  <c r="H475" i="546"/>
  <c r="V474" i="546"/>
  <c r="W474" i="546" s="1"/>
  <c r="N474" i="546"/>
  <c r="K474" i="546"/>
  <c r="M474" i="546" s="1"/>
  <c r="K474" i="546" a="1"/>
  <c r="J474" i="546"/>
  <c r="J474" i="546" a="1"/>
  <c r="H474" i="546"/>
  <c r="V473" i="546"/>
  <c r="W473" i="546" s="1"/>
  <c r="N473" i="546"/>
  <c r="K473" i="546" a="1"/>
  <c r="K473" i="546" s="1"/>
  <c r="M473" i="546" s="1"/>
  <c r="J473" i="546" a="1"/>
  <c r="J473" i="546" s="1"/>
  <c r="H473" i="546"/>
  <c r="V472" i="546"/>
  <c r="W472" i="546" s="1"/>
  <c r="N472" i="546"/>
  <c r="K472" i="546"/>
  <c r="M472" i="546" s="1"/>
  <c r="K472" i="546" a="1"/>
  <c r="J472" i="546"/>
  <c r="J472" i="546" a="1"/>
  <c r="H472" i="546"/>
  <c r="V471" i="546"/>
  <c r="W471" i="546" s="1"/>
  <c r="N471" i="546"/>
  <c r="K471" i="546" a="1"/>
  <c r="K471" i="546" s="1"/>
  <c r="M471" i="546" s="1"/>
  <c r="J471" i="546" a="1"/>
  <c r="J471" i="546" s="1"/>
  <c r="H471" i="546"/>
  <c r="W470" i="546"/>
  <c r="V470" i="546"/>
  <c r="N470" i="546"/>
  <c r="K470" i="546" a="1"/>
  <c r="K470" i="546" s="1"/>
  <c r="M470" i="546" s="1"/>
  <c r="J470" i="546" a="1"/>
  <c r="J470" i="546" s="1"/>
  <c r="H470" i="546"/>
  <c r="V469" i="546"/>
  <c r="W469" i="546" s="1"/>
  <c r="N469" i="546"/>
  <c r="K469" i="546" a="1"/>
  <c r="K469" i="546" s="1"/>
  <c r="M469" i="546" s="1"/>
  <c r="J469" i="546" a="1"/>
  <c r="J469" i="546" s="1"/>
  <c r="H469" i="546"/>
  <c r="V468" i="546"/>
  <c r="W468" i="546" s="1"/>
  <c r="N468" i="546"/>
  <c r="K468" i="546" a="1"/>
  <c r="K468" i="546" s="1"/>
  <c r="M468" i="546" s="1"/>
  <c r="J468" i="546" a="1"/>
  <c r="J468" i="546" s="1"/>
  <c r="H468" i="546"/>
  <c r="V467" i="546"/>
  <c r="W467" i="546" s="1"/>
  <c r="N467" i="546"/>
  <c r="K467" i="546" a="1"/>
  <c r="K467" i="546" s="1"/>
  <c r="M467" i="546" s="1"/>
  <c r="J467" i="546" a="1"/>
  <c r="J467" i="546" s="1"/>
  <c r="H467" i="546"/>
  <c r="V466" i="546"/>
  <c r="W466" i="546" s="1"/>
  <c r="N466" i="546"/>
  <c r="K466" i="546"/>
  <c r="M466" i="546" s="1"/>
  <c r="K466" i="546" a="1"/>
  <c r="J466" i="546"/>
  <c r="J466" i="546" a="1"/>
  <c r="H466" i="546"/>
  <c r="V465" i="546"/>
  <c r="W465" i="546" s="1"/>
  <c r="N465" i="546"/>
  <c r="K465" i="546" a="1"/>
  <c r="K465" i="546" s="1"/>
  <c r="M465" i="546" s="1"/>
  <c r="J465" i="546" a="1"/>
  <c r="J465" i="546" s="1"/>
  <c r="H465" i="546"/>
  <c r="V464" i="546"/>
  <c r="V479" i="546" s="1"/>
  <c r="W479" i="546" s="1"/>
  <c r="N464" i="546"/>
  <c r="K464" i="546"/>
  <c r="K464" i="546" a="1"/>
  <c r="J464" i="546"/>
  <c r="J464" i="546" a="1"/>
  <c r="H464" i="546"/>
  <c r="H479" i="546" s="1"/>
  <c r="AA463" i="546"/>
  <c r="Z463" i="546"/>
  <c r="Y463" i="546"/>
  <c r="X463" i="546"/>
  <c r="U463" i="546"/>
  <c r="T463" i="546"/>
  <c r="S463" i="546"/>
  <c r="R463" i="546"/>
  <c r="Q463" i="546"/>
  <c r="P463" i="546"/>
  <c r="O463" i="546"/>
  <c r="I463" i="546"/>
  <c r="G463" i="546"/>
  <c r="J463" i="546" s="1" a="1"/>
  <c r="J463" i="546" s="1"/>
  <c r="V462" i="546"/>
  <c r="W462" i="546" s="1"/>
  <c r="N462" i="546"/>
  <c r="K462" i="546" a="1"/>
  <c r="K462" i="546" s="1"/>
  <c r="M462" i="546" s="1"/>
  <c r="J462" i="546" a="1"/>
  <c r="J462" i="546" s="1"/>
  <c r="H462" i="546"/>
  <c r="V461" i="546"/>
  <c r="W461" i="546" s="1"/>
  <c r="N461" i="546"/>
  <c r="K461" i="546" a="1"/>
  <c r="K461" i="546" s="1"/>
  <c r="M461" i="546" s="1"/>
  <c r="J461" i="546" a="1"/>
  <c r="J461" i="546" s="1"/>
  <c r="H461" i="546"/>
  <c r="V460" i="546"/>
  <c r="W460" i="546" s="1"/>
  <c r="N460" i="546"/>
  <c r="K460" i="546"/>
  <c r="M460" i="546" s="1"/>
  <c r="K460" i="546" a="1"/>
  <c r="J460" i="546"/>
  <c r="J460" i="546" a="1"/>
  <c r="H460" i="546"/>
  <c r="K459" i="546" a="1"/>
  <c r="K459" i="546" s="1"/>
  <c r="M459" i="546" s="1"/>
  <c r="H459" i="546"/>
  <c r="K458" i="546"/>
  <c r="M458" i="546" s="1"/>
  <c r="K458" i="546" a="1"/>
  <c r="H458" i="546"/>
  <c r="K457" i="546" a="1"/>
  <c r="K457" i="546" s="1"/>
  <c r="M457" i="546" s="1"/>
  <c r="H457" i="546"/>
  <c r="V456" i="546"/>
  <c r="W456" i="546" s="1"/>
  <c r="N456" i="546"/>
  <c r="K456" i="546" a="1"/>
  <c r="K456" i="546" s="1"/>
  <c r="M456" i="546" s="1"/>
  <c r="J456" i="546" a="1"/>
  <c r="J456" i="546" s="1"/>
  <c r="H456" i="546"/>
  <c r="V455" i="546"/>
  <c r="W455" i="546" s="1"/>
  <c r="N455" i="546"/>
  <c r="K455" i="546" a="1"/>
  <c r="K455" i="546" s="1"/>
  <c r="M455" i="546" s="1"/>
  <c r="J455" i="546" a="1"/>
  <c r="J455" i="546" s="1"/>
  <c r="H455" i="546"/>
  <c r="N454" i="546"/>
  <c r="K454" i="546" a="1"/>
  <c r="K454" i="546" s="1"/>
  <c r="M454" i="546" s="1"/>
  <c r="H454" i="546"/>
  <c r="N453" i="546"/>
  <c r="K453" i="546"/>
  <c r="M453" i="546" s="1"/>
  <c r="K453" i="546" a="1"/>
  <c r="H453" i="546"/>
  <c r="N452" i="546"/>
  <c r="K452" i="546" a="1"/>
  <c r="K452" i="546" s="1"/>
  <c r="M452" i="546" s="1"/>
  <c r="H452" i="546"/>
  <c r="N451" i="546"/>
  <c r="K451" i="546" a="1"/>
  <c r="K451" i="546" s="1"/>
  <c r="M451" i="546" s="1"/>
  <c r="H451" i="546"/>
  <c r="N450" i="546"/>
  <c r="K450" i="546" a="1"/>
  <c r="K450" i="546" s="1"/>
  <c r="M450" i="546" s="1"/>
  <c r="H450" i="546"/>
  <c r="N449" i="546"/>
  <c r="K449" i="546" a="1"/>
  <c r="K449" i="546" s="1"/>
  <c r="M449" i="546" s="1"/>
  <c r="H449" i="546"/>
  <c r="V448" i="546"/>
  <c r="W448" i="546" s="1"/>
  <c r="N448" i="546"/>
  <c r="K448" i="546" a="1"/>
  <c r="K448" i="546" s="1"/>
  <c r="M448" i="546" s="1"/>
  <c r="J448" i="546" a="1"/>
  <c r="J448" i="546" s="1"/>
  <c r="H448" i="546"/>
  <c r="V447" i="546"/>
  <c r="W447" i="546" s="1"/>
  <c r="N447" i="546"/>
  <c r="K447" i="546"/>
  <c r="M447" i="546" s="1"/>
  <c r="K447" i="546" a="1"/>
  <c r="J447" i="546"/>
  <c r="J447" i="546" a="1"/>
  <c r="H447" i="546"/>
  <c r="V446" i="546"/>
  <c r="W446" i="546" s="1"/>
  <c r="N446" i="546"/>
  <c r="K446" i="546" a="1"/>
  <c r="K446" i="546" s="1"/>
  <c r="M446" i="546" s="1"/>
  <c r="J446" i="546" a="1"/>
  <c r="J446" i="546" s="1"/>
  <c r="H446" i="546"/>
  <c r="V445" i="546"/>
  <c r="W445" i="546" s="1"/>
  <c r="N445" i="546"/>
  <c r="K445" i="546"/>
  <c r="M445" i="546" s="1"/>
  <c r="K445" i="546" a="1"/>
  <c r="J445" i="546"/>
  <c r="J445" i="546" a="1"/>
  <c r="H445" i="546"/>
  <c r="V444" i="546"/>
  <c r="W444" i="546" s="1"/>
  <c r="N444" i="546"/>
  <c r="K444" i="546" a="1"/>
  <c r="K444" i="546" s="1"/>
  <c r="M444" i="546" s="1"/>
  <c r="J444" i="546" a="1"/>
  <c r="J444" i="546" s="1"/>
  <c r="H444" i="546"/>
  <c r="V443" i="546"/>
  <c r="W443" i="546" s="1"/>
  <c r="N443" i="546"/>
  <c r="K443" i="546" a="1"/>
  <c r="K443" i="546" s="1"/>
  <c r="M443" i="546" s="1"/>
  <c r="J443" i="546" a="1"/>
  <c r="J443" i="546" s="1"/>
  <c r="H443" i="546"/>
  <c r="V442" i="546"/>
  <c r="W442" i="546" s="1"/>
  <c r="N442" i="546"/>
  <c r="K442" i="546" a="1"/>
  <c r="K442" i="546" s="1"/>
  <c r="M442" i="546" s="1"/>
  <c r="J442" i="546" a="1"/>
  <c r="J442" i="546" s="1"/>
  <c r="H442" i="546"/>
  <c r="V441" i="546"/>
  <c r="W441" i="546" s="1"/>
  <c r="N441" i="546"/>
  <c r="K441" i="546"/>
  <c r="M441" i="546" s="1"/>
  <c r="K441" i="546" a="1"/>
  <c r="J441" i="546"/>
  <c r="J441" i="546" a="1"/>
  <c r="H441" i="546"/>
  <c r="V440" i="546"/>
  <c r="W440" i="546" s="1"/>
  <c r="N440" i="546"/>
  <c r="K440" i="546" a="1"/>
  <c r="K440" i="546" s="1"/>
  <c r="M440" i="546" s="1"/>
  <c r="J440" i="546" a="1"/>
  <c r="J440" i="546" s="1"/>
  <c r="H440" i="546"/>
  <c r="W439" i="546"/>
  <c r="V439" i="546"/>
  <c r="N439" i="546"/>
  <c r="K439" i="546" a="1"/>
  <c r="K439" i="546" s="1"/>
  <c r="M439" i="546" s="1"/>
  <c r="J439" i="546" a="1"/>
  <c r="J439" i="546" s="1"/>
  <c r="H439" i="546"/>
  <c r="V438" i="546"/>
  <c r="W438" i="546" s="1"/>
  <c r="N438" i="546"/>
  <c r="K438" i="546" a="1"/>
  <c r="K438" i="546" s="1"/>
  <c r="M438" i="546" s="1"/>
  <c r="J438" i="546" a="1"/>
  <c r="J438" i="546" s="1"/>
  <c r="H438" i="546"/>
  <c r="V437" i="546"/>
  <c r="W437" i="546" s="1"/>
  <c r="N437" i="546"/>
  <c r="K437" i="546"/>
  <c r="M437" i="546" s="1"/>
  <c r="K437" i="546" a="1"/>
  <c r="J437" i="546"/>
  <c r="J437" i="546" a="1"/>
  <c r="H437" i="546"/>
  <c r="N436" i="546"/>
  <c r="K436" i="546" a="1"/>
  <c r="K436" i="546" s="1"/>
  <c r="M436" i="546" s="1"/>
  <c r="H436" i="546"/>
  <c r="V435" i="546"/>
  <c r="W435" i="546" s="1"/>
  <c r="N435" i="546"/>
  <c r="K435" i="546"/>
  <c r="M435" i="546" s="1"/>
  <c r="K435" i="546" a="1"/>
  <c r="J435" i="546"/>
  <c r="J435" i="546" a="1"/>
  <c r="H435" i="546"/>
  <c r="V434" i="546"/>
  <c r="W434" i="546" s="1"/>
  <c r="N434" i="546"/>
  <c r="K434" i="546" a="1"/>
  <c r="K434" i="546" s="1"/>
  <c r="M434" i="546" s="1"/>
  <c r="J434" i="546" a="1"/>
  <c r="J434" i="546" s="1"/>
  <c r="H434" i="546"/>
  <c r="V433" i="546"/>
  <c r="W433" i="546" s="1"/>
  <c r="N433" i="546"/>
  <c r="K433" i="546"/>
  <c r="M433" i="546" s="1"/>
  <c r="K433" i="546" a="1"/>
  <c r="J433" i="546"/>
  <c r="J433" i="546" a="1"/>
  <c r="H433" i="546"/>
  <c r="V432" i="546"/>
  <c r="W432" i="546" s="1"/>
  <c r="N432" i="546"/>
  <c r="K432" i="546" a="1"/>
  <c r="K432" i="546" s="1"/>
  <c r="M432" i="546" s="1"/>
  <c r="J432" i="546" a="1"/>
  <c r="J432" i="546" s="1"/>
  <c r="H432" i="546"/>
  <c r="V431" i="546"/>
  <c r="W431" i="546" s="1"/>
  <c r="N431" i="546"/>
  <c r="K431" i="546" a="1"/>
  <c r="K431" i="546" s="1"/>
  <c r="M431" i="546" s="1"/>
  <c r="J431" i="546" a="1"/>
  <c r="J431" i="546" s="1"/>
  <c r="H431" i="546"/>
  <c r="V430" i="546"/>
  <c r="W430" i="546" s="1"/>
  <c r="N430" i="546"/>
  <c r="K430" i="546" a="1"/>
  <c r="K430" i="546" s="1"/>
  <c r="M430" i="546" s="1"/>
  <c r="J430" i="546" a="1"/>
  <c r="J430" i="546" s="1"/>
  <c r="H430" i="546"/>
  <c r="V429" i="546"/>
  <c r="V463" i="546" s="1"/>
  <c r="W463" i="546" s="1"/>
  <c r="N429" i="546"/>
  <c r="N463" i="546" s="1"/>
  <c r="K429" i="546" a="1"/>
  <c r="K429" i="546" s="1"/>
  <c r="K463" i="546" s="1"/>
  <c r="J429" i="546" a="1"/>
  <c r="J429" i="546" s="1"/>
  <c r="H429" i="546"/>
  <c r="H463" i="546" s="1"/>
  <c r="AA428" i="546"/>
  <c r="Z428" i="546"/>
  <c r="Y428" i="546"/>
  <c r="X428" i="546"/>
  <c r="U428" i="546"/>
  <c r="T428" i="546"/>
  <c r="S428" i="546"/>
  <c r="R428" i="546"/>
  <c r="Q428" i="546"/>
  <c r="P428" i="546"/>
  <c r="O428" i="546"/>
  <c r="R510" i="546" s="1"/>
  <c r="I428" i="546"/>
  <c r="G428" i="546"/>
  <c r="J428" i="546" s="1" a="1"/>
  <c r="J428" i="546" s="1"/>
  <c r="K427" i="546" a="1"/>
  <c r="K427" i="546" s="1"/>
  <c r="M427" i="546" s="1"/>
  <c r="H427" i="546"/>
  <c r="K426" i="546"/>
  <c r="M426" i="546" s="1"/>
  <c r="K426" i="546" a="1"/>
  <c r="H426" i="546"/>
  <c r="K425" i="546" a="1"/>
  <c r="K425" i="546" s="1"/>
  <c r="M425" i="546" s="1"/>
  <c r="H425" i="546"/>
  <c r="K424" i="546"/>
  <c r="M424" i="546" s="1"/>
  <c r="K424" i="546" a="1"/>
  <c r="H424" i="546"/>
  <c r="K423" i="546" a="1"/>
  <c r="K423" i="546" s="1"/>
  <c r="M423" i="546" s="1"/>
  <c r="H423" i="546"/>
  <c r="K422" i="546" a="1"/>
  <c r="K422" i="546" s="1"/>
  <c r="M422" i="546" s="1"/>
  <c r="H422" i="546"/>
  <c r="K421" i="546" a="1"/>
  <c r="K421" i="546" s="1"/>
  <c r="M421" i="546" s="1"/>
  <c r="H421" i="546"/>
  <c r="K420" i="546" a="1"/>
  <c r="K420" i="546" s="1"/>
  <c r="M420" i="546" s="1"/>
  <c r="H420" i="546"/>
  <c r="K419" i="546" a="1"/>
  <c r="K419" i="546" s="1"/>
  <c r="M419" i="546" s="1"/>
  <c r="H419" i="546"/>
  <c r="K418" i="546" a="1"/>
  <c r="K418" i="546" s="1"/>
  <c r="M418" i="546" s="1"/>
  <c r="H418" i="546"/>
  <c r="W417" i="546"/>
  <c r="V417" i="546"/>
  <c r="N417" i="546"/>
  <c r="K417" i="546" a="1"/>
  <c r="K417" i="546" s="1"/>
  <c r="M417" i="546" s="1"/>
  <c r="J417" i="546" a="1"/>
  <c r="J417" i="546" s="1"/>
  <c r="H417" i="546"/>
  <c r="V416" i="546"/>
  <c r="W416" i="546" s="1"/>
  <c r="N416" i="546"/>
  <c r="K416" i="546" a="1"/>
  <c r="K416" i="546" s="1"/>
  <c r="M416" i="546" s="1"/>
  <c r="J416" i="546" a="1"/>
  <c r="J416" i="546" s="1"/>
  <c r="H416" i="546"/>
  <c r="V415" i="546"/>
  <c r="W415" i="546" s="1"/>
  <c r="N415" i="546"/>
  <c r="K415" i="546" a="1"/>
  <c r="K415" i="546" s="1"/>
  <c r="M415" i="546" s="1"/>
  <c r="J415" i="546" a="1"/>
  <c r="J415" i="546" s="1"/>
  <c r="H415" i="546"/>
  <c r="V414" i="546"/>
  <c r="W414" i="546" s="1"/>
  <c r="N414" i="546"/>
  <c r="K414" i="546" a="1"/>
  <c r="K414" i="546" s="1"/>
  <c r="M414" i="546" s="1"/>
  <c r="J414" i="546" a="1"/>
  <c r="J414" i="546" s="1"/>
  <c r="H414" i="546"/>
  <c r="H413" i="546"/>
  <c r="V412" i="546"/>
  <c r="W412" i="546" s="1"/>
  <c r="N412" i="546"/>
  <c r="K412" i="546" a="1"/>
  <c r="K412" i="546" s="1"/>
  <c r="M412" i="546" s="1"/>
  <c r="J412" i="546" a="1"/>
  <c r="J412" i="546" s="1"/>
  <c r="H412" i="546"/>
  <c r="V411" i="546"/>
  <c r="W411" i="546" s="1"/>
  <c r="N411" i="546"/>
  <c r="K411" i="546" a="1"/>
  <c r="K411" i="546" s="1"/>
  <c r="M411" i="546" s="1"/>
  <c r="J411" i="546" a="1"/>
  <c r="J411" i="546" s="1"/>
  <c r="H411" i="546"/>
  <c r="H410" i="546"/>
  <c r="K409" i="546" a="1"/>
  <c r="K409" i="546" s="1"/>
  <c r="H409" i="546"/>
  <c r="V408" i="546"/>
  <c r="W408" i="546" s="1"/>
  <c r="N408" i="546"/>
  <c r="K408" i="546" a="1"/>
  <c r="K408" i="546" s="1"/>
  <c r="M408" i="546" s="1"/>
  <c r="J408" i="546" a="1"/>
  <c r="J408" i="546" s="1"/>
  <c r="H408" i="546"/>
  <c r="V407" i="546"/>
  <c r="W407" i="546" s="1"/>
  <c r="N407" i="546"/>
  <c r="K407" i="546" a="1"/>
  <c r="K407" i="546" s="1"/>
  <c r="M407" i="546" s="1"/>
  <c r="J407" i="546" a="1"/>
  <c r="J407" i="546" s="1"/>
  <c r="H407" i="546"/>
  <c r="V406" i="546"/>
  <c r="W406" i="546" s="1"/>
  <c r="N406" i="546"/>
  <c r="K406" i="546" a="1"/>
  <c r="K406" i="546" s="1"/>
  <c r="M406" i="546" s="1"/>
  <c r="J406" i="546" a="1"/>
  <c r="J406" i="546" s="1"/>
  <c r="H406" i="546"/>
  <c r="V405" i="546"/>
  <c r="W405" i="546" s="1"/>
  <c r="N405" i="546"/>
  <c r="K405" i="546" a="1"/>
  <c r="K405" i="546" s="1"/>
  <c r="M405" i="546" s="1"/>
  <c r="J405" i="546" a="1"/>
  <c r="J405" i="546" s="1"/>
  <c r="H405" i="546"/>
  <c r="V404" i="546"/>
  <c r="W404" i="546" s="1"/>
  <c r="N404" i="546"/>
  <c r="K404" i="546" a="1"/>
  <c r="K404" i="546" s="1"/>
  <c r="M404" i="546" s="1"/>
  <c r="J404" i="546" a="1"/>
  <c r="J404" i="546" s="1"/>
  <c r="H404" i="546"/>
  <c r="V403" i="546"/>
  <c r="W403" i="546" s="1"/>
  <c r="N403" i="546"/>
  <c r="K403" i="546" a="1"/>
  <c r="K403" i="546" s="1"/>
  <c r="M403" i="546" s="1"/>
  <c r="J403" i="546" a="1"/>
  <c r="J403" i="546" s="1"/>
  <c r="H403" i="546"/>
  <c r="V402" i="546"/>
  <c r="W402" i="546" s="1"/>
  <c r="N402" i="546"/>
  <c r="K402" i="546" a="1"/>
  <c r="K402" i="546" s="1"/>
  <c r="M402" i="546" s="1"/>
  <c r="J402" i="546" a="1"/>
  <c r="J402" i="546" s="1"/>
  <c r="H402" i="546"/>
  <c r="V401" i="546"/>
  <c r="W401" i="546" s="1"/>
  <c r="N401" i="546"/>
  <c r="K401" i="546" a="1"/>
  <c r="K401" i="546" s="1"/>
  <c r="M401" i="546" s="1"/>
  <c r="J401" i="546" a="1"/>
  <c r="J401" i="546" s="1"/>
  <c r="H401" i="546"/>
  <c r="V400" i="546"/>
  <c r="W400" i="546" s="1"/>
  <c r="N400" i="546"/>
  <c r="K400" i="546" a="1"/>
  <c r="K400" i="546" s="1"/>
  <c r="M400" i="546" s="1"/>
  <c r="J400" i="546" a="1"/>
  <c r="J400" i="546" s="1"/>
  <c r="H400" i="546"/>
  <c r="V399" i="546"/>
  <c r="W399" i="546" s="1"/>
  <c r="N399" i="546"/>
  <c r="K399" i="546" a="1"/>
  <c r="K399" i="546" s="1"/>
  <c r="M399" i="546" s="1"/>
  <c r="J399" i="546" a="1"/>
  <c r="J399" i="546" s="1"/>
  <c r="H399" i="546"/>
  <c r="K398" i="546"/>
  <c r="M398" i="546" s="1"/>
  <c r="K398" i="546" a="1"/>
  <c r="H398" i="546"/>
  <c r="K397" i="546" a="1"/>
  <c r="K397" i="546" s="1"/>
  <c r="M397" i="546" s="1"/>
  <c r="H397" i="546"/>
  <c r="K396" i="546"/>
  <c r="M396" i="546" s="1"/>
  <c r="K396" i="546" a="1"/>
  <c r="H396" i="546"/>
  <c r="K395" i="546" a="1"/>
  <c r="K395" i="546" s="1"/>
  <c r="M395" i="546" s="1"/>
  <c r="H395" i="546"/>
  <c r="N394" i="546"/>
  <c r="K394" i="546" a="1"/>
  <c r="K394" i="546" s="1"/>
  <c r="M394" i="546" s="1"/>
  <c r="H394" i="546"/>
  <c r="N393" i="546"/>
  <c r="K393" i="546" a="1"/>
  <c r="K393" i="546" s="1"/>
  <c r="M393" i="546" s="1"/>
  <c r="H393" i="546"/>
  <c r="N392" i="546"/>
  <c r="K392" i="546" a="1"/>
  <c r="K392" i="546" s="1"/>
  <c r="M392" i="546" s="1"/>
  <c r="H392" i="546"/>
  <c r="N391" i="546"/>
  <c r="K391" i="546"/>
  <c r="M391" i="546" s="1"/>
  <c r="K391" i="546" a="1"/>
  <c r="H391" i="546"/>
  <c r="V390" i="546"/>
  <c r="W390" i="546" s="1"/>
  <c r="N390" i="546"/>
  <c r="K390" i="546" a="1"/>
  <c r="K390" i="546" s="1"/>
  <c r="M390" i="546" s="1"/>
  <c r="J390" i="546" a="1"/>
  <c r="J390" i="546" s="1"/>
  <c r="H390" i="546"/>
  <c r="V389" i="546"/>
  <c r="W389" i="546" s="1"/>
  <c r="N389" i="546"/>
  <c r="K389" i="546"/>
  <c r="M389" i="546" s="1"/>
  <c r="K389" i="546" a="1"/>
  <c r="J389" i="546"/>
  <c r="J389" i="546" a="1"/>
  <c r="H389" i="546"/>
  <c r="V388" i="546"/>
  <c r="W388" i="546" s="1"/>
  <c r="N388" i="546"/>
  <c r="K388" i="546" a="1"/>
  <c r="K388" i="546" s="1"/>
  <c r="M388" i="546" s="1"/>
  <c r="J388" i="546" a="1"/>
  <c r="J388" i="546" s="1"/>
  <c r="H388" i="546"/>
  <c r="V387" i="546"/>
  <c r="W387" i="546" s="1"/>
  <c r="N387" i="546"/>
  <c r="K387" i="546"/>
  <c r="M387" i="546" s="1"/>
  <c r="K387" i="546" a="1"/>
  <c r="J387" i="546"/>
  <c r="J387" i="546" a="1"/>
  <c r="H387" i="546"/>
  <c r="V386" i="546"/>
  <c r="W386" i="546" s="1"/>
  <c r="N386" i="546"/>
  <c r="K386" i="546" a="1"/>
  <c r="K386" i="546" s="1"/>
  <c r="M386" i="546" s="1"/>
  <c r="J386" i="546" a="1"/>
  <c r="J386" i="546" s="1"/>
  <c r="H386" i="546"/>
  <c r="V385" i="546"/>
  <c r="W385" i="546" s="1"/>
  <c r="N385" i="546"/>
  <c r="K385" i="546"/>
  <c r="M385" i="546" s="1"/>
  <c r="K385" i="546" a="1"/>
  <c r="J385" i="546"/>
  <c r="J385" i="546" a="1"/>
  <c r="H385" i="546"/>
  <c r="V384" i="546"/>
  <c r="W384" i="546" s="1"/>
  <c r="N384" i="546"/>
  <c r="K384" i="546" a="1"/>
  <c r="K384" i="546" s="1"/>
  <c r="M384" i="546" s="1"/>
  <c r="J384" i="546" a="1"/>
  <c r="J384" i="546" s="1"/>
  <c r="H384" i="546"/>
  <c r="V383" i="546"/>
  <c r="W383" i="546" s="1"/>
  <c r="N383" i="546"/>
  <c r="K383" i="546"/>
  <c r="M383" i="546" s="1"/>
  <c r="K383" i="546" a="1"/>
  <c r="J383" i="546"/>
  <c r="J383" i="546" a="1"/>
  <c r="H383" i="546"/>
  <c r="V382" i="546"/>
  <c r="W382" i="546" s="1"/>
  <c r="N382" i="546"/>
  <c r="K382" i="546" a="1"/>
  <c r="K382" i="546" s="1"/>
  <c r="M382" i="546" s="1"/>
  <c r="J382" i="546" a="1"/>
  <c r="J382" i="546" s="1"/>
  <c r="H382" i="546"/>
  <c r="V381" i="546"/>
  <c r="W381" i="546" s="1"/>
  <c r="N381" i="546"/>
  <c r="K381" i="546"/>
  <c r="M381" i="546" s="1"/>
  <c r="K381" i="546" a="1"/>
  <c r="J381" i="546"/>
  <c r="J381" i="546" a="1"/>
  <c r="H381" i="546"/>
  <c r="V380" i="546"/>
  <c r="W380" i="546" s="1"/>
  <c r="N380" i="546"/>
  <c r="K380" i="546" a="1"/>
  <c r="K380" i="546" s="1"/>
  <c r="M380" i="546" s="1"/>
  <c r="J380" i="546" a="1"/>
  <c r="J380" i="546" s="1"/>
  <c r="H380" i="546"/>
  <c r="V379" i="546"/>
  <c r="W379" i="546" s="1"/>
  <c r="N379" i="546"/>
  <c r="K379" i="546"/>
  <c r="M379" i="546" s="1"/>
  <c r="K379" i="546" a="1"/>
  <c r="J379" i="546"/>
  <c r="J379" i="546" a="1"/>
  <c r="H379" i="546"/>
  <c r="K378" i="546" a="1"/>
  <c r="K378" i="546" s="1"/>
  <c r="M378" i="546" s="1"/>
  <c r="H378" i="546"/>
  <c r="K377" i="546" a="1"/>
  <c r="K377" i="546" s="1"/>
  <c r="M377" i="546" s="1"/>
  <c r="H377" i="546"/>
  <c r="K376" i="546" a="1"/>
  <c r="K376" i="546" s="1"/>
  <c r="M376" i="546" s="1"/>
  <c r="H376" i="546"/>
  <c r="W375" i="546"/>
  <c r="V375" i="546"/>
  <c r="N375" i="546"/>
  <c r="K375" i="546" a="1"/>
  <c r="K375" i="546" s="1"/>
  <c r="M375" i="546" s="1"/>
  <c r="J375" i="546" a="1"/>
  <c r="J375" i="546" s="1"/>
  <c r="H375" i="546"/>
  <c r="V374" i="546"/>
  <c r="W374" i="546" s="1"/>
  <c r="N374" i="546"/>
  <c r="K374" i="546" a="1"/>
  <c r="K374" i="546" s="1"/>
  <c r="M374" i="546" s="1"/>
  <c r="J374" i="546" a="1"/>
  <c r="J374" i="546" s="1"/>
  <c r="H374" i="546"/>
  <c r="V373" i="546"/>
  <c r="W373" i="546" s="1"/>
  <c r="N373" i="546"/>
  <c r="K373" i="546" a="1"/>
  <c r="K373" i="546" s="1"/>
  <c r="M373" i="546" s="1"/>
  <c r="J373" i="546" a="1"/>
  <c r="J373" i="546" s="1"/>
  <c r="H373" i="546"/>
  <c r="K372" i="546" a="1"/>
  <c r="K372" i="546" s="1"/>
  <c r="H372" i="546"/>
  <c r="V371" i="546"/>
  <c r="V428" i="546" s="1"/>
  <c r="W428" i="546" s="1"/>
  <c r="N371" i="546"/>
  <c r="K371" i="546"/>
  <c r="K371" i="546" a="1"/>
  <c r="J371" i="546"/>
  <c r="J371" i="546" a="1"/>
  <c r="H371" i="546"/>
  <c r="H428" i="546" s="1"/>
  <c r="AA370" i="546"/>
  <c r="AA507" i="546" s="1"/>
  <c r="Z370" i="546"/>
  <c r="Z507" i="546" s="1"/>
  <c r="Y370" i="546"/>
  <c r="Y507" i="546" s="1"/>
  <c r="X370" i="546"/>
  <c r="X507" i="546" s="1"/>
  <c r="U370" i="546"/>
  <c r="U507" i="546" s="1"/>
  <c r="T370" i="546"/>
  <c r="T507" i="546" s="1"/>
  <c r="S370" i="546"/>
  <c r="S507" i="546" s="1"/>
  <c r="R370" i="546"/>
  <c r="R507" i="546" s="1"/>
  <c r="Q370" i="546"/>
  <c r="Q507" i="546" s="1"/>
  <c r="P370" i="546"/>
  <c r="P507" i="546" s="1"/>
  <c r="O370" i="546"/>
  <c r="I370" i="546"/>
  <c r="I507" i="546" s="1"/>
  <c r="B515" i="546" s="1"/>
  <c r="G370" i="546"/>
  <c r="G507" i="546" s="1"/>
  <c r="V369" i="546"/>
  <c r="W369" i="546" s="1"/>
  <c r="N369" i="546"/>
  <c r="K369" i="546" a="1"/>
  <c r="K369" i="546" s="1"/>
  <c r="M369" i="546" s="1"/>
  <c r="J369" i="546" a="1"/>
  <c r="J369" i="546" s="1"/>
  <c r="H369" i="546"/>
  <c r="V368" i="546"/>
  <c r="W368" i="546" s="1"/>
  <c r="N368" i="546"/>
  <c r="K368" i="546" a="1"/>
  <c r="K368" i="546" s="1"/>
  <c r="M368" i="546" s="1"/>
  <c r="J368" i="546" a="1"/>
  <c r="J368" i="546" s="1"/>
  <c r="H368" i="546"/>
  <c r="K367" i="546"/>
  <c r="M367" i="546" s="1"/>
  <c r="K367" i="546" a="1"/>
  <c r="H367" i="546"/>
  <c r="K366" i="546" a="1"/>
  <c r="K366" i="546" s="1"/>
  <c r="M366" i="546" s="1"/>
  <c r="H366" i="546"/>
  <c r="K365" i="546" a="1"/>
  <c r="K365" i="546" s="1"/>
  <c r="M365" i="546" s="1"/>
  <c r="H365" i="546"/>
  <c r="K364" i="546" a="1"/>
  <c r="K364" i="546" s="1"/>
  <c r="M364" i="546" s="1"/>
  <c r="H364" i="546"/>
  <c r="V363" i="546"/>
  <c r="W363" i="546" s="1"/>
  <c r="N363" i="546"/>
  <c r="K363" i="546"/>
  <c r="M363" i="546" s="1"/>
  <c r="K363" i="546" a="1"/>
  <c r="J363" i="546"/>
  <c r="J363" i="546" a="1"/>
  <c r="H363" i="546"/>
  <c r="V362" i="546"/>
  <c r="W362" i="546" s="1"/>
  <c r="N362" i="546"/>
  <c r="K362" i="546" a="1"/>
  <c r="K362" i="546" s="1"/>
  <c r="M362" i="546" s="1"/>
  <c r="J362" i="546" a="1"/>
  <c r="J362" i="546" s="1"/>
  <c r="H362" i="546"/>
  <c r="V361" i="546"/>
  <c r="W361" i="546" s="1"/>
  <c r="N361" i="546"/>
  <c r="K361" i="546"/>
  <c r="M361" i="546" s="1"/>
  <c r="K361" i="546" a="1"/>
  <c r="J361" i="546"/>
  <c r="J361" i="546" a="1"/>
  <c r="H361" i="546"/>
  <c r="H360" i="546"/>
  <c r="H359" i="546"/>
  <c r="V358" i="546"/>
  <c r="W358" i="546" s="1"/>
  <c r="N358" i="546"/>
  <c r="K358" i="546" a="1"/>
  <c r="K358" i="546" s="1"/>
  <c r="M358" i="546" s="1"/>
  <c r="J358" i="546" a="1"/>
  <c r="J358" i="546" s="1"/>
  <c r="H358" i="546"/>
  <c r="W357" i="546"/>
  <c r="V357" i="546"/>
  <c r="N357" i="546"/>
  <c r="K357" i="546" a="1"/>
  <c r="K357" i="546" s="1"/>
  <c r="M357" i="546" s="1"/>
  <c r="J357" i="546" a="1"/>
  <c r="J357" i="546" s="1"/>
  <c r="H357" i="546"/>
  <c r="K356" i="546" a="1"/>
  <c r="K356" i="546" s="1"/>
  <c r="M356" i="546" s="1"/>
  <c r="H356" i="546"/>
  <c r="K355" i="546" a="1"/>
  <c r="K355" i="546" s="1"/>
  <c r="M355" i="546" s="1"/>
  <c r="H355" i="546"/>
  <c r="V354" i="546"/>
  <c r="W354" i="546" s="1"/>
  <c r="N354" i="546"/>
  <c r="K354" i="546"/>
  <c r="M354" i="546" s="1"/>
  <c r="K354" i="546" a="1"/>
  <c r="J354" i="546" a="1"/>
  <c r="J354" i="546" s="1"/>
  <c r="H354" i="546"/>
  <c r="W353" i="546"/>
  <c r="V353" i="546"/>
  <c r="N353" i="546"/>
  <c r="K353" i="546" a="1"/>
  <c r="K353" i="546" s="1"/>
  <c r="M353" i="546" s="1"/>
  <c r="J353" i="546" a="1"/>
  <c r="J353" i="546" s="1"/>
  <c r="H353" i="546"/>
  <c r="V352" i="546"/>
  <c r="W352" i="546" s="1"/>
  <c r="N352" i="546"/>
  <c r="K352" i="546" a="1"/>
  <c r="K352" i="546" s="1"/>
  <c r="M352" i="546" s="1"/>
  <c r="J352" i="546" a="1"/>
  <c r="J352" i="546" s="1"/>
  <c r="H352" i="546"/>
  <c r="V351" i="546"/>
  <c r="W351" i="546" s="1"/>
  <c r="N351" i="546"/>
  <c r="K351" i="546" a="1"/>
  <c r="K351" i="546" s="1"/>
  <c r="M351" i="546" s="1"/>
  <c r="J351" i="546" a="1"/>
  <c r="J351" i="546" s="1"/>
  <c r="H351" i="546"/>
  <c r="V350" i="546"/>
  <c r="W350" i="546" s="1"/>
  <c r="N350" i="546"/>
  <c r="K350" i="546"/>
  <c r="M350" i="546" s="1"/>
  <c r="K350" i="546" a="1"/>
  <c r="J350" i="546" a="1"/>
  <c r="J350" i="546" s="1"/>
  <c r="H350" i="546"/>
  <c r="V349" i="546"/>
  <c r="V370" i="546" s="1"/>
  <c r="N349" i="546"/>
  <c r="K349" i="546"/>
  <c r="M349" i="546" s="1"/>
  <c r="K349" i="546" a="1"/>
  <c r="J349" i="546"/>
  <c r="J349" i="546" a="1"/>
  <c r="H349" i="546"/>
  <c r="H370" i="546" s="1"/>
  <c r="H507" i="546" s="1"/>
  <c r="E514" i="546" s="1"/>
  <c r="X343" i="546"/>
  <c r="X342" i="546"/>
  <c r="X341" i="546"/>
  <c r="G341" i="546"/>
  <c r="C341" i="546"/>
  <c r="X340" i="546"/>
  <c r="I340" i="546"/>
  <c r="E340" i="546"/>
  <c r="K340" i="546" s="1"/>
  <c r="M340" i="546" s="1"/>
  <c r="I339" i="546"/>
  <c r="E339" i="546"/>
  <c r="K339" i="546" s="1"/>
  <c r="M339" i="546" s="1"/>
  <c r="I338" i="546"/>
  <c r="E338" i="546"/>
  <c r="K338" i="546" s="1"/>
  <c r="M338" i="546" s="1"/>
  <c r="X337" i="546"/>
  <c r="I337" i="546"/>
  <c r="I341" i="546" s="1"/>
  <c r="E337" i="546"/>
  <c r="AA334" i="546"/>
  <c r="Z334" i="546"/>
  <c r="Y334" i="546"/>
  <c r="X334" i="546"/>
  <c r="U334" i="546"/>
  <c r="T334" i="546"/>
  <c r="S334" i="546"/>
  <c r="R334" i="546"/>
  <c r="Q334" i="546"/>
  <c r="P334" i="546"/>
  <c r="O334" i="546"/>
  <c r="I334" i="546"/>
  <c r="G334" i="546"/>
  <c r="K333" i="546" a="1"/>
  <c r="K333" i="546" s="1"/>
  <c r="H333" i="546"/>
  <c r="K332" i="546" a="1"/>
  <c r="K332" i="546" s="1"/>
  <c r="H332" i="546"/>
  <c r="K331" i="546"/>
  <c r="K331" i="546" a="1"/>
  <c r="H331" i="546"/>
  <c r="V330" i="546"/>
  <c r="W330" i="546" s="1"/>
  <c r="N330" i="546"/>
  <c r="K330" i="546" a="1"/>
  <c r="K330" i="546" s="1"/>
  <c r="H330" i="546"/>
  <c r="D330" i="546"/>
  <c r="H329" i="546"/>
  <c r="K328" i="546" a="1"/>
  <c r="K328" i="546" s="1"/>
  <c r="H328" i="546"/>
  <c r="H327" i="546"/>
  <c r="V326" i="546"/>
  <c r="W326" i="546" s="1"/>
  <c r="N326" i="546"/>
  <c r="K326" i="546" a="1"/>
  <c r="K326" i="546" s="1"/>
  <c r="M326" i="546" s="1"/>
  <c r="J326" i="546" a="1"/>
  <c r="J326" i="546" s="1"/>
  <c r="H326" i="546"/>
  <c r="V325" i="546"/>
  <c r="W325" i="546" s="1"/>
  <c r="N325" i="546"/>
  <c r="K325" i="546"/>
  <c r="M325" i="546" s="1"/>
  <c r="K325" i="546" a="1"/>
  <c r="J325" i="546"/>
  <c r="J325" i="546" a="1"/>
  <c r="H325" i="546"/>
  <c r="H324" i="546"/>
  <c r="W323" i="546"/>
  <c r="V323" i="546"/>
  <c r="N323" i="546"/>
  <c r="K323" i="546" a="1"/>
  <c r="K323" i="546" s="1"/>
  <c r="M323" i="546" s="1"/>
  <c r="J323" i="546" a="1"/>
  <c r="J323" i="546" s="1"/>
  <c r="H323" i="546"/>
  <c r="V322" i="546"/>
  <c r="W322" i="546" s="1"/>
  <c r="N322" i="546"/>
  <c r="K322" i="546" a="1"/>
  <c r="K322" i="546" s="1"/>
  <c r="M322" i="546" s="1"/>
  <c r="J322" i="546" a="1"/>
  <c r="J322" i="546" s="1"/>
  <c r="H322" i="546"/>
  <c r="V321" i="546"/>
  <c r="W321" i="546" s="1"/>
  <c r="N321" i="546"/>
  <c r="K321" i="546"/>
  <c r="M321" i="546" s="1"/>
  <c r="K321" i="546" a="1"/>
  <c r="J321" i="546"/>
  <c r="J321" i="546" a="1"/>
  <c r="H321" i="546"/>
  <c r="V320" i="546"/>
  <c r="W320" i="546" s="1"/>
  <c r="N320" i="546"/>
  <c r="N334" i="546" s="1"/>
  <c r="K320" i="546" a="1"/>
  <c r="K320" i="546" s="1"/>
  <c r="J320" i="546" a="1"/>
  <c r="J320" i="546" s="1"/>
  <c r="H320" i="546"/>
  <c r="H334" i="546" s="1"/>
  <c r="AA319" i="546"/>
  <c r="Z319" i="546"/>
  <c r="Y319" i="546"/>
  <c r="X319" i="546"/>
  <c r="U319" i="546"/>
  <c r="T319" i="546"/>
  <c r="S319" i="546"/>
  <c r="Q319" i="546"/>
  <c r="P319" i="546"/>
  <c r="O319" i="546"/>
  <c r="I319" i="546"/>
  <c r="G319" i="546"/>
  <c r="V318" i="546"/>
  <c r="W318" i="546" s="1"/>
  <c r="N318" i="546"/>
  <c r="K318" i="546"/>
  <c r="M318" i="546" s="1"/>
  <c r="K318" i="546" a="1"/>
  <c r="J318" i="546"/>
  <c r="J318" i="546" a="1"/>
  <c r="H318" i="546"/>
  <c r="H316" i="546"/>
  <c r="H315" i="546"/>
  <c r="H314" i="546"/>
  <c r="V313" i="546"/>
  <c r="W313" i="546" s="1"/>
  <c r="N313" i="546"/>
  <c r="K313" i="546"/>
  <c r="M313" i="546" s="1"/>
  <c r="K313" i="546" a="1"/>
  <c r="J313" i="546"/>
  <c r="J313" i="546" a="1"/>
  <c r="H313" i="546"/>
  <c r="V312" i="546"/>
  <c r="W312" i="546" s="1"/>
  <c r="N312" i="546"/>
  <c r="K312" i="546" a="1"/>
  <c r="K312" i="546" s="1"/>
  <c r="M312" i="546" s="1"/>
  <c r="J312" i="546" a="1"/>
  <c r="J312" i="546" s="1"/>
  <c r="H312" i="546"/>
  <c r="V311" i="546"/>
  <c r="W311" i="546" s="1"/>
  <c r="N311" i="546"/>
  <c r="K311" i="546"/>
  <c r="M311" i="546" s="1"/>
  <c r="K311" i="546" a="1"/>
  <c r="J311" i="546"/>
  <c r="J311" i="546" a="1"/>
  <c r="H311" i="546"/>
  <c r="V310" i="546"/>
  <c r="W310" i="546" s="1"/>
  <c r="N310" i="546"/>
  <c r="K310" i="546" a="1"/>
  <c r="K310" i="546" s="1"/>
  <c r="M310" i="546" s="1"/>
  <c r="J310" i="546" a="1"/>
  <c r="J310" i="546" s="1"/>
  <c r="H310" i="546"/>
  <c r="V309" i="546"/>
  <c r="V319" i="546" s="1"/>
  <c r="N309" i="546"/>
  <c r="N319" i="546" s="1"/>
  <c r="K309" i="546" a="1"/>
  <c r="K309" i="546" s="1"/>
  <c r="M309" i="546" s="1"/>
  <c r="M319" i="546" s="1"/>
  <c r="J309" i="546" a="1"/>
  <c r="J309" i="546" s="1"/>
  <c r="H309" i="546"/>
  <c r="H319" i="546" s="1"/>
  <c r="AA308" i="546"/>
  <c r="Z308" i="546"/>
  <c r="Y308" i="546"/>
  <c r="X308" i="546"/>
  <c r="U308" i="546"/>
  <c r="T308" i="546"/>
  <c r="S308" i="546"/>
  <c r="Q308" i="546"/>
  <c r="P308" i="546"/>
  <c r="O308" i="546"/>
  <c r="R340" i="546" s="1"/>
  <c r="I308" i="546"/>
  <c r="G308" i="546"/>
  <c r="V307" i="546"/>
  <c r="W307" i="546" s="1"/>
  <c r="N307" i="546"/>
  <c r="K307" i="546" a="1"/>
  <c r="K307" i="546" s="1"/>
  <c r="M307" i="546" s="1"/>
  <c r="J307" i="546" a="1"/>
  <c r="J307" i="546" s="1"/>
  <c r="H307" i="546"/>
  <c r="V306" i="546"/>
  <c r="W306" i="546" s="1"/>
  <c r="N306" i="546"/>
  <c r="K306" i="546"/>
  <c r="M306" i="546" s="1"/>
  <c r="K306" i="546" a="1"/>
  <c r="J306" i="546" a="1"/>
  <c r="J306" i="546" s="1"/>
  <c r="H306" i="546"/>
  <c r="V305" i="546"/>
  <c r="W305" i="546" s="1"/>
  <c r="N305" i="546"/>
  <c r="K305" i="546" a="1"/>
  <c r="K305" i="546" s="1"/>
  <c r="M305" i="546" s="1"/>
  <c r="J305" i="546" a="1"/>
  <c r="J305" i="546" s="1"/>
  <c r="H305" i="546"/>
  <c r="V304" i="546"/>
  <c r="W304" i="546" s="1"/>
  <c r="N304" i="546"/>
  <c r="K304" i="546" a="1"/>
  <c r="K304" i="546" s="1"/>
  <c r="M304" i="546" s="1"/>
  <c r="J304" i="546" a="1"/>
  <c r="J304" i="546" s="1"/>
  <c r="H304" i="546"/>
  <c r="V303" i="546"/>
  <c r="W303" i="546" s="1"/>
  <c r="N303" i="546"/>
  <c r="K303" i="546" a="1"/>
  <c r="K303" i="546" s="1"/>
  <c r="M303" i="546" s="1"/>
  <c r="J303" i="546" a="1"/>
  <c r="J303" i="546" s="1"/>
  <c r="H303" i="546"/>
  <c r="V302" i="546"/>
  <c r="W302" i="546" s="1"/>
  <c r="N302" i="546"/>
  <c r="K302" i="546" a="1"/>
  <c r="K302" i="546" s="1"/>
  <c r="M302" i="546" s="1"/>
  <c r="J302" i="546" a="1"/>
  <c r="J302" i="546" s="1"/>
  <c r="H302" i="546"/>
  <c r="V301" i="546"/>
  <c r="W301" i="546" s="1"/>
  <c r="N301" i="546"/>
  <c r="K301" i="546" a="1"/>
  <c r="K301" i="546" s="1"/>
  <c r="M301" i="546" s="1"/>
  <c r="J301" i="546" a="1"/>
  <c r="J301" i="546" s="1"/>
  <c r="H301" i="546"/>
  <c r="V300" i="546"/>
  <c r="W300" i="546" s="1"/>
  <c r="N300" i="546"/>
  <c r="K300" i="546" a="1"/>
  <c r="K300" i="546" s="1"/>
  <c r="M300" i="546" s="1"/>
  <c r="J300" i="546" a="1"/>
  <c r="J300" i="546" s="1"/>
  <c r="H300" i="546"/>
  <c r="V299" i="546"/>
  <c r="W299" i="546" s="1"/>
  <c r="N299" i="546"/>
  <c r="K299" i="546" a="1"/>
  <c r="K299" i="546" s="1"/>
  <c r="M299" i="546" s="1"/>
  <c r="J299" i="546" a="1"/>
  <c r="J299" i="546" s="1"/>
  <c r="H299" i="546"/>
  <c r="V298" i="546"/>
  <c r="W298" i="546" s="1"/>
  <c r="N298" i="546"/>
  <c r="K298" i="546"/>
  <c r="M298" i="546" s="1"/>
  <c r="K298" i="546" a="1"/>
  <c r="J298" i="546"/>
  <c r="J298" i="546" a="1"/>
  <c r="H298" i="546"/>
  <c r="V297" i="546"/>
  <c r="W297" i="546" s="1"/>
  <c r="N297" i="546"/>
  <c r="K297" i="546" a="1"/>
  <c r="K297" i="546" s="1"/>
  <c r="M297" i="546" s="1"/>
  <c r="J297" i="546" a="1"/>
  <c r="J297" i="546" s="1"/>
  <c r="H297" i="546"/>
  <c r="V296" i="546"/>
  <c r="W296" i="546" s="1"/>
  <c r="N296" i="546"/>
  <c r="K296" i="546"/>
  <c r="M296" i="546" s="1"/>
  <c r="K296" i="546" a="1"/>
  <c r="J296" i="546"/>
  <c r="J296" i="546" a="1"/>
  <c r="H296" i="546"/>
  <c r="V295" i="546"/>
  <c r="W295" i="546" s="1"/>
  <c r="N295" i="546"/>
  <c r="K295" i="546" a="1"/>
  <c r="K295" i="546" s="1"/>
  <c r="M295" i="546" s="1"/>
  <c r="J295" i="546" a="1"/>
  <c r="J295" i="546" s="1"/>
  <c r="H295" i="546"/>
  <c r="V294" i="546"/>
  <c r="W294" i="546" s="1"/>
  <c r="N294" i="546"/>
  <c r="K294" i="546"/>
  <c r="M294" i="546" s="1"/>
  <c r="K294" i="546" a="1"/>
  <c r="J294" i="546"/>
  <c r="J294" i="546" a="1"/>
  <c r="H294" i="546"/>
  <c r="V293" i="546"/>
  <c r="W293" i="546" s="1"/>
  <c r="N293" i="546"/>
  <c r="N308" i="546" s="1"/>
  <c r="K293" i="546" a="1"/>
  <c r="K293" i="546" s="1"/>
  <c r="J293" i="546" a="1"/>
  <c r="J293" i="546" s="1"/>
  <c r="H293" i="546"/>
  <c r="AA292" i="546"/>
  <c r="Z292" i="546"/>
  <c r="Y292" i="546"/>
  <c r="X292" i="546"/>
  <c r="U292" i="546"/>
  <c r="T292" i="546"/>
  <c r="S292" i="546"/>
  <c r="R292" i="546"/>
  <c r="Q292" i="546"/>
  <c r="P292" i="546"/>
  <c r="O292" i="546"/>
  <c r="R339" i="546" s="1"/>
  <c r="I292" i="546"/>
  <c r="G292" i="546"/>
  <c r="V291" i="546"/>
  <c r="W291" i="546" s="1"/>
  <c r="N291" i="546"/>
  <c r="K291" i="546" a="1"/>
  <c r="K291" i="546" s="1"/>
  <c r="M291" i="546" s="1"/>
  <c r="J291" i="546" a="1"/>
  <c r="J291" i="546" s="1"/>
  <c r="H291" i="546"/>
  <c r="V290" i="546"/>
  <c r="W290" i="546" s="1"/>
  <c r="N290" i="546"/>
  <c r="K290" i="546" a="1"/>
  <c r="K290" i="546" s="1"/>
  <c r="M290" i="546" s="1"/>
  <c r="J290" i="546" a="1"/>
  <c r="J290" i="546" s="1"/>
  <c r="H290" i="546"/>
  <c r="V289" i="546"/>
  <c r="W289" i="546" s="1"/>
  <c r="N289" i="546"/>
  <c r="K289" i="546" a="1"/>
  <c r="K289" i="546" s="1"/>
  <c r="M289" i="546" s="1"/>
  <c r="J289" i="546" a="1"/>
  <c r="J289" i="546" s="1"/>
  <c r="H289" i="546"/>
  <c r="H288" i="546"/>
  <c r="H287" i="546"/>
  <c r="H286" i="546"/>
  <c r="V285" i="546"/>
  <c r="W285" i="546" s="1"/>
  <c r="N285" i="546"/>
  <c r="K285" i="546" a="1"/>
  <c r="K285" i="546" s="1"/>
  <c r="M285" i="546" s="1"/>
  <c r="J285" i="546" a="1"/>
  <c r="J285" i="546" s="1"/>
  <c r="H285" i="546"/>
  <c r="V284" i="546"/>
  <c r="W284" i="546" s="1"/>
  <c r="N284" i="546"/>
  <c r="K284" i="546"/>
  <c r="M284" i="546" s="1"/>
  <c r="K284" i="546" a="1"/>
  <c r="J284" i="546"/>
  <c r="J284" i="546" a="1"/>
  <c r="H284" i="546"/>
  <c r="N283" i="546"/>
  <c r="K283" i="546" a="1"/>
  <c r="K283" i="546" s="1"/>
  <c r="M283" i="546" s="1"/>
  <c r="H283" i="546"/>
  <c r="N282" i="546"/>
  <c r="K282" i="546" a="1"/>
  <c r="K282" i="546" s="1"/>
  <c r="M282" i="546" s="1"/>
  <c r="H282" i="546"/>
  <c r="N281" i="546"/>
  <c r="K281" i="546" a="1"/>
  <c r="K281" i="546" s="1"/>
  <c r="M281" i="546" s="1"/>
  <c r="H281" i="546"/>
  <c r="N280" i="546"/>
  <c r="K280" i="546"/>
  <c r="M280" i="546" s="1"/>
  <c r="K280" i="546" a="1"/>
  <c r="H280" i="546"/>
  <c r="N279" i="546"/>
  <c r="K279" i="546" a="1"/>
  <c r="K279" i="546" s="1"/>
  <c r="M279" i="546" s="1"/>
  <c r="H279" i="546"/>
  <c r="N278" i="546"/>
  <c r="K278" i="546" a="1"/>
  <c r="K278" i="546" s="1"/>
  <c r="M278" i="546" s="1"/>
  <c r="H278" i="546"/>
  <c r="V277" i="546"/>
  <c r="W277" i="546" s="1"/>
  <c r="N277" i="546"/>
  <c r="K277" i="546" a="1"/>
  <c r="K277" i="546" s="1"/>
  <c r="M277" i="546" s="1"/>
  <c r="J277" i="546" a="1"/>
  <c r="J277" i="546" s="1"/>
  <c r="H277" i="546"/>
  <c r="V276" i="546"/>
  <c r="W276" i="546" s="1"/>
  <c r="N276" i="546"/>
  <c r="K276" i="546" a="1"/>
  <c r="K276" i="546" s="1"/>
  <c r="M276" i="546" s="1"/>
  <c r="J276" i="546" a="1"/>
  <c r="J276" i="546" s="1"/>
  <c r="H276" i="546"/>
  <c r="V275" i="546"/>
  <c r="W275" i="546" s="1"/>
  <c r="N275" i="546"/>
  <c r="K275" i="546" a="1"/>
  <c r="K275" i="546" s="1"/>
  <c r="M275" i="546" s="1"/>
  <c r="J275" i="546" a="1"/>
  <c r="J275" i="546" s="1"/>
  <c r="H275" i="546"/>
  <c r="V274" i="546"/>
  <c r="W274" i="546" s="1"/>
  <c r="N274" i="546"/>
  <c r="K274" i="546" a="1"/>
  <c r="K274" i="546" s="1"/>
  <c r="M274" i="546" s="1"/>
  <c r="J274" i="546" a="1"/>
  <c r="J274" i="546" s="1"/>
  <c r="H274" i="546"/>
  <c r="V273" i="546"/>
  <c r="W273" i="546" s="1"/>
  <c r="N273" i="546"/>
  <c r="K273" i="546" a="1"/>
  <c r="K273" i="546" s="1"/>
  <c r="M273" i="546" s="1"/>
  <c r="J273" i="546" a="1"/>
  <c r="J273" i="546" s="1"/>
  <c r="H273" i="546"/>
  <c r="V272" i="546"/>
  <c r="W272" i="546" s="1"/>
  <c r="N272" i="546"/>
  <c r="K272" i="546" a="1"/>
  <c r="K272" i="546" s="1"/>
  <c r="M272" i="546" s="1"/>
  <c r="J272" i="546" a="1"/>
  <c r="J272" i="546" s="1"/>
  <c r="H272" i="546"/>
  <c r="V271" i="546"/>
  <c r="W271" i="546" s="1"/>
  <c r="N271" i="546"/>
  <c r="K271" i="546" a="1"/>
  <c r="K271" i="546" s="1"/>
  <c r="M271" i="546" s="1"/>
  <c r="J271" i="546" a="1"/>
  <c r="J271" i="546" s="1"/>
  <c r="H271" i="546"/>
  <c r="V270" i="546"/>
  <c r="W270" i="546" s="1"/>
  <c r="N270" i="546"/>
  <c r="K270" i="546" a="1"/>
  <c r="K270" i="546" s="1"/>
  <c r="M270" i="546" s="1"/>
  <c r="J270" i="546" a="1"/>
  <c r="J270" i="546" s="1"/>
  <c r="H270" i="546"/>
  <c r="V269" i="546"/>
  <c r="W269" i="546" s="1"/>
  <c r="N269" i="546"/>
  <c r="K269" i="546" a="1"/>
  <c r="K269" i="546" s="1"/>
  <c r="M269" i="546" s="1"/>
  <c r="J269" i="546" a="1"/>
  <c r="J269" i="546" s="1"/>
  <c r="H269" i="546"/>
  <c r="V268" i="546"/>
  <c r="W268" i="546" s="1"/>
  <c r="N268" i="546"/>
  <c r="K268" i="546"/>
  <c r="M268" i="546" s="1"/>
  <c r="K268" i="546" a="1"/>
  <c r="J268" i="546"/>
  <c r="J268" i="546" a="1"/>
  <c r="H268" i="546"/>
  <c r="V267" i="546"/>
  <c r="W267" i="546" s="1"/>
  <c r="N267" i="546"/>
  <c r="K267" i="546" a="1"/>
  <c r="K267" i="546" s="1"/>
  <c r="M267" i="546" s="1"/>
  <c r="J267" i="546" a="1"/>
  <c r="J267" i="546" s="1"/>
  <c r="H267" i="546"/>
  <c r="W266" i="546"/>
  <c r="V266" i="546"/>
  <c r="N266" i="546"/>
  <c r="K266" i="546" a="1"/>
  <c r="K266" i="546" s="1"/>
  <c r="M266" i="546" s="1"/>
  <c r="J266" i="546" a="1"/>
  <c r="J266" i="546" s="1"/>
  <c r="H266" i="546"/>
  <c r="N265" i="546"/>
  <c r="K265" i="546" a="1"/>
  <c r="K265" i="546" s="1"/>
  <c r="M265" i="546" s="1"/>
  <c r="H265" i="546"/>
  <c r="V264" i="546"/>
  <c r="W264" i="546" s="1"/>
  <c r="N264" i="546"/>
  <c r="K264" i="546" a="1"/>
  <c r="K264" i="546" s="1"/>
  <c r="M264" i="546" s="1"/>
  <c r="J264" i="546" a="1"/>
  <c r="J264" i="546" s="1"/>
  <c r="H264" i="546"/>
  <c r="V263" i="546"/>
  <c r="W263" i="546" s="1"/>
  <c r="N263" i="546"/>
  <c r="K263" i="546" a="1"/>
  <c r="K263" i="546" s="1"/>
  <c r="M263" i="546" s="1"/>
  <c r="J263" i="546" a="1"/>
  <c r="J263" i="546" s="1"/>
  <c r="H263" i="546"/>
  <c r="V262" i="546"/>
  <c r="W262" i="546" s="1"/>
  <c r="N262" i="546"/>
  <c r="K262" i="546" a="1"/>
  <c r="K262" i="546" s="1"/>
  <c r="M262" i="546" s="1"/>
  <c r="J262" i="546" a="1"/>
  <c r="J262" i="546" s="1"/>
  <c r="H262" i="546"/>
  <c r="V261" i="546"/>
  <c r="W261" i="546" s="1"/>
  <c r="N261" i="546"/>
  <c r="K261" i="546" a="1"/>
  <c r="K261" i="546" s="1"/>
  <c r="M261" i="546" s="1"/>
  <c r="J261" i="546" a="1"/>
  <c r="J261" i="546" s="1"/>
  <c r="H261" i="546"/>
  <c r="V260" i="546"/>
  <c r="W260" i="546" s="1"/>
  <c r="N260" i="546"/>
  <c r="K260" i="546" a="1"/>
  <c r="K260" i="546" s="1"/>
  <c r="M260" i="546" s="1"/>
  <c r="J260" i="546" a="1"/>
  <c r="J260" i="546" s="1"/>
  <c r="H260" i="546"/>
  <c r="V259" i="546"/>
  <c r="W259" i="546" s="1"/>
  <c r="N259" i="546"/>
  <c r="K259" i="546" a="1"/>
  <c r="K259" i="546" s="1"/>
  <c r="M259" i="546" s="1"/>
  <c r="J259" i="546" a="1"/>
  <c r="J259" i="546" s="1"/>
  <c r="H259" i="546"/>
  <c r="V258" i="546"/>
  <c r="N258" i="546"/>
  <c r="N292" i="546" s="1"/>
  <c r="K258" i="546" a="1"/>
  <c r="K258" i="546" s="1"/>
  <c r="J258" i="546" a="1"/>
  <c r="J258" i="546" s="1"/>
  <c r="H258" i="546"/>
  <c r="AA257" i="546"/>
  <c r="Z257" i="546"/>
  <c r="Y257" i="546"/>
  <c r="X257" i="546"/>
  <c r="U257" i="546"/>
  <c r="T257" i="546"/>
  <c r="S257" i="546"/>
  <c r="R257" i="546"/>
  <c r="Q257" i="546"/>
  <c r="P257" i="546"/>
  <c r="O257" i="546"/>
  <c r="R338" i="546" s="1"/>
  <c r="I257" i="546"/>
  <c r="G257" i="546"/>
  <c r="H256" i="546"/>
  <c r="H255" i="546"/>
  <c r="H254" i="546"/>
  <c r="H253" i="546"/>
  <c r="H252" i="546"/>
  <c r="H251" i="546"/>
  <c r="K250" i="546" a="1"/>
  <c r="K250" i="546" s="1"/>
  <c r="M250" i="546" s="1"/>
  <c r="H250" i="546"/>
  <c r="K249" i="546" a="1"/>
  <c r="K249" i="546" s="1"/>
  <c r="M249" i="546" s="1"/>
  <c r="H249" i="546"/>
  <c r="K248" i="546" a="1"/>
  <c r="K248" i="546" s="1"/>
  <c r="M248" i="546" s="1"/>
  <c r="H248" i="546"/>
  <c r="K247" i="546" a="1"/>
  <c r="K247" i="546" s="1"/>
  <c r="M247" i="546" s="1"/>
  <c r="H247" i="546"/>
  <c r="W246" i="546"/>
  <c r="V246" i="546"/>
  <c r="N246" i="546"/>
  <c r="K246" i="546" a="1"/>
  <c r="K246" i="546" s="1"/>
  <c r="M246" i="546" s="1"/>
  <c r="J246" i="546" a="1"/>
  <c r="J246" i="546" s="1"/>
  <c r="H246" i="546"/>
  <c r="V245" i="546"/>
  <c r="W245" i="546" s="1"/>
  <c r="N245" i="546"/>
  <c r="K245" i="546" a="1"/>
  <c r="K245" i="546" s="1"/>
  <c r="M245" i="546" s="1"/>
  <c r="J245" i="546" a="1"/>
  <c r="J245" i="546" s="1"/>
  <c r="H245" i="546"/>
  <c r="V244" i="546"/>
  <c r="W244" i="546" s="1"/>
  <c r="N244" i="546"/>
  <c r="K244" i="546" a="1"/>
  <c r="K244" i="546" s="1"/>
  <c r="M244" i="546" s="1"/>
  <c r="J244" i="546" a="1"/>
  <c r="J244" i="546" s="1"/>
  <c r="H244" i="546"/>
  <c r="V243" i="546"/>
  <c r="W243" i="546" s="1"/>
  <c r="N243" i="546"/>
  <c r="K243" i="546" a="1"/>
  <c r="K243" i="546" s="1"/>
  <c r="M243" i="546" s="1"/>
  <c r="J243" i="546" a="1"/>
  <c r="J243" i="546" s="1"/>
  <c r="H243" i="546"/>
  <c r="M242" i="546"/>
  <c r="H242" i="546"/>
  <c r="V241" i="546"/>
  <c r="W241" i="546" s="1"/>
  <c r="N241" i="546"/>
  <c r="K241" i="546" a="1"/>
  <c r="K241" i="546" s="1"/>
  <c r="M241" i="546" s="1"/>
  <c r="J241" i="546" a="1"/>
  <c r="J241" i="546" s="1"/>
  <c r="H241" i="546"/>
  <c r="V240" i="546"/>
  <c r="W240" i="546" s="1"/>
  <c r="N240" i="546"/>
  <c r="M240" i="546"/>
  <c r="K240" i="546" a="1"/>
  <c r="K240" i="546" s="1"/>
  <c r="J240" i="546" a="1"/>
  <c r="J240" i="546" s="1"/>
  <c r="H240" i="546"/>
  <c r="M239" i="546"/>
  <c r="K239" i="546" a="1"/>
  <c r="K239" i="546" s="1"/>
  <c r="H239" i="546"/>
  <c r="H238" i="546"/>
  <c r="V237" i="546"/>
  <c r="W237" i="546" s="1"/>
  <c r="N237" i="546"/>
  <c r="M237" i="546"/>
  <c r="K237" i="546" a="1"/>
  <c r="K237" i="546" s="1"/>
  <c r="J237" i="546" a="1"/>
  <c r="J237" i="546" s="1"/>
  <c r="H237" i="546"/>
  <c r="W236" i="546"/>
  <c r="V236" i="546"/>
  <c r="N236" i="546"/>
  <c r="K236" i="546" a="1"/>
  <c r="K236" i="546" s="1"/>
  <c r="M236" i="546" s="1"/>
  <c r="J236" i="546" a="1"/>
  <c r="J236" i="546" s="1"/>
  <c r="H236" i="546"/>
  <c r="W235" i="546"/>
  <c r="V235" i="546"/>
  <c r="N235" i="546"/>
  <c r="K235" i="546" a="1"/>
  <c r="K235" i="546" s="1"/>
  <c r="M235" i="546" s="1"/>
  <c r="J235" i="546" a="1"/>
  <c r="J235" i="546" s="1"/>
  <c r="H235" i="546"/>
  <c r="V234" i="546"/>
  <c r="W234" i="546" s="1"/>
  <c r="N234" i="546"/>
  <c r="K234" i="546" a="1"/>
  <c r="K234" i="546" s="1"/>
  <c r="M234" i="546" s="1"/>
  <c r="J234" i="546" a="1"/>
  <c r="J234" i="546" s="1"/>
  <c r="H234" i="546"/>
  <c r="V233" i="546"/>
  <c r="W233" i="546" s="1"/>
  <c r="N233" i="546"/>
  <c r="K233" i="546" a="1"/>
  <c r="K233" i="546" s="1"/>
  <c r="M233" i="546" s="1"/>
  <c r="J233" i="546" a="1"/>
  <c r="J233" i="546" s="1"/>
  <c r="H233" i="546"/>
  <c r="V232" i="546"/>
  <c r="W232" i="546" s="1"/>
  <c r="N232" i="546"/>
  <c r="K232" i="546" a="1"/>
  <c r="K232" i="546" s="1"/>
  <c r="M232" i="546" s="1"/>
  <c r="J232" i="546" a="1"/>
  <c r="J232" i="546" s="1"/>
  <c r="H232" i="546"/>
  <c r="V231" i="546"/>
  <c r="W231" i="546" s="1"/>
  <c r="N231" i="546"/>
  <c r="K231" i="546" a="1"/>
  <c r="K231" i="546" s="1"/>
  <c r="M231" i="546" s="1"/>
  <c r="J231" i="546" a="1"/>
  <c r="J231" i="546" s="1"/>
  <c r="H231" i="546"/>
  <c r="V230" i="546"/>
  <c r="W230" i="546" s="1"/>
  <c r="N230" i="546"/>
  <c r="K230" i="546" a="1"/>
  <c r="K230" i="546" s="1"/>
  <c r="M230" i="546" s="1"/>
  <c r="J230" i="546" a="1"/>
  <c r="J230" i="546" s="1"/>
  <c r="H230" i="546"/>
  <c r="V229" i="546"/>
  <c r="W229" i="546" s="1"/>
  <c r="N229" i="546"/>
  <c r="K229" i="546" a="1"/>
  <c r="K229" i="546" s="1"/>
  <c r="M229" i="546" s="1"/>
  <c r="J229" i="546" a="1"/>
  <c r="J229" i="546" s="1"/>
  <c r="H229" i="546"/>
  <c r="V228" i="546"/>
  <c r="W228" i="546" s="1"/>
  <c r="N228" i="546"/>
  <c r="K228" i="546" a="1"/>
  <c r="K228" i="546" s="1"/>
  <c r="M228" i="546" s="1"/>
  <c r="J228" i="546" a="1"/>
  <c r="J228" i="546" s="1"/>
  <c r="H228" i="546"/>
  <c r="N227" i="546"/>
  <c r="K227" i="546"/>
  <c r="M227" i="546" s="1"/>
  <c r="K227" i="546" a="1"/>
  <c r="H227" i="546"/>
  <c r="N226" i="546"/>
  <c r="K226" i="546" a="1"/>
  <c r="K226" i="546" s="1"/>
  <c r="M226" i="546" s="1"/>
  <c r="H226" i="546"/>
  <c r="N225" i="546"/>
  <c r="K225" i="546" a="1"/>
  <c r="K225" i="546" s="1"/>
  <c r="M225" i="546" s="1"/>
  <c r="H225" i="546"/>
  <c r="N224" i="546"/>
  <c r="K224" i="546" a="1"/>
  <c r="K224" i="546" s="1"/>
  <c r="M224" i="546" s="1"/>
  <c r="H224" i="546"/>
  <c r="N223" i="546"/>
  <c r="K223" i="546"/>
  <c r="M223" i="546" s="1"/>
  <c r="K223" i="546" a="1"/>
  <c r="H223" i="546"/>
  <c r="N222" i="546"/>
  <c r="K222" i="546" a="1"/>
  <c r="K222" i="546" s="1"/>
  <c r="M222" i="546" s="1"/>
  <c r="H222" i="546"/>
  <c r="N221" i="546"/>
  <c r="K221" i="546"/>
  <c r="M221" i="546" s="1"/>
  <c r="K221" i="546" a="1"/>
  <c r="H221" i="546"/>
  <c r="N220" i="546"/>
  <c r="K220" i="546" a="1"/>
  <c r="K220" i="546" s="1"/>
  <c r="M220" i="546" s="1"/>
  <c r="H220" i="546"/>
  <c r="W219" i="546"/>
  <c r="V219" i="546"/>
  <c r="N219" i="546"/>
  <c r="K219" i="546" a="1"/>
  <c r="K219" i="546" s="1"/>
  <c r="M219" i="546" s="1"/>
  <c r="J219" i="546" a="1"/>
  <c r="J219" i="546" s="1"/>
  <c r="H219" i="546"/>
  <c r="V218" i="546"/>
  <c r="W218" i="546" s="1"/>
  <c r="N218" i="546"/>
  <c r="K218" i="546" a="1"/>
  <c r="K218" i="546" s="1"/>
  <c r="M218" i="546" s="1"/>
  <c r="J218" i="546" a="1"/>
  <c r="J218" i="546" s="1"/>
  <c r="H218" i="546"/>
  <c r="V217" i="546"/>
  <c r="W217" i="546" s="1"/>
  <c r="N217" i="546"/>
  <c r="K217" i="546" a="1"/>
  <c r="K217" i="546" s="1"/>
  <c r="M217" i="546" s="1"/>
  <c r="J217" i="546" a="1"/>
  <c r="J217" i="546" s="1"/>
  <c r="H217" i="546"/>
  <c r="V216" i="546"/>
  <c r="W216" i="546" s="1"/>
  <c r="N216" i="546"/>
  <c r="K216" i="546" a="1"/>
  <c r="K216" i="546" s="1"/>
  <c r="M216" i="546" s="1"/>
  <c r="J216" i="546" a="1"/>
  <c r="J216" i="546" s="1"/>
  <c r="H216" i="546"/>
  <c r="V215" i="546"/>
  <c r="W215" i="546" s="1"/>
  <c r="N215" i="546"/>
  <c r="K215" i="546" a="1"/>
  <c r="K215" i="546" s="1"/>
  <c r="M215" i="546" s="1"/>
  <c r="J215" i="546" a="1"/>
  <c r="J215" i="546" s="1"/>
  <c r="H215" i="546"/>
  <c r="V214" i="546"/>
  <c r="W214" i="546" s="1"/>
  <c r="N214" i="546"/>
  <c r="K214" i="546" a="1"/>
  <c r="K214" i="546" s="1"/>
  <c r="M214" i="546" s="1"/>
  <c r="J214" i="546" a="1"/>
  <c r="J214" i="546" s="1"/>
  <c r="H214" i="546"/>
  <c r="V213" i="546"/>
  <c r="W213" i="546" s="1"/>
  <c r="N213" i="546"/>
  <c r="K213" i="546" a="1"/>
  <c r="K213" i="546" s="1"/>
  <c r="M213" i="546" s="1"/>
  <c r="J213" i="546" a="1"/>
  <c r="J213" i="546" s="1"/>
  <c r="H213" i="546"/>
  <c r="V212" i="546"/>
  <c r="W212" i="546" s="1"/>
  <c r="N212" i="546"/>
  <c r="K212" i="546" a="1"/>
  <c r="K212" i="546" s="1"/>
  <c r="M212" i="546" s="1"/>
  <c r="J212" i="546" a="1"/>
  <c r="J212" i="546" s="1"/>
  <c r="H212" i="546"/>
  <c r="V211" i="546"/>
  <c r="W211" i="546" s="1"/>
  <c r="N211" i="546"/>
  <c r="K211" i="546" a="1"/>
  <c r="K211" i="546" s="1"/>
  <c r="M211" i="546" s="1"/>
  <c r="J211" i="546" a="1"/>
  <c r="J211" i="546" s="1"/>
  <c r="H211" i="546"/>
  <c r="V210" i="546"/>
  <c r="W210" i="546" s="1"/>
  <c r="N210" i="546"/>
  <c r="K210" i="546" a="1"/>
  <c r="K210" i="546" s="1"/>
  <c r="M210" i="546" s="1"/>
  <c r="J210" i="546" a="1"/>
  <c r="J210" i="546" s="1"/>
  <c r="H210" i="546"/>
  <c r="V209" i="546"/>
  <c r="W209" i="546" s="1"/>
  <c r="N209" i="546"/>
  <c r="K209" i="546" a="1"/>
  <c r="K209" i="546" s="1"/>
  <c r="M209" i="546" s="1"/>
  <c r="J209" i="546" a="1"/>
  <c r="J209" i="546" s="1"/>
  <c r="H209" i="546"/>
  <c r="V208" i="546"/>
  <c r="W208" i="546" s="1"/>
  <c r="N208" i="546"/>
  <c r="K208" i="546" a="1"/>
  <c r="K208" i="546" s="1"/>
  <c r="M208" i="546" s="1"/>
  <c r="J208" i="546" a="1"/>
  <c r="J208" i="546" s="1"/>
  <c r="H208" i="546"/>
  <c r="H207" i="546"/>
  <c r="H206" i="546"/>
  <c r="H205" i="546"/>
  <c r="V204" i="546"/>
  <c r="W204" i="546" s="1"/>
  <c r="N204" i="546"/>
  <c r="K204" i="546" a="1"/>
  <c r="K204" i="546" s="1"/>
  <c r="M204" i="546" s="1"/>
  <c r="J204" i="546" a="1"/>
  <c r="J204" i="546" s="1"/>
  <c r="H204" i="546"/>
  <c r="V203" i="546"/>
  <c r="W203" i="546" s="1"/>
  <c r="N203" i="546"/>
  <c r="K203" i="546" a="1"/>
  <c r="K203" i="546" s="1"/>
  <c r="M203" i="546" s="1"/>
  <c r="J203" i="546" a="1"/>
  <c r="J203" i="546" s="1"/>
  <c r="H203" i="546"/>
  <c r="V202" i="546"/>
  <c r="W202" i="546" s="1"/>
  <c r="N202" i="546"/>
  <c r="K202" i="546" a="1"/>
  <c r="K202" i="546" s="1"/>
  <c r="M202" i="546" s="1"/>
  <c r="J202" i="546" a="1"/>
  <c r="J202" i="546" s="1"/>
  <c r="H202" i="546"/>
  <c r="H201" i="546"/>
  <c r="V200" i="546"/>
  <c r="N200" i="546"/>
  <c r="K200" i="546" a="1"/>
  <c r="K200" i="546" s="1"/>
  <c r="J200" i="546" a="1"/>
  <c r="J200" i="546" s="1"/>
  <c r="H200" i="546"/>
  <c r="AA199" i="546"/>
  <c r="AA335" i="546" s="1"/>
  <c r="Z199" i="546"/>
  <c r="Z335" i="546" s="1"/>
  <c r="Y199" i="546"/>
  <c r="Y335" i="546" s="1"/>
  <c r="X199" i="546"/>
  <c r="X335" i="546" s="1"/>
  <c r="U199" i="546"/>
  <c r="U335" i="546" s="1"/>
  <c r="T199" i="546"/>
  <c r="T335" i="546" s="1"/>
  <c r="S199" i="546"/>
  <c r="S335" i="546" s="1"/>
  <c r="R199" i="546"/>
  <c r="R335" i="546" s="1"/>
  <c r="Q199" i="546"/>
  <c r="Q335" i="546" s="1"/>
  <c r="P199" i="546"/>
  <c r="O199" i="546"/>
  <c r="I199" i="546"/>
  <c r="I335" i="546" s="1"/>
  <c r="B343" i="546" s="1"/>
  <c r="G199" i="546"/>
  <c r="G335" i="546" s="1"/>
  <c r="V198" i="546"/>
  <c r="W198" i="546" s="1"/>
  <c r="N198" i="546"/>
  <c r="K198" i="546" a="1"/>
  <c r="K198" i="546" s="1"/>
  <c r="M198" i="546" s="1"/>
  <c r="J198" i="546" a="1"/>
  <c r="J198" i="546" s="1"/>
  <c r="H198" i="546"/>
  <c r="V197" i="546"/>
  <c r="W197" i="546" s="1"/>
  <c r="N197" i="546"/>
  <c r="K197" i="546" a="1"/>
  <c r="K197" i="546" s="1"/>
  <c r="M197" i="546" s="1"/>
  <c r="J197" i="546" a="1"/>
  <c r="J197" i="546" s="1"/>
  <c r="H197" i="546"/>
  <c r="K196" i="546"/>
  <c r="M196" i="546" s="1"/>
  <c r="K196" i="546" a="1"/>
  <c r="H196" i="546"/>
  <c r="K195" i="546" a="1"/>
  <c r="K195" i="546" s="1"/>
  <c r="M195" i="546" s="1"/>
  <c r="H195" i="546"/>
  <c r="K194" i="546"/>
  <c r="M194" i="546" s="1"/>
  <c r="K194" i="546" a="1"/>
  <c r="H194" i="546"/>
  <c r="K193" i="546" a="1"/>
  <c r="K193" i="546" s="1"/>
  <c r="M193" i="546" s="1"/>
  <c r="H193" i="546"/>
  <c r="V192" i="546"/>
  <c r="W192" i="546" s="1"/>
  <c r="N192" i="546"/>
  <c r="K192" i="546" a="1"/>
  <c r="K192" i="546" s="1"/>
  <c r="M192" i="546" s="1"/>
  <c r="J192" i="546" a="1"/>
  <c r="J192" i="546" s="1"/>
  <c r="H192" i="546"/>
  <c r="V191" i="546"/>
  <c r="W191" i="546" s="1"/>
  <c r="N191" i="546"/>
  <c r="K191" i="546" a="1"/>
  <c r="K191" i="546" s="1"/>
  <c r="M191" i="546" s="1"/>
  <c r="J191" i="546" a="1"/>
  <c r="J191" i="546" s="1"/>
  <c r="H191" i="546"/>
  <c r="V190" i="546"/>
  <c r="W190" i="546" s="1"/>
  <c r="N190" i="546"/>
  <c r="K190" i="546" a="1"/>
  <c r="K190" i="546" s="1"/>
  <c r="M190" i="546" s="1"/>
  <c r="J190" i="546" a="1"/>
  <c r="J190" i="546" s="1"/>
  <c r="H190" i="546"/>
  <c r="N189" i="546"/>
  <c r="K189" i="546"/>
  <c r="M189" i="546" s="1"/>
  <c r="K189" i="546" a="1"/>
  <c r="J189" i="546"/>
  <c r="J189" i="546" a="1"/>
  <c r="H189" i="546"/>
  <c r="N188" i="546"/>
  <c r="K188" i="546" a="1"/>
  <c r="K188" i="546" s="1"/>
  <c r="M188" i="546" s="1"/>
  <c r="J188" i="546" a="1"/>
  <c r="J188" i="546" s="1"/>
  <c r="H188" i="546"/>
  <c r="V187" i="546"/>
  <c r="W187" i="546" s="1"/>
  <c r="N187" i="546"/>
  <c r="K187" i="546"/>
  <c r="M187" i="546" s="1"/>
  <c r="K187" i="546" a="1"/>
  <c r="J187" i="546"/>
  <c r="J187" i="546" a="1"/>
  <c r="H187" i="546"/>
  <c r="V186" i="546"/>
  <c r="W186" i="546" s="1"/>
  <c r="N186" i="546"/>
  <c r="K186" i="546" a="1"/>
  <c r="K186" i="546" s="1"/>
  <c r="M186" i="546" s="1"/>
  <c r="J186" i="546" a="1"/>
  <c r="J186" i="546" s="1"/>
  <c r="H186" i="546"/>
  <c r="N185" i="546"/>
  <c r="K185" i="546" a="1"/>
  <c r="K185" i="546" s="1"/>
  <c r="M185" i="546" s="1"/>
  <c r="H185" i="546"/>
  <c r="N184" i="546"/>
  <c r="K184" i="546" a="1"/>
  <c r="K184" i="546" s="1"/>
  <c r="M184" i="546" s="1"/>
  <c r="H184" i="546"/>
  <c r="V183" i="546"/>
  <c r="W183" i="546" s="1"/>
  <c r="N183" i="546"/>
  <c r="K183" i="546"/>
  <c r="M183" i="546" s="1"/>
  <c r="K183" i="546" a="1"/>
  <c r="J183" i="546"/>
  <c r="J183" i="546" a="1"/>
  <c r="H183" i="546"/>
  <c r="V182" i="546"/>
  <c r="W182" i="546" s="1"/>
  <c r="N182" i="546"/>
  <c r="K182" i="546" a="1"/>
  <c r="K182" i="546" s="1"/>
  <c r="M182" i="546" s="1"/>
  <c r="J182" i="546" a="1"/>
  <c r="J182" i="546" s="1"/>
  <c r="H182" i="546"/>
  <c r="V181" i="546"/>
  <c r="W181" i="546" s="1"/>
  <c r="N181" i="546"/>
  <c r="K181" i="546" a="1"/>
  <c r="K181" i="546" s="1"/>
  <c r="M181" i="546" s="1"/>
  <c r="J181" i="546" a="1"/>
  <c r="J181" i="546" s="1"/>
  <c r="H181" i="546"/>
  <c r="V180" i="546"/>
  <c r="W180" i="546" s="1"/>
  <c r="N180" i="546"/>
  <c r="K180" i="546" a="1"/>
  <c r="K180" i="546" s="1"/>
  <c r="M180" i="546" s="1"/>
  <c r="J180" i="546" a="1"/>
  <c r="J180" i="546" s="1"/>
  <c r="H180" i="546"/>
  <c r="V179" i="546"/>
  <c r="W179" i="546" s="1"/>
  <c r="N179" i="546"/>
  <c r="K179" i="546" a="1"/>
  <c r="K179" i="546" s="1"/>
  <c r="M179" i="546" s="1"/>
  <c r="J179" i="546" a="1"/>
  <c r="J179" i="546" s="1"/>
  <c r="H179" i="546"/>
  <c r="V178" i="546"/>
  <c r="V199" i="546" s="1"/>
  <c r="N178" i="546"/>
  <c r="K178" i="546" a="1"/>
  <c r="K178" i="546" s="1"/>
  <c r="J178" i="546" a="1"/>
  <c r="J178" i="546" s="1"/>
  <c r="H178" i="546"/>
  <c r="H199" i="546" s="1"/>
  <c r="X171" i="546"/>
  <c r="Q529" i="546" s="1"/>
  <c r="X170" i="546"/>
  <c r="Q528" i="546" s="1"/>
  <c r="G170" i="546"/>
  <c r="C170" i="546"/>
  <c r="X169" i="546"/>
  <c r="Q527" i="546" s="1"/>
  <c r="I169" i="546"/>
  <c r="E169" i="546"/>
  <c r="K169" i="546" s="1"/>
  <c r="M169" i="546" s="1"/>
  <c r="I168" i="546"/>
  <c r="E168" i="546"/>
  <c r="K168" i="546" s="1"/>
  <c r="M168" i="546" s="1"/>
  <c r="I167" i="546"/>
  <c r="E167" i="546"/>
  <c r="K167" i="546" s="1"/>
  <c r="M167" i="546" s="1"/>
  <c r="X166" i="546"/>
  <c r="Q524" i="546" s="1"/>
  <c r="I166" i="546"/>
  <c r="I170" i="546" s="1"/>
  <c r="E166" i="546"/>
  <c r="K166" i="546" s="1"/>
  <c r="AA163" i="546"/>
  <c r="Z163" i="546"/>
  <c r="Y163" i="546"/>
  <c r="X163" i="546"/>
  <c r="U163" i="546"/>
  <c r="T163" i="546"/>
  <c r="S163" i="546"/>
  <c r="R163" i="546"/>
  <c r="Q163" i="546"/>
  <c r="P163" i="546"/>
  <c r="O163" i="546"/>
  <c r="R171" i="546" s="1"/>
  <c r="I163" i="546"/>
  <c r="G163" i="546"/>
  <c r="C529" i="546" s="1"/>
  <c r="H162" i="546"/>
  <c r="H161" i="546"/>
  <c r="H160" i="546"/>
  <c r="V159" i="546"/>
  <c r="W159" i="546" s="1"/>
  <c r="N159" i="546"/>
  <c r="K159" i="546"/>
  <c r="K159" i="546" a="1"/>
  <c r="J159" i="546" a="1"/>
  <c r="J159" i="546" s="1"/>
  <c r="H159" i="546"/>
  <c r="D159" i="546"/>
  <c r="V158" i="546"/>
  <c r="W158" i="546" s="1"/>
  <c r="N158" i="546"/>
  <c r="K158" i="546" a="1"/>
  <c r="K158" i="546" s="1"/>
  <c r="M158" i="546" s="1"/>
  <c r="J158" i="546" a="1"/>
  <c r="J158" i="546" s="1"/>
  <c r="H158" i="546"/>
  <c r="H157" i="546"/>
  <c r="H156" i="546"/>
  <c r="V155" i="546"/>
  <c r="W155" i="546" s="1"/>
  <c r="N155" i="546"/>
  <c r="K155" i="546" a="1"/>
  <c r="K155" i="546" s="1"/>
  <c r="M155" i="546" s="1"/>
  <c r="J155" i="546" a="1"/>
  <c r="J155" i="546" s="1"/>
  <c r="H155" i="546"/>
  <c r="V154" i="546"/>
  <c r="W154" i="546" s="1"/>
  <c r="N154" i="546"/>
  <c r="K154" i="546"/>
  <c r="M154" i="546" s="1"/>
  <c r="K154" i="546" a="1"/>
  <c r="J154" i="546"/>
  <c r="J154" i="546" a="1"/>
  <c r="H154" i="546"/>
  <c r="H153" i="546"/>
  <c r="V152" i="546"/>
  <c r="W152" i="546" s="1"/>
  <c r="N152" i="546"/>
  <c r="K152" i="546" a="1"/>
  <c r="K152" i="546" s="1"/>
  <c r="M152" i="546" s="1"/>
  <c r="J152" i="546" a="1"/>
  <c r="J152" i="546" s="1"/>
  <c r="H152" i="546"/>
  <c r="V151" i="546"/>
  <c r="W151" i="546" s="1"/>
  <c r="N151" i="546"/>
  <c r="K151" i="546" a="1"/>
  <c r="K151" i="546" s="1"/>
  <c r="M151" i="546" s="1"/>
  <c r="J151" i="546" a="1"/>
  <c r="J151" i="546" s="1"/>
  <c r="H151" i="546"/>
  <c r="V150" i="546"/>
  <c r="W150" i="546" s="1"/>
  <c r="N150" i="546"/>
  <c r="K150" i="546"/>
  <c r="M150" i="546" s="1"/>
  <c r="K150" i="546" a="1"/>
  <c r="J150" i="546" a="1"/>
  <c r="J150" i="546" s="1"/>
  <c r="H150" i="546"/>
  <c r="V149" i="546"/>
  <c r="V163" i="546" s="1"/>
  <c r="W163" i="546" s="1"/>
  <c r="N149" i="546"/>
  <c r="N163" i="546" s="1"/>
  <c r="K149" i="546" a="1"/>
  <c r="K149" i="546" s="1"/>
  <c r="J149" i="546" a="1"/>
  <c r="J149" i="546" s="1"/>
  <c r="H149" i="546"/>
  <c r="AA148" i="546"/>
  <c r="Z148" i="546"/>
  <c r="Y148" i="546"/>
  <c r="X148" i="546"/>
  <c r="U148" i="546"/>
  <c r="T148" i="546"/>
  <c r="S148" i="546"/>
  <c r="Q148" i="546"/>
  <c r="P148" i="546"/>
  <c r="O148" i="546"/>
  <c r="I148" i="546"/>
  <c r="G148" i="546"/>
  <c r="C528" i="546" s="1"/>
  <c r="V147" i="546"/>
  <c r="W147" i="546" s="1"/>
  <c r="N147" i="546"/>
  <c r="K147" i="546" a="1"/>
  <c r="K147" i="546" s="1"/>
  <c r="M147" i="546" s="1"/>
  <c r="J147" i="546" a="1"/>
  <c r="J147" i="546" s="1"/>
  <c r="H147" i="546"/>
  <c r="K145" i="546" a="1"/>
  <c r="K145" i="546" s="1"/>
  <c r="H145" i="546"/>
  <c r="K144" i="546" a="1"/>
  <c r="K144" i="546" s="1"/>
  <c r="H144" i="546"/>
  <c r="K143" i="546" a="1"/>
  <c r="K143" i="546" s="1"/>
  <c r="H143" i="546"/>
  <c r="V142" i="546"/>
  <c r="W142" i="546" s="1"/>
  <c r="N142" i="546"/>
  <c r="K142" i="546" a="1"/>
  <c r="K142" i="546" s="1"/>
  <c r="M142" i="546" s="1"/>
  <c r="J142" i="546" a="1"/>
  <c r="J142" i="546" s="1"/>
  <c r="H142" i="546"/>
  <c r="V141" i="546"/>
  <c r="W141" i="546" s="1"/>
  <c r="N141" i="546"/>
  <c r="K141" i="546" a="1"/>
  <c r="K141" i="546" s="1"/>
  <c r="M141" i="546" s="1"/>
  <c r="J141" i="546" a="1"/>
  <c r="J141" i="546" s="1"/>
  <c r="H141" i="546"/>
  <c r="V140" i="546"/>
  <c r="W140" i="546" s="1"/>
  <c r="N140" i="546"/>
  <c r="K140" i="546" a="1"/>
  <c r="K140" i="546" s="1"/>
  <c r="M140" i="546" s="1"/>
  <c r="J140" i="546" a="1"/>
  <c r="J140" i="546" s="1"/>
  <c r="H140" i="546"/>
  <c r="V139" i="546"/>
  <c r="W139" i="546" s="1"/>
  <c r="N139" i="546"/>
  <c r="K139" i="546" a="1"/>
  <c r="K139" i="546" s="1"/>
  <c r="M139" i="546" s="1"/>
  <c r="J139" i="546" a="1"/>
  <c r="J139" i="546" s="1"/>
  <c r="H139" i="546"/>
  <c r="V138" i="546"/>
  <c r="V148" i="546" s="1"/>
  <c r="W148" i="546" s="1"/>
  <c r="N138" i="546"/>
  <c r="N148" i="546" s="1"/>
  <c r="K138" i="546" a="1"/>
  <c r="K138" i="546" s="1"/>
  <c r="J138" i="546" a="1"/>
  <c r="J138" i="546" s="1"/>
  <c r="H138" i="546"/>
  <c r="H148" i="546" s="1"/>
  <c r="AA137" i="546"/>
  <c r="Z137" i="546"/>
  <c r="Y137" i="546"/>
  <c r="X137" i="546"/>
  <c r="U137" i="546"/>
  <c r="T137" i="546"/>
  <c r="S137" i="546"/>
  <c r="Q137" i="546"/>
  <c r="P137" i="546"/>
  <c r="O137" i="546"/>
  <c r="R169" i="546" s="1"/>
  <c r="I137" i="546"/>
  <c r="G137" i="546"/>
  <c r="C527" i="546" s="1"/>
  <c r="V136" i="546"/>
  <c r="W136" i="546" s="1"/>
  <c r="N136" i="546"/>
  <c r="K136" i="546" a="1"/>
  <c r="K136" i="546" s="1"/>
  <c r="M136" i="546" s="1"/>
  <c r="J136" i="546" a="1"/>
  <c r="J136" i="546" s="1"/>
  <c r="H136" i="546"/>
  <c r="V135" i="546"/>
  <c r="W135" i="546" s="1"/>
  <c r="N135" i="546"/>
  <c r="K135" i="546" a="1"/>
  <c r="K135" i="546" s="1"/>
  <c r="M135" i="546" s="1"/>
  <c r="J135" i="546" a="1"/>
  <c r="J135" i="546" s="1"/>
  <c r="H135" i="546"/>
  <c r="V134" i="546"/>
  <c r="W134" i="546" s="1"/>
  <c r="N134" i="546"/>
  <c r="K134" i="546" a="1"/>
  <c r="K134" i="546" s="1"/>
  <c r="M134" i="546" s="1"/>
  <c r="J134" i="546" a="1"/>
  <c r="J134" i="546" s="1"/>
  <c r="H134" i="546"/>
  <c r="V133" i="546"/>
  <c r="W133" i="546" s="1"/>
  <c r="N133" i="546"/>
  <c r="K133" i="546"/>
  <c r="M133" i="546" s="1"/>
  <c r="K133" i="546" a="1"/>
  <c r="J133" i="546"/>
  <c r="J133" i="546" a="1"/>
  <c r="H133" i="546"/>
  <c r="V132" i="546"/>
  <c r="W132" i="546" s="1"/>
  <c r="N132" i="546"/>
  <c r="K132" i="546" a="1"/>
  <c r="K132" i="546" s="1"/>
  <c r="M132" i="546" s="1"/>
  <c r="J132" i="546" a="1"/>
  <c r="J132" i="546" s="1"/>
  <c r="H132" i="546"/>
  <c r="V131" i="546"/>
  <c r="W131" i="546" s="1"/>
  <c r="N131" i="546"/>
  <c r="K131" i="546" a="1"/>
  <c r="K131" i="546" s="1"/>
  <c r="M131" i="546" s="1"/>
  <c r="J131" i="546" a="1"/>
  <c r="J131" i="546" s="1"/>
  <c r="H131" i="546"/>
  <c r="V130" i="546"/>
  <c r="W130" i="546" s="1"/>
  <c r="N130" i="546"/>
  <c r="K130" i="546" a="1"/>
  <c r="K130" i="546" s="1"/>
  <c r="M130" i="546" s="1"/>
  <c r="J130" i="546" a="1"/>
  <c r="J130" i="546" s="1"/>
  <c r="H130" i="546"/>
  <c r="V129" i="546"/>
  <c r="W129" i="546" s="1"/>
  <c r="N129" i="546"/>
  <c r="K129" i="546"/>
  <c r="M129" i="546" s="1"/>
  <c r="K129" i="546" a="1"/>
  <c r="J129" i="546"/>
  <c r="J129" i="546" a="1"/>
  <c r="H129" i="546"/>
  <c r="V128" i="546"/>
  <c r="W128" i="546" s="1"/>
  <c r="N128" i="546"/>
  <c r="K128" i="546" a="1"/>
  <c r="K128" i="546" s="1"/>
  <c r="M128" i="546" s="1"/>
  <c r="J128" i="546" a="1"/>
  <c r="J128" i="546" s="1"/>
  <c r="H128" i="546"/>
  <c r="V127" i="546"/>
  <c r="W127" i="546" s="1"/>
  <c r="N127" i="546"/>
  <c r="K127" i="546" a="1"/>
  <c r="K127" i="546" s="1"/>
  <c r="M127" i="546" s="1"/>
  <c r="J127" i="546" a="1"/>
  <c r="J127" i="546" s="1"/>
  <c r="H127" i="546"/>
  <c r="V126" i="546"/>
  <c r="W126" i="546" s="1"/>
  <c r="N126" i="546"/>
  <c r="K126" i="546" a="1"/>
  <c r="K126" i="546" s="1"/>
  <c r="M126" i="546" s="1"/>
  <c r="J126" i="546" a="1"/>
  <c r="J126" i="546" s="1"/>
  <c r="H126" i="546"/>
  <c r="V125" i="546"/>
  <c r="W125" i="546" s="1"/>
  <c r="N125" i="546"/>
  <c r="K125" i="546"/>
  <c r="M125" i="546" s="1"/>
  <c r="K125" i="546" a="1"/>
  <c r="J125" i="546"/>
  <c r="J125" i="546" a="1"/>
  <c r="H125" i="546"/>
  <c r="V124" i="546"/>
  <c r="W124" i="546" s="1"/>
  <c r="N124" i="546"/>
  <c r="K124" i="546" a="1"/>
  <c r="K124" i="546" s="1"/>
  <c r="M124" i="546" s="1"/>
  <c r="J124" i="546" a="1"/>
  <c r="J124" i="546" s="1"/>
  <c r="H124" i="546"/>
  <c r="V123" i="546"/>
  <c r="W123" i="546" s="1"/>
  <c r="N123" i="546"/>
  <c r="K123" i="546" a="1"/>
  <c r="K123" i="546" s="1"/>
  <c r="M123" i="546" s="1"/>
  <c r="J123" i="546" a="1"/>
  <c r="J123" i="546" s="1"/>
  <c r="H123" i="546"/>
  <c r="V122" i="546"/>
  <c r="V137" i="546" s="1"/>
  <c r="W137" i="546" s="1"/>
  <c r="N122" i="546"/>
  <c r="K122" i="546" a="1"/>
  <c r="K122" i="546" s="1"/>
  <c r="J122" i="546" a="1"/>
  <c r="J122" i="546" s="1"/>
  <c r="H122" i="546"/>
  <c r="H137" i="546" s="1"/>
  <c r="AA121" i="546"/>
  <c r="Z121" i="546"/>
  <c r="Y121" i="546"/>
  <c r="X121" i="546"/>
  <c r="U121" i="546"/>
  <c r="T121" i="546"/>
  <c r="S121" i="546"/>
  <c r="R121" i="546"/>
  <c r="Q121" i="546"/>
  <c r="P121" i="546"/>
  <c r="O121" i="546"/>
  <c r="R168" i="546" s="1"/>
  <c r="I121" i="546"/>
  <c r="G121" i="546"/>
  <c r="C526" i="546" s="1"/>
  <c r="V120" i="546"/>
  <c r="W120" i="546" s="1"/>
  <c r="N120" i="546"/>
  <c r="K120" i="546" a="1"/>
  <c r="K120" i="546" s="1"/>
  <c r="M120" i="546" s="1"/>
  <c r="J120" i="546" a="1"/>
  <c r="J120" i="546" s="1"/>
  <c r="H120" i="546"/>
  <c r="V119" i="546"/>
  <c r="W119" i="546" s="1"/>
  <c r="N119" i="546"/>
  <c r="K119" i="546" a="1"/>
  <c r="K119" i="546" s="1"/>
  <c r="M119" i="546" s="1"/>
  <c r="J119" i="546" a="1"/>
  <c r="J119" i="546" s="1"/>
  <c r="H119" i="546"/>
  <c r="V118" i="546"/>
  <c r="W118" i="546" s="1"/>
  <c r="N118" i="546"/>
  <c r="K118" i="546" a="1"/>
  <c r="K118" i="546" s="1"/>
  <c r="M118" i="546" s="1"/>
  <c r="J118" i="546" a="1"/>
  <c r="J118" i="546" s="1"/>
  <c r="H118" i="546"/>
  <c r="K117" i="546" a="1"/>
  <c r="K117" i="546" s="1"/>
  <c r="H117" i="546"/>
  <c r="K116" i="546" a="1"/>
  <c r="K116" i="546" s="1"/>
  <c r="H116" i="546"/>
  <c r="K115" i="546" a="1"/>
  <c r="K115" i="546" s="1"/>
  <c r="H115" i="546"/>
  <c r="V114" i="546"/>
  <c r="W114" i="546" s="1"/>
  <c r="N114" i="546"/>
  <c r="K114" i="546" a="1"/>
  <c r="K114" i="546" s="1"/>
  <c r="M114" i="546" s="1"/>
  <c r="H114" i="546"/>
  <c r="V113" i="546"/>
  <c r="W113" i="546" s="1"/>
  <c r="N113" i="546"/>
  <c r="K113" i="546"/>
  <c r="M113" i="546" s="1"/>
  <c r="K113" i="546" a="1"/>
  <c r="H113" i="546"/>
  <c r="N112" i="546"/>
  <c r="K112" i="546" a="1"/>
  <c r="K112" i="546" s="1"/>
  <c r="M112" i="546" s="1"/>
  <c r="H112" i="546"/>
  <c r="N111" i="546"/>
  <c r="K111" i="546" a="1"/>
  <c r="K111" i="546" s="1"/>
  <c r="M111" i="546" s="1"/>
  <c r="H111" i="546"/>
  <c r="N110" i="546"/>
  <c r="K110" i="546" a="1"/>
  <c r="K110" i="546" s="1"/>
  <c r="M110" i="546" s="1"/>
  <c r="H110" i="546"/>
  <c r="N109" i="546"/>
  <c r="K109" i="546" a="1"/>
  <c r="K109" i="546" s="1"/>
  <c r="M109" i="546" s="1"/>
  <c r="H109" i="546"/>
  <c r="N108" i="546"/>
  <c r="K108" i="546" a="1"/>
  <c r="K108" i="546" s="1"/>
  <c r="M108" i="546" s="1"/>
  <c r="H108" i="546"/>
  <c r="N107" i="546"/>
  <c r="K107" i="546" a="1"/>
  <c r="K107" i="546" s="1"/>
  <c r="M107" i="546" s="1"/>
  <c r="H107" i="546"/>
  <c r="V106" i="546"/>
  <c r="W106" i="546" s="1"/>
  <c r="N106" i="546"/>
  <c r="K106" i="546" a="1"/>
  <c r="K106" i="546" s="1"/>
  <c r="M106" i="546" s="1"/>
  <c r="J106" i="546" a="1"/>
  <c r="J106" i="546" s="1"/>
  <c r="H106" i="546"/>
  <c r="V105" i="546"/>
  <c r="W105" i="546" s="1"/>
  <c r="N105" i="546"/>
  <c r="K105" i="546"/>
  <c r="M105" i="546" s="1"/>
  <c r="K105" i="546" a="1"/>
  <c r="J105" i="546" a="1"/>
  <c r="J105" i="546" s="1"/>
  <c r="H105" i="546"/>
  <c r="V104" i="546"/>
  <c r="W104" i="546" s="1"/>
  <c r="N104" i="546"/>
  <c r="K104" i="546" a="1"/>
  <c r="K104" i="546" s="1"/>
  <c r="M104" i="546" s="1"/>
  <c r="J104" i="546" a="1"/>
  <c r="J104" i="546" s="1"/>
  <c r="H104" i="546"/>
  <c r="V103" i="546"/>
  <c r="W103" i="546" s="1"/>
  <c r="N103" i="546"/>
  <c r="K103" i="546" a="1"/>
  <c r="K103" i="546" s="1"/>
  <c r="M103" i="546" s="1"/>
  <c r="J103" i="546" a="1"/>
  <c r="J103" i="546" s="1"/>
  <c r="H103" i="546"/>
  <c r="V102" i="546"/>
  <c r="W102" i="546" s="1"/>
  <c r="N102" i="546"/>
  <c r="K102" i="546" a="1"/>
  <c r="K102" i="546" s="1"/>
  <c r="M102" i="546" s="1"/>
  <c r="J102" i="546" a="1"/>
  <c r="J102" i="546" s="1"/>
  <c r="H102" i="546"/>
  <c r="V101" i="546"/>
  <c r="W101" i="546" s="1"/>
  <c r="N101" i="546"/>
  <c r="K101" i="546"/>
  <c r="M101" i="546" s="1"/>
  <c r="K101" i="546" a="1"/>
  <c r="J101" i="546"/>
  <c r="J101" i="546" a="1"/>
  <c r="H101" i="546"/>
  <c r="V100" i="546"/>
  <c r="W100" i="546" s="1"/>
  <c r="N100" i="546"/>
  <c r="K100" i="546" a="1"/>
  <c r="K100" i="546" s="1"/>
  <c r="M100" i="546" s="1"/>
  <c r="J100" i="546" a="1"/>
  <c r="J100" i="546" s="1"/>
  <c r="H100" i="546"/>
  <c r="V99" i="546"/>
  <c r="W99" i="546" s="1"/>
  <c r="N99" i="546"/>
  <c r="K99" i="546" a="1"/>
  <c r="K99" i="546" s="1"/>
  <c r="M99" i="546" s="1"/>
  <c r="J99" i="546" a="1"/>
  <c r="J99" i="546" s="1"/>
  <c r="H99" i="546"/>
  <c r="V98" i="546"/>
  <c r="W98" i="546" s="1"/>
  <c r="N98" i="546"/>
  <c r="K98" i="546" a="1"/>
  <c r="K98" i="546" s="1"/>
  <c r="M98" i="546" s="1"/>
  <c r="J98" i="546" a="1"/>
  <c r="J98" i="546" s="1"/>
  <c r="H98" i="546"/>
  <c r="V97" i="546"/>
  <c r="W97" i="546" s="1"/>
  <c r="N97" i="546"/>
  <c r="K97" i="546"/>
  <c r="M97" i="546" s="1"/>
  <c r="K97" i="546" a="1"/>
  <c r="J97" i="546"/>
  <c r="J97" i="546" a="1"/>
  <c r="H97" i="546"/>
  <c r="V96" i="546"/>
  <c r="W96" i="546" s="1"/>
  <c r="N96" i="546"/>
  <c r="K96" i="546" a="1"/>
  <c r="K96" i="546" s="1"/>
  <c r="M96" i="546" s="1"/>
  <c r="J96" i="546" a="1"/>
  <c r="J96" i="546" s="1"/>
  <c r="H96" i="546"/>
  <c r="V95" i="546"/>
  <c r="W95" i="546" s="1"/>
  <c r="N95" i="546"/>
  <c r="K95" i="546" a="1"/>
  <c r="K95" i="546" s="1"/>
  <c r="M95" i="546" s="1"/>
  <c r="J95" i="546" a="1"/>
  <c r="J95" i="546" s="1"/>
  <c r="H95" i="546"/>
  <c r="K94" i="546"/>
  <c r="M94" i="546" s="1"/>
  <c r="K94" i="546" a="1"/>
  <c r="H94" i="546"/>
  <c r="V93" i="546"/>
  <c r="W93" i="546" s="1"/>
  <c r="N93" i="546"/>
  <c r="K93" i="546" a="1"/>
  <c r="K93" i="546" s="1"/>
  <c r="M93" i="546" s="1"/>
  <c r="J93" i="546" a="1"/>
  <c r="J93" i="546" s="1"/>
  <c r="H93" i="546"/>
  <c r="V92" i="546"/>
  <c r="W92" i="546" s="1"/>
  <c r="N92" i="546"/>
  <c r="K92" i="546" a="1"/>
  <c r="K92" i="546" s="1"/>
  <c r="M92" i="546" s="1"/>
  <c r="J92" i="546" a="1"/>
  <c r="J92" i="546" s="1"/>
  <c r="H92" i="546"/>
  <c r="V91" i="546"/>
  <c r="W91" i="546" s="1"/>
  <c r="N91" i="546"/>
  <c r="K91" i="546" a="1"/>
  <c r="K91" i="546" s="1"/>
  <c r="M91" i="546" s="1"/>
  <c r="J91" i="546" a="1"/>
  <c r="J91" i="546" s="1"/>
  <c r="H91" i="546"/>
  <c r="V90" i="546"/>
  <c r="W90" i="546" s="1"/>
  <c r="N90" i="546"/>
  <c r="K90" i="546"/>
  <c r="M90" i="546" s="1"/>
  <c r="K90" i="546" a="1"/>
  <c r="J90" i="546"/>
  <c r="J90" i="546" a="1"/>
  <c r="H90" i="546"/>
  <c r="V89" i="546"/>
  <c r="W89" i="546" s="1"/>
  <c r="N89" i="546"/>
  <c r="K89" i="546" a="1"/>
  <c r="K89" i="546" s="1"/>
  <c r="M89" i="546" s="1"/>
  <c r="J89" i="546" a="1"/>
  <c r="J89" i="546" s="1"/>
  <c r="H89" i="546"/>
  <c r="V88" i="546"/>
  <c r="W88" i="546" s="1"/>
  <c r="N88" i="546"/>
  <c r="K88" i="546" a="1"/>
  <c r="K88" i="546" s="1"/>
  <c r="M88" i="546" s="1"/>
  <c r="J88" i="546" a="1"/>
  <c r="J88" i="546" s="1"/>
  <c r="H88" i="546"/>
  <c r="V87" i="546"/>
  <c r="V121" i="546" s="1"/>
  <c r="W121" i="546" s="1"/>
  <c r="N87" i="546"/>
  <c r="K87" i="546" a="1"/>
  <c r="K87" i="546" s="1"/>
  <c r="J87" i="546" a="1"/>
  <c r="J87" i="546" s="1"/>
  <c r="H87" i="546"/>
  <c r="H121" i="546" s="1"/>
  <c r="AA86" i="546"/>
  <c r="Z86" i="546"/>
  <c r="Y86" i="546"/>
  <c r="X86" i="546"/>
  <c r="U86" i="546"/>
  <c r="T86" i="546"/>
  <c r="S86" i="546"/>
  <c r="R86" i="546"/>
  <c r="Q86" i="546"/>
  <c r="P86" i="546"/>
  <c r="O86" i="546"/>
  <c r="R167" i="546" s="1"/>
  <c r="I86" i="546"/>
  <c r="G86" i="546"/>
  <c r="C525" i="546" s="1"/>
  <c r="K85" i="546" a="1"/>
  <c r="K85" i="546" s="1"/>
  <c r="H85" i="546"/>
  <c r="K84" i="546" a="1"/>
  <c r="K84" i="546" s="1"/>
  <c r="H84" i="546"/>
  <c r="K83" i="546" a="1"/>
  <c r="K83" i="546" s="1"/>
  <c r="H83" i="546"/>
  <c r="K82" i="546" a="1"/>
  <c r="K82" i="546" s="1"/>
  <c r="H82" i="546"/>
  <c r="K81" i="546" a="1"/>
  <c r="K81" i="546" s="1"/>
  <c r="H81" i="546"/>
  <c r="K80" i="546" a="1"/>
  <c r="K80" i="546" s="1"/>
  <c r="H80" i="546"/>
  <c r="K79" i="546" a="1"/>
  <c r="K79" i="546" s="1"/>
  <c r="M79" i="546" s="1"/>
  <c r="H79" i="546"/>
  <c r="K78" i="546" a="1"/>
  <c r="K78" i="546" s="1"/>
  <c r="M78" i="546" s="1"/>
  <c r="H78" i="546"/>
  <c r="K77" i="546" a="1"/>
  <c r="K77" i="546" s="1"/>
  <c r="M77" i="546" s="1"/>
  <c r="H77" i="546"/>
  <c r="K76" i="546" a="1"/>
  <c r="K76" i="546" s="1"/>
  <c r="M76" i="546" s="1"/>
  <c r="H76" i="546"/>
  <c r="V75" i="546"/>
  <c r="W75" i="546" s="1"/>
  <c r="N75" i="546"/>
  <c r="K75" i="546" a="1"/>
  <c r="K75" i="546" s="1"/>
  <c r="M75" i="546" s="1"/>
  <c r="J75" i="546" a="1"/>
  <c r="J75" i="546" s="1"/>
  <c r="H75" i="546"/>
  <c r="V74" i="546"/>
  <c r="W74" i="546" s="1"/>
  <c r="N74" i="546"/>
  <c r="K74" i="546"/>
  <c r="M74" i="546" s="1"/>
  <c r="K74" i="546" a="1"/>
  <c r="J74" i="546"/>
  <c r="J74" i="546" a="1"/>
  <c r="H74" i="546"/>
  <c r="V73" i="546"/>
  <c r="W73" i="546" s="1"/>
  <c r="N73" i="546"/>
  <c r="K73" i="546" a="1"/>
  <c r="K73" i="546" s="1"/>
  <c r="M73" i="546" s="1"/>
  <c r="J73" i="546" a="1"/>
  <c r="J73" i="546" s="1"/>
  <c r="H73" i="546"/>
  <c r="V72" i="546"/>
  <c r="W72" i="546" s="1"/>
  <c r="N72" i="546"/>
  <c r="K72" i="546" a="1"/>
  <c r="K72" i="546" s="1"/>
  <c r="M72" i="546" s="1"/>
  <c r="J72" i="546" a="1"/>
  <c r="J72" i="546" s="1"/>
  <c r="H72" i="546"/>
  <c r="H71" i="546"/>
  <c r="V70" i="546"/>
  <c r="W70" i="546" s="1"/>
  <c r="N70" i="546"/>
  <c r="K70" i="546" a="1"/>
  <c r="K70" i="546" s="1"/>
  <c r="M70" i="546" s="1"/>
  <c r="J70" i="546" a="1"/>
  <c r="J70" i="546" s="1"/>
  <c r="H70" i="546"/>
  <c r="V69" i="546"/>
  <c r="W69" i="546" s="1"/>
  <c r="N69" i="546"/>
  <c r="K69" i="546" a="1"/>
  <c r="K69" i="546" s="1"/>
  <c r="M69" i="546" s="1"/>
  <c r="J69" i="546" a="1"/>
  <c r="J69" i="546" s="1"/>
  <c r="H69" i="546"/>
  <c r="K68" i="546" a="1"/>
  <c r="K68" i="546" s="1"/>
  <c r="H68" i="546"/>
  <c r="K67" i="546"/>
  <c r="K67" i="546" a="1"/>
  <c r="H67" i="546"/>
  <c r="V66" i="546"/>
  <c r="W66" i="546" s="1"/>
  <c r="N66" i="546"/>
  <c r="K66" i="546" a="1"/>
  <c r="K66" i="546" s="1"/>
  <c r="M66" i="546" s="1"/>
  <c r="J66" i="546" a="1"/>
  <c r="J66" i="546" s="1"/>
  <c r="H66" i="546"/>
  <c r="V65" i="546"/>
  <c r="W65" i="546" s="1"/>
  <c r="N65" i="546"/>
  <c r="K65" i="546" a="1"/>
  <c r="K65" i="546" s="1"/>
  <c r="M65" i="546" s="1"/>
  <c r="J65" i="546" a="1"/>
  <c r="J65" i="546" s="1"/>
  <c r="H65" i="546"/>
  <c r="V64" i="546"/>
  <c r="W64" i="546" s="1"/>
  <c r="N64" i="546"/>
  <c r="K64" i="546" a="1"/>
  <c r="K64" i="546" s="1"/>
  <c r="M64" i="546" s="1"/>
  <c r="J64" i="546" a="1"/>
  <c r="J64" i="546" s="1"/>
  <c r="H64" i="546"/>
  <c r="V63" i="546"/>
  <c r="W63" i="546" s="1"/>
  <c r="N63" i="546"/>
  <c r="K63" i="546"/>
  <c r="M63" i="546" s="1"/>
  <c r="K63" i="546" a="1"/>
  <c r="J63" i="546"/>
  <c r="J63" i="546" a="1"/>
  <c r="H63" i="546"/>
  <c r="V62" i="546"/>
  <c r="W62" i="546" s="1"/>
  <c r="N62" i="546"/>
  <c r="K62" i="546" a="1"/>
  <c r="K62" i="546" s="1"/>
  <c r="M62" i="546" s="1"/>
  <c r="J62" i="546" a="1"/>
  <c r="J62" i="546" s="1"/>
  <c r="H62" i="546"/>
  <c r="V61" i="546"/>
  <c r="W61" i="546" s="1"/>
  <c r="N61" i="546"/>
  <c r="K61" i="546" a="1"/>
  <c r="K61" i="546" s="1"/>
  <c r="M61" i="546" s="1"/>
  <c r="J61" i="546" a="1"/>
  <c r="J61" i="546" s="1"/>
  <c r="H61" i="546"/>
  <c r="V60" i="546"/>
  <c r="W60" i="546" s="1"/>
  <c r="N60" i="546"/>
  <c r="K60" i="546" a="1"/>
  <c r="K60" i="546" s="1"/>
  <c r="M60" i="546" s="1"/>
  <c r="J60" i="546" a="1"/>
  <c r="J60" i="546" s="1"/>
  <c r="H60" i="546"/>
  <c r="V59" i="546"/>
  <c r="W59" i="546" s="1"/>
  <c r="N59" i="546"/>
  <c r="K59" i="546"/>
  <c r="M59" i="546" s="1"/>
  <c r="K59" i="546" a="1"/>
  <c r="J59" i="546"/>
  <c r="J59" i="546" a="1"/>
  <c r="H59" i="546"/>
  <c r="V58" i="546"/>
  <c r="W58" i="546" s="1"/>
  <c r="N58" i="546"/>
  <c r="K58" i="546" a="1"/>
  <c r="K58" i="546" s="1"/>
  <c r="M58" i="546" s="1"/>
  <c r="J58" i="546" a="1"/>
  <c r="J58" i="546" s="1"/>
  <c r="H58" i="546"/>
  <c r="V57" i="546"/>
  <c r="W57" i="546" s="1"/>
  <c r="N57" i="546"/>
  <c r="K57" i="546" a="1"/>
  <c r="K57" i="546" s="1"/>
  <c r="M57" i="546" s="1"/>
  <c r="J57" i="546" a="1"/>
  <c r="J57" i="546" s="1"/>
  <c r="H57" i="546"/>
  <c r="K56" i="546"/>
  <c r="M56" i="546" s="1"/>
  <c r="K56" i="546" a="1"/>
  <c r="H56" i="546"/>
  <c r="K55" i="546" a="1"/>
  <c r="K55" i="546" s="1"/>
  <c r="M55" i="546" s="1"/>
  <c r="H55" i="546"/>
  <c r="K54" i="546" a="1"/>
  <c r="K54" i="546" s="1"/>
  <c r="M54" i="546" s="1"/>
  <c r="H54" i="546"/>
  <c r="K53" i="546" a="1"/>
  <c r="K53" i="546" s="1"/>
  <c r="M53" i="546" s="1"/>
  <c r="H53" i="546"/>
  <c r="N52" i="546"/>
  <c r="K52" i="546"/>
  <c r="M52" i="546" s="1"/>
  <c r="K52" i="546" a="1"/>
  <c r="H52" i="546"/>
  <c r="N51" i="546"/>
  <c r="K51" i="546" a="1"/>
  <c r="K51" i="546" s="1"/>
  <c r="M51" i="546" s="1"/>
  <c r="H51" i="546"/>
  <c r="N50" i="546"/>
  <c r="K50" i="546" a="1"/>
  <c r="K50" i="546" s="1"/>
  <c r="M50" i="546" s="1"/>
  <c r="H50" i="546"/>
  <c r="N49" i="546"/>
  <c r="K49" i="546" a="1"/>
  <c r="K49" i="546" s="1"/>
  <c r="M49" i="546" s="1"/>
  <c r="H49" i="546"/>
  <c r="V48" i="546"/>
  <c r="W48" i="546" s="1"/>
  <c r="N48" i="546"/>
  <c r="K48" i="546" a="1"/>
  <c r="K48" i="546" s="1"/>
  <c r="M48" i="546" s="1"/>
  <c r="J48" i="546" a="1"/>
  <c r="J48" i="546" s="1"/>
  <c r="H48" i="546"/>
  <c r="V47" i="546"/>
  <c r="W47" i="546" s="1"/>
  <c r="N47" i="546"/>
  <c r="K47" i="546" a="1"/>
  <c r="K47" i="546" s="1"/>
  <c r="M47" i="546" s="1"/>
  <c r="J47" i="546" a="1"/>
  <c r="J47" i="546" s="1"/>
  <c r="H47" i="546"/>
  <c r="V46" i="546"/>
  <c r="W46" i="546" s="1"/>
  <c r="N46" i="546"/>
  <c r="K46" i="546" a="1"/>
  <c r="K46" i="546" s="1"/>
  <c r="M46" i="546" s="1"/>
  <c r="J46" i="546" a="1"/>
  <c r="J46" i="546" s="1"/>
  <c r="H46" i="546"/>
  <c r="V45" i="546"/>
  <c r="W45" i="546" s="1"/>
  <c r="N45" i="546"/>
  <c r="K45" i="546" a="1"/>
  <c r="K45" i="546" s="1"/>
  <c r="M45" i="546" s="1"/>
  <c r="J45" i="546" a="1"/>
  <c r="J45" i="546" s="1"/>
  <c r="H45" i="546"/>
  <c r="V44" i="546"/>
  <c r="W44" i="546" s="1"/>
  <c r="N44" i="546"/>
  <c r="K44" i="546" a="1"/>
  <c r="K44" i="546" s="1"/>
  <c r="M44" i="546" s="1"/>
  <c r="J44" i="546" a="1"/>
  <c r="J44" i="546" s="1"/>
  <c r="H44" i="546"/>
  <c r="V43" i="546"/>
  <c r="W43" i="546" s="1"/>
  <c r="N43" i="546"/>
  <c r="K43" i="546"/>
  <c r="M43" i="546" s="1"/>
  <c r="K43" i="546" a="1"/>
  <c r="J43" i="546"/>
  <c r="J43" i="546" a="1"/>
  <c r="H43" i="546"/>
  <c r="V42" i="546"/>
  <c r="W42" i="546" s="1"/>
  <c r="N42" i="546"/>
  <c r="K42" i="546" a="1"/>
  <c r="K42" i="546" s="1"/>
  <c r="M42" i="546" s="1"/>
  <c r="J42" i="546" a="1"/>
  <c r="J42" i="546" s="1"/>
  <c r="H42" i="546"/>
  <c r="V41" i="546"/>
  <c r="W41" i="546" s="1"/>
  <c r="N41" i="546"/>
  <c r="K41" i="546" a="1"/>
  <c r="K41" i="546" s="1"/>
  <c r="M41" i="546" s="1"/>
  <c r="J41" i="546" a="1"/>
  <c r="J41" i="546" s="1"/>
  <c r="H41" i="546"/>
  <c r="V40" i="546"/>
  <c r="W40" i="546" s="1"/>
  <c r="N40" i="546"/>
  <c r="K40" i="546" a="1"/>
  <c r="K40" i="546" s="1"/>
  <c r="M40" i="546" s="1"/>
  <c r="J40" i="546" a="1"/>
  <c r="J40" i="546" s="1"/>
  <c r="H40" i="546"/>
  <c r="V39" i="546"/>
  <c r="W39" i="546" s="1"/>
  <c r="N39" i="546"/>
  <c r="K39" i="546"/>
  <c r="M39" i="546" s="1"/>
  <c r="K39" i="546" a="1"/>
  <c r="J39" i="546" a="1"/>
  <c r="J39" i="546" s="1"/>
  <c r="H39" i="546"/>
  <c r="V38" i="546"/>
  <c r="W38" i="546" s="1"/>
  <c r="N38" i="546"/>
  <c r="K38" i="546" a="1"/>
  <c r="K38" i="546" s="1"/>
  <c r="M38" i="546" s="1"/>
  <c r="J38" i="546" a="1"/>
  <c r="J38" i="546" s="1"/>
  <c r="H38" i="546"/>
  <c r="V37" i="546"/>
  <c r="W37" i="546" s="1"/>
  <c r="N37" i="546"/>
  <c r="K37" i="546" a="1"/>
  <c r="K37" i="546" s="1"/>
  <c r="M37" i="546" s="1"/>
  <c r="J37" i="546" a="1"/>
  <c r="J37" i="546" s="1"/>
  <c r="H37" i="546"/>
  <c r="H36" i="546"/>
  <c r="H35" i="546"/>
  <c r="H34" i="546"/>
  <c r="V33" i="546"/>
  <c r="W33" i="546" s="1"/>
  <c r="N33" i="546"/>
  <c r="K33" i="546" a="1"/>
  <c r="K33" i="546" s="1"/>
  <c r="M33" i="546" s="1"/>
  <c r="J33" i="546" a="1"/>
  <c r="J33" i="546" s="1"/>
  <c r="H33" i="546"/>
  <c r="V32" i="546"/>
  <c r="W32" i="546" s="1"/>
  <c r="N32" i="546"/>
  <c r="K32" i="546" a="1"/>
  <c r="K32" i="546" s="1"/>
  <c r="M32" i="546" s="1"/>
  <c r="J32" i="546" a="1"/>
  <c r="J32" i="546" s="1"/>
  <c r="H32" i="546"/>
  <c r="V31" i="546"/>
  <c r="W31" i="546" s="1"/>
  <c r="N31" i="546"/>
  <c r="K31" i="546"/>
  <c r="M31" i="546" s="1"/>
  <c r="K31" i="546" a="1"/>
  <c r="J31" i="546"/>
  <c r="J31" i="546" a="1"/>
  <c r="H31" i="546"/>
  <c r="K30" i="546" a="1"/>
  <c r="K30" i="546" s="1"/>
  <c r="H30" i="546"/>
  <c r="V29" i="546"/>
  <c r="V86" i="546" s="1"/>
  <c r="W86" i="546" s="1"/>
  <c r="N29" i="546"/>
  <c r="N86" i="546" s="1"/>
  <c r="K29" i="546" a="1"/>
  <c r="K29" i="546" s="1"/>
  <c r="M29" i="546" s="1"/>
  <c r="J29" i="546" a="1"/>
  <c r="J29" i="546" s="1"/>
  <c r="H29" i="546"/>
  <c r="H86" i="546" s="1"/>
  <c r="AA28" i="546"/>
  <c r="AA164" i="546" s="1"/>
  <c r="Z28" i="546"/>
  <c r="Z164" i="546" s="1"/>
  <c r="Y28" i="546"/>
  <c r="Y164" i="546" s="1"/>
  <c r="X28" i="546"/>
  <c r="X164" i="546" s="1"/>
  <c r="U28" i="546"/>
  <c r="U164" i="546" s="1"/>
  <c r="T28" i="546"/>
  <c r="T164" i="546" s="1"/>
  <c r="S28" i="546"/>
  <c r="S164" i="546" s="1"/>
  <c r="R28" i="546"/>
  <c r="R164" i="546" s="1"/>
  <c r="Q28" i="546"/>
  <c r="Q164" i="546" s="1"/>
  <c r="P28" i="546"/>
  <c r="X167" i="546" s="1"/>
  <c r="O28" i="546"/>
  <c r="R166" i="546" s="1"/>
  <c r="I28" i="546"/>
  <c r="I164" i="546" s="1"/>
  <c r="B172" i="546" s="1"/>
  <c r="G28" i="546"/>
  <c r="C524" i="546" s="1"/>
  <c r="V27" i="546"/>
  <c r="W27" i="546" s="1"/>
  <c r="N27" i="546"/>
  <c r="K27" i="546" a="1"/>
  <c r="K27" i="546" s="1"/>
  <c r="M27" i="546" s="1"/>
  <c r="J27" i="546" a="1"/>
  <c r="J27" i="546" s="1"/>
  <c r="H27" i="546"/>
  <c r="V26" i="546"/>
  <c r="W26" i="546" s="1"/>
  <c r="N26" i="546"/>
  <c r="K26" i="546"/>
  <c r="M26" i="546" s="1"/>
  <c r="K26" i="546" a="1"/>
  <c r="J26" i="546"/>
  <c r="J26" i="546" a="1"/>
  <c r="H26" i="546"/>
  <c r="K25" i="546" a="1"/>
  <c r="K25" i="546" s="1"/>
  <c r="M25" i="546" s="1"/>
  <c r="J25" i="546" a="1"/>
  <c r="J25" i="546" s="1"/>
  <c r="H25" i="546"/>
  <c r="K24" i="546" a="1"/>
  <c r="K24" i="546" s="1"/>
  <c r="M24" i="546" s="1"/>
  <c r="J24" i="546" a="1"/>
  <c r="J24" i="546" s="1"/>
  <c r="H24" i="546"/>
  <c r="K23" i="546" a="1"/>
  <c r="K23" i="546" s="1"/>
  <c r="M23" i="546" s="1"/>
  <c r="J23" i="546" a="1"/>
  <c r="J23" i="546" s="1"/>
  <c r="H23" i="546"/>
  <c r="K22" i="546" a="1"/>
  <c r="K22" i="546" s="1"/>
  <c r="M22" i="546" s="1"/>
  <c r="J22" i="546" a="1"/>
  <c r="J22" i="546" s="1"/>
  <c r="H22" i="546"/>
  <c r="V21" i="546"/>
  <c r="W21" i="546" s="1"/>
  <c r="N21" i="546"/>
  <c r="K21" i="546" a="1"/>
  <c r="K21" i="546" s="1"/>
  <c r="M21" i="546" s="1"/>
  <c r="J21" i="546" a="1"/>
  <c r="J21" i="546" s="1"/>
  <c r="H21" i="546"/>
  <c r="V20" i="546"/>
  <c r="W20" i="546" s="1"/>
  <c r="N20" i="546"/>
  <c r="K20" i="546" a="1"/>
  <c r="K20" i="546" s="1"/>
  <c r="M20" i="546" s="1"/>
  <c r="J20" i="546" a="1"/>
  <c r="J20" i="546" s="1"/>
  <c r="H20" i="546"/>
  <c r="V19" i="546"/>
  <c r="W19" i="546" s="1"/>
  <c r="N19" i="546"/>
  <c r="K19" i="546"/>
  <c r="M19" i="546" s="1"/>
  <c r="K19" i="546" a="1"/>
  <c r="J19" i="546"/>
  <c r="J19" i="546" a="1"/>
  <c r="H19" i="546"/>
  <c r="N18" i="546"/>
  <c r="K18" i="546" a="1"/>
  <c r="K18" i="546" s="1"/>
  <c r="M18" i="546" s="1"/>
  <c r="J18" i="546" a="1"/>
  <c r="J18" i="546" s="1"/>
  <c r="H18" i="546"/>
  <c r="N17" i="546"/>
  <c r="K17" i="546"/>
  <c r="M17" i="546" s="1"/>
  <c r="K17" i="546" a="1"/>
  <c r="J17" i="546"/>
  <c r="J17" i="546" a="1"/>
  <c r="H17" i="546"/>
  <c r="V16" i="546"/>
  <c r="W16" i="546" s="1"/>
  <c r="N16" i="546"/>
  <c r="K16" i="546" a="1"/>
  <c r="K16" i="546" s="1"/>
  <c r="M16" i="546" s="1"/>
  <c r="J16" i="546" a="1"/>
  <c r="J16" i="546" s="1"/>
  <c r="H16" i="546"/>
  <c r="W15" i="546"/>
  <c r="V15" i="546"/>
  <c r="N15" i="546"/>
  <c r="K15" i="546" a="1"/>
  <c r="K15" i="546" s="1"/>
  <c r="M15" i="546" s="1"/>
  <c r="J15" i="546" a="1"/>
  <c r="J15" i="546" s="1"/>
  <c r="H15" i="546"/>
  <c r="N14" i="546"/>
  <c r="K14" i="546" a="1"/>
  <c r="K14" i="546" s="1"/>
  <c r="M14" i="546" s="1"/>
  <c r="H14" i="546"/>
  <c r="N13" i="546"/>
  <c r="K13" i="546" a="1"/>
  <c r="K13" i="546" s="1"/>
  <c r="M13" i="546" s="1"/>
  <c r="H13" i="546"/>
  <c r="V12" i="546"/>
  <c r="W12" i="546" s="1"/>
  <c r="N12" i="546"/>
  <c r="K12" i="546" a="1"/>
  <c r="K12" i="546" s="1"/>
  <c r="M12" i="546" s="1"/>
  <c r="J12" i="546" a="1"/>
  <c r="J12" i="546" s="1"/>
  <c r="H12" i="546"/>
  <c r="V11" i="546"/>
  <c r="W11" i="546" s="1"/>
  <c r="N11" i="546"/>
  <c r="K11" i="546"/>
  <c r="M11" i="546" s="1"/>
  <c r="K11" i="546" a="1"/>
  <c r="J11" i="546"/>
  <c r="J11" i="546" a="1"/>
  <c r="H11" i="546"/>
  <c r="V10" i="546"/>
  <c r="W10" i="546" s="1"/>
  <c r="N10" i="546"/>
  <c r="K10" i="546" a="1"/>
  <c r="K10" i="546" s="1"/>
  <c r="M10" i="546" s="1"/>
  <c r="J10" i="546" a="1"/>
  <c r="J10" i="546" s="1"/>
  <c r="H10" i="546"/>
  <c r="V9" i="546"/>
  <c r="W9" i="546" s="1"/>
  <c r="N9" i="546"/>
  <c r="K9" i="546" a="1"/>
  <c r="K9" i="546" s="1"/>
  <c r="M9" i="546" s="1"/>
  <c r="J9" i="546" a="1"/>
  <c r="J9" i="546" s="1"/>
  <c r="H9" i="546"/>
  <c r="V8" i="546"/>
  <c r="W8" i="546" s="1"/>
  <c r="N8" i="546"/>
  <c r="K8" i="546" a="1"/>
  <c r="K8" i="546" s="1"/>
  <c r="M8" i="546" s="1"/>
  <c r="J8" i="546" a="1"/>
  <c r="J8" i="546" s="1"/>
  <c r="H8" i="546"/>
  <c r="V7" i="546"/>
  <c r="V28" i="546" s="1"/>
  <c r="N7" i="546"/>
  <c r="N28" i="546" s="1"/>
  <c r="K7" i="546" a="1"/>
  <c r="K7" i="546" s="1"/>
  <c r="M7" i="546" s="1"/>
  <c r="J7" i="546" a="1"/>
  <c r="J7" i="546" s="1"/>
  <c r="H7" i="546"/>
  <c r="H28" i="546" s="1"/>
  <c r="J319" i="546" l="1" a="1"/>
  <c r="J319" i="546" s="1"/>
  <c r="J308" i="546" a="1"/>
  <c r="J308" i="546" s="1"/>
  <c r="J292" i="546" a="1"/>
  <c r="J292" i="546" s="1"/>
  <c r="J257" i="546" a="1"/>
  <c r="J257" i="546" s="1"/>
  <c r="N370" i="546"/>
  <c r="N428" i="546"/>
  <c r="K506" i="546"/>
  <c r="M370" i="546"/>
  <c r="K428" i="546"/>
  <c r="H308" i="546"/>
  <c r="K292" i="546"/>
  <c r="H292" i="546"/>
  <c r="V292" i="546"/>
  <c r="W292" i="546" s="1"/>
  <c r="V257" i="546"/>
  <c r="W257" i="546" s="1"/>
  <c r="N199" i="546"/>
  <c r="W349" i="546"/>
  <c r="W370" i="546" s="1"/>
  <c r="W371" i="546"/>
  <c r="W309" i="546"/>
  <c r="W334" i="546"/>
  <c r="W429" i="546"/>
  <c r="N479" i="546"/>
  <c r="W464" i="546"/>
  <c r="N490" i="546"/>
  <c r="W319" i="546"/>
  <c r="W7" i="546"/>
  <c r="W29" i="546"/>
  <c r="W258" i="546"/>
  <c r="W138" i="546"/>
  <c r="R170" i="546"/>
  <c r="N137" i="546"/>
  <c r="N121" i="546"/>
  <c r="N164" i="546" s="1"/>
  <c r="B173" i="546" s="1"/>
  <c r="E173" i="546" s="1"/>
  <c r="J148" i="546" a="1"/>
  <c r="J148" i="546" s="1"/>
  <c r="K148" i="546"/>
  <c r="H163" i="546"/>
  <c r="H164" i="546"/>
  <c r="E171" i="546" s="1"/>
  <c r="J163" i="546" a="1"/>
  <c r="J163" i="546" s="1"/>
  <c r="M28" i="546"/>
  <c r="V164" i="546"/>
  <c r="I173" i="546" s="1"/>
  <c r="W28" i="546"/>
  <c r="W164" i="546" s="1"/>
  <c r="K524" i="546"/>
  <c r="R173" i="546"/>
  <c r="T167" i="546" s="1"/>
  <c r="M86" i="546"/>
  <c r="K525" i="546"/>
  <c r="K526" i="546"/>
  <c r="K170" i="546"/>
  <c r="M166" i="546"/>
  <c r="M178" i="546"/>
  <c r="M199" i="546" s="1"/>
  <c r="K199" i="546"/>
  <c r="C520" i="546"/>
  <c r="Q525" i="546"/>
  <c r="M87" i="546"/>
  <c r="M121" i="546" s="1"/>
  <c r="K121" i="546"/>
  <c r="M122" i="546"/>
  <c r="M137" i="546" s="1"/>
  <c r="K137" i="546"/>
  <c r="K527" i="546"/>
  <c r="K528" i="546"/>
  <c r="T170" i="546"/>
  <c r="K163" i="546"/>
  <c r="M149" i="546"/>
  <c r="M163" i="546" s="1"/>
  <c r="K529" i="546"/>
  <c r="T171" i="546"/>
  <c r="K257" i="546"/>
  <c r="M200" i="546"/>
  <c r="M257" i="546" s="1"/>
  <c r="J28" i="546" a="1"/>
  <c r="J28" i="546" s="1"/>
  <c r="K28" i="546"/>
  <c r="J86" i="546" a="1"/>
  <c r="J86" i="546" s="1"/>
  <c r="K86" i="546"/>
  <c r="W87" i="546"/>
  <c r="J121" i="546" a="1"/>
  <c r="J121" i="546" s="1"/>
  <c r="W122" i="546"/>
  <c r="J137" i="546" a="1"/>
  <c r="J137" i="546" s="1"/>
  <c r="M138" i="546"/>
  <c r="M148" i="546" s="1"/>
  <c r="W149" i="546"/>
  <c r="O164" i="546"/>
  <c r="E170" i="546"/>
  <c r="W178" i="546"/>
  <c r="W199" i="546" s="1"/>
  <c r="J199" i="546" a="1"/>
  <c r="J199" i="546" s="1"/>
  <c r="X338" i="546"/>
  <c r="P335" i="546"/>
  <c r="X339" i="546" s="1"/>
  <c r="H257" i="546"/>
  <c r="H335" i="546" s="1"/>
  <c r="E342" i="546" s="1"/>
  <c r="N257" i="546"/>
  <c r="N335" i="546" s="1"/>
  <c r="B344" i="546" s="1"/>
  <c r="W200" i="546"/>
  <c r="K308" i="546"/>
  <c r="M293" i="546"/>
  <c r="M308" i="546" s="1"/>
  <c r="K334" i="546"/>
  <c r="M320" i="546"/>
  <c r="M334" i="546" s="1"/>
  <c r="C530" i="546"/>
  <c r="E528" i="546" s="1"/>
  <c r="G164" i="546"/>
  <c r="P164" i="546"/>
  <c r="X168" i="546" s="1"/>
  <c r="X173" i="546" s="1"/>
  <c r="B342" i="546"/>
  <c r="J335" i="546" a="1"/>
  <c r="J335" i="546" s="1"/>
  <c r="M342" i="546" s="1"/>
  <c r="O335" i="546"/>
  <c r="R337" i="546"/>
  <c r="V308" i="546"/>
  <c r="W308" i="546" s="1"/>
  <c r="K319" i="546"/>
  <c r="V334" i="546"/>
  <c r="X344" i="546"/>
  <c r="Z337" i="546" s="1" a="1"/>
  <c r="Z337" i="546" s="1"/>
  <c r="M258" i="546"/>
  <c r="M292" i="546" s="1"/>
  <c r="R341" i="546"/>
  <c r="R342" i="546"/>
  <c r="E341" i="546"/>
  <c r="K337" i="546"/>
  <c r="J370" i="546" a="1"/>
  <c r="J370" i="546" s="1"/>
  <c r="K370" i="546"/>
  <c r="M429" i="546"/>
  <c r="M463" i="546" s="1"/>
  <c r="B514" i="546"/>
  <c r="J507" i="546" a="1"/>
  <c r="J507" i="546" s="1"/>
  <c r="M514" i="546" s="1"/>
  <c r="R509" i="546"/>
  <c r="X509" i="546"/>
  <c r="O507" i="546"/>
  <c r="X510" i="546" s="1"/>
  <c r="M371" i="546"/>
  <c r="M428" i="546" s="1"/>
  <c r="M464" i="546"/>
  <c r="M479" i="546" s="1"/>
  <c r="K479" i="546"/>
  <c r="K490" i="546"/>
  <c r="M480" i="546"/>
  <c r="M490" i="546" s="1"/>
  <c r="V490" i="546"/>
  <c r="W490" i="546" s="1"/>
  <c r="W506" i="546"/>
  <c r="V506" i="546"/>
  <c r="R534" i="546"/>
  <c r="S534" i="546" a="1"/>
  <c r="S534" i="546" s="1"/>
  <c r="R511" i="546"/>
  <c r="R512" i="546"/>
  <c r="M491" i="546"/>
  <c r="M506" i="546" s="1"/>
  <c r="R514" i="546"/>
  <c r="K513" i="546"/>
  <c r="M509" i="546"/>
  <c r="J536" i="546"/>
  <c r="Q533" i="546"/>
  <c r="R535" i="546"/>
  <c r="S535" i="546" a="1"/>
  <c r="S535" i="546" s="1"/>
  <c r="E513" i="546"/>
  <c r="T533" i="546" a="1"/>
  <c r="T533" i="546" s="1"/>
  <c r="T534" i="546" a="1"/>
  <c r="T534" i="546" s="1"/>
  <c r="T535" i="546" a="1"/>
  <c r="T535" i="546" s="1"/>
  <c r="C536" i="546"/>
  <c r="T536" i="546" s="1" a="1"/>
  <c r="T536" i="546" s="1"/>
  <c r="J334" i="545" a="1"/>
  <c r="J334" i="545" s="1"/>
  <c r="N507" i="546" l="1"/>
  <c r="B516" i="546" s="1"/>
  <c r="E516" i="546" s="1"/>
  <c r="Z341" i="546"/>
  <c r="Z342" i="546"/>
  <c r="Z343" i="546"/>
  <c r="Z340" i="546"/>
  <c r="M507" i="546"/>
  <c r="T169" i="546"/>
  <c r="T168" i="546"/>
  <c r="G519" i="546"/>
  <c r="E527" i="546"/>
  <c r="E526" i="546"/>
  <c r="E525" i="546"/>
  <c r="E524" i="546"/>
  <c r="Z166" i="546" a="1"/>
  <c r="Z166" i="546" s="1"/>
  <c r="Z172" i="546"/>
  <c r="Z167" i="546"/>
  <c r="Z171" i="546"/>
  <c r="Z169" i="546"/>
  <c r="Z170" i="546"/>
  <c r="E344" i="546"/>
  <c r="C521" i="546"/>
  <c r="G521" i="546" s="1"/>
  <c r="R533" i="546"/>
  <c r="R536" i="546" s="1"/>
  <c r="Q536" i="546"/>
  <c r="S536" i="546" s="1" a="1"/>
  <c r="S536" i="546" s="1"/>
  <c r="S533" i="546" a="1"/>
  <c r="S533" i="546" s="1"/>
  <c r="X516" i="546"/>
  <c r="Z509" i="546" s="1" a="1"/>
  <c r="Z509" i="546" s="1"/>
  <c r="K507" i="546"/>
  <c r="M337" i="546"/>
  <c r="K341" i="546"/>
  <c r="M341" i="546" s="1"/>
  <c r="T337" i="546" a="1"/>
  <c r="T337" i="546" s="1"/>
  <c r="R344" i="546"/>
  <c r="B171" i="546"/>
  <c r="C519" i="546" s="1"/>
  <c r="J164" i="546" a="1"/>
  <c r="J164" i="546" s="1"/>
  <c r="M171" i="546" s="1"/>
  <c r="Z338" i="546"/>
  <c r="W335" i="546"/>
  <c r="E529" i="546"/>
  <c r="E530" i="546" s="1"/>
  <c r="K164" i="546"/>
  <c r="E172" i="546" s="1"/>
  <c r="V335" i="546"/>
  <c r="I344" i="546" s="1"/>
  <c r="M344" i="546" s="1" a="1"/>
  <c r="M344" i="546" s="1"/>
  <c r="M335" i="546"/>
  <c r="K530" i="546"/>
  <c r="M528" i="546" s="1"/>
  <c r="T172" i="546"/>
  <c r="M164" i="546"/>
  <c r="M513" i="546"/>
  <c r="Z510" i="546"/>
  <c r="R516" i="546"/>
  <c r="T514" i="546" s="1"/>
  <c r="T509" i="546" a="1"/>
  <c r="T509" i="546" s="1"/>
  <c r="T341" i="546"/>
  <c r="V507" i="546"/>
  <c r="Q526" i="546"/>
  <c r="Z168" i="546"/>
  <c r="Z339" i="546"/>
  <c r="K335" i="546"/>
  <c r="M170" i="546"/>
  <c r="M526" i="546"/>
  <c r="T166" i="546" a="1"/>
  <c r="T166" i="546" s="1"/>
  <c r="M524" i="546" a="1"/>
  <c r="M524" i="546" s="1"/>
  <c r="M173" i="546" a="1"/>
  <c r="M173" i="546" s="1"/>
  <c r="M315" i="545"/>
  <c r="J315" i="545" a="1"/>
  <c r="J315" i="545" s="1"/>
  <c r="K315" i="545" a="1"/>
  <c r="K315" i="545" s="1"/>
  <c r="J222" i="545" a="1"/>
  <c r="J222" i="545" s="1"/>
  <c r="J221" i="545" a="1"/>
  <c r="J221" i="545" s="1"/>
  <c r="I315" i="545"/>
  <c r="I307" i="545"/>
  <c r="I183" i="545"/>
  <c r="I200" i="545"/>
  <c r="I203" i="545"/>
  <c r="I264" i="545"/>
  <c r="I212" i="545"/>
  <c r="I215" i="545"/>
  <c r="I222" i="545"/>
  <c r="I221" i="545"/>
  <c r="I186" i="545"/>
  <c r="M525" i="546" l="1"/>
  <c r="E343" i="546"/>
  <c r="I343" i="546" s="1"/>
  <c r="M343" i="546" s="1"/>
  <c r="L335" i="546"/>
  <c r="I342" i="546" s="1"/>
  <c r="I516" i="546"/>
  <c r="W507" i="546"/>
  <c r="M527" i="546"/>
  <c r="M529" i="546"/>
  <c r="O519" i="546" a="1"/>
  <c r="O519" i="546" s="1"/>
  <c r="E515" i="546"/>
  <c r="I515" i="546" s="1"/>
  <c r="M515" i="546" s="1"/>
  <c r="L507" i="546"/>
  <c r="I514" i="546" s="1"/>
  <c r="Q530" i="546"/>
  <c r="T515" i="546"/>
  <c r="T510" i="546"/>
  <c r="T513" i="546"/>
  <c r="T511" i="546"/>
  <c r="G520" i="546"/>
  <c r="K520" i="546" s="1"/>
  <c r="O520" i="546" s="1"/>
  <c r="I172" i="546"/>
  <c r="M172" i="546" s="1"/>
  <c r="L164" i="546"/>
  <c r="I171" i="546" s="1"/>
  <c r="T343" i="546"/>
  <c r="T338" i="546"/>
  <c r="T340" i="546"/>
  <c r="T339" i="546"/>
  <c r="T342" i="546"/>
  <c r="Z515" i="546"/>
  <c r="Z512" i="546"/>
  <c r="Z511" i="546"/>
  <c r="Z514" i="546"/>
  <c r="Z513" i="546"/>
  <c r="T512" i="546"/>
  <c r="G315" i="545"/>
  <c r="G186" i="545"/>
  <c r="S528" i="546" l="1"/>
  <c r="S524" i="546" a="1"/>
  <c r="S524" i="546" s="1"/>
  <c r="S527" i="546"/>
  <c r="S529" i="546"/>
  <c r="S525" i="546"/>
  <c r="S526" i="546"/>
  <c r="K519" i="546"/>
  <c r="M516" i="546" a="1"/>
  <c r="M516" i="546" s="1"/>
  <c r="K521" i="546"/>
  <c r="O521" i="546" s="1" a="1"/>
  <c r="O521" i="546" s="1"/>
  <c r="G198" i="545"/>
  <c r="G322" i="545"/>
  <c r="I15" i="545"/>
  <c r="G15" i="545"/>
  <c r="G264" i="545"/>
  <c r="G307" i="545"/>
  <c r="G215" i="545"/>
  <c r="G221" i="545"/>
  <c r="G200" i="545"/>
  <c r="G212" i="545"/>
  <c r="G203" i="545"/>
  <c r="G183" i="545"/>
  <c r="G12" i="545"/>
  <c r="M30" i="545"/>
  <c r="J30" i="545" a="1"/>
  <c r="J30" i="545" s="1"/>
  <c r="J50" i="545" a="1"/>
  <c r="J50" i="545" s="1"/>
  <c r="J52" i="545" a="1"/>
  <c r="J52" i="545" s="1"/>
  <c r="J108" i="545" a="1"/>
  <c r="J108" i="545" s="1"/>
  <c r="M117" i="545"/>
  <c r="M116" i="545"/>
  <c r="M115" i="545"/>
  <c r="M144" i="545"/>
  <c r="J117" i="545" a="1"/>
  <c r="J117" i="545" s="1"/>
  <c r="J116" i="545" a="1"/>
  <c r="J116" i="545" s="1"/>
  <c r="J115" i="545" a="1"/>
  <c r="J115" i="545" s="1"/>
  <c r="J144" i="545" a="1"/>
  <c r="J144" i="545" s="1"/>
  <c r="I11" i="545"/>
  <c r="I44" i="545"/>
  <c r="I93" i="545"/>
  <c r="I144" i="545"/>
  <c r="I32" i="545"/>
  <c r="I30" i="545"/>
  <c r="I152" i="545"/>
  <c r="I12" i="545"/>
  <c r="I27" i="545"/>
  <c r="S530" i="546" l="1"/>
  <c r="I435" i="545"/>
  <c r="G435" i="545" l="1"/>
  <c r="G108" i="545"/>
  <c r="G52" i="545"/>
  <c r="G32" i="545"/>
  <c r="G50" i="545"/>
  <c r="G44" i="545"/>
  <c r="G30" i="545"/>
  <c r="G93" i="545"/>
  <c r="G117" i="545"/>
  <c r="G144" i="545"/>
  <c r="G27" i="545"/>
  <c r="P536" i="545"/>
  <c r="O536" i="545"/>
  <c r="N536" i="545"/>
  <c r="M536" i="545"/>
  <c r="L536" i="545"/>
  <c r="K536" i="545"/>
  <c r="I536" i="545"/>
  <c r="H536" i="545"/>
  <c r="G536" i="545"/>
  <c r="F536" i="545"/>
  <c r="E536" i="545"/>
  <c r="G517" i="545"/>
  <c r="N517" i="545" s="1"/>
  <c r="X515" i="545"/>
  <c r="X514" i="545"/>
  <c r="X513" i="545"/>
  <c r="G513" i="545"/>
  <c r="C513" i="545"/>
  <c r="X512" i="545"/>
  <c r="I512" i="545"/>
  <c r="E512" i="545"/>
  <c r="K512" i="545" s="1"/>
  <c r="M512" i="545" s="1"/>
  <c r="X511" i="545"/>
  <c r="I511" i="545"/>
  <c r="E511" i="545"/>
  <c r="K511" i="545" s="1"/>
  <c r="M511" i="545" s="1"/>
  <c r="I510" i="545"/>
  <c r="E510" i="545"/>
  <c r="K510" i="545" s="1"/>
  <c r="M510" i="545" s="1"/>
  <c r="I509" i="545"/>
  <c r="I513" i="545" s="1"/>
  <c r="E509" i="545"/>
  <c r="E513" i="545" s="1"/>
  <c r="AA506" i="545"/>
  <c r="Z506" i="545"/>
  <c r="Y506" i="545"/>
  <c r="X506" i="545"/>
  <c r="U506" i="545"/>
  <c r="T506" i="545"/>
  <c r="S506" i="545"/>
  <c r="R506" i="545"/>
  <c r="Q506" i="545"/>
  <c r="P506" i="545"/>
  <c r="O506" i="545"/>
  <c r="I506" i="545"/>
  <c r="G506" i="545"/>
  <c r="J506" i="545" s="1" a="1"/>
  <c r="J506" i="545" s="1"/>
  <c r="H505" i="545"/>
  <c r="H504" i="545"/>
  <c r="H503" i="545"/>
  <c r="D502" i="545"/>
  <c r="H502" i="545" s="1"/>
  <c r="V501" i="545"/>
  <c r="W501" i="545" s="1"/>
  <c r="N501" i="545"/>
  <c r="K501" i="545" a="1"/>
  <c r="K501" i="545" s="1"/>
  <c r="M501" i="545" s="1"/>
  <c r="J501" i="545" a="1"/>
  <c r="J501" i="545" s="1"/>
  <c r="H501" i="545"/>
  <c r="H500" i="545"/>
  <c r="H499" i="545"/>
  <c r="V498" i="545"/>
  <c r="W498" i="545" s="1"/>
  <c r="N498" i="545"/>
  <c r="M498" i="545"/>
  <c r="K498" i="545" a="1"/>
  <c r="K498" i="545" s="1"/>
  <c r="J498" i="545" a="1"/>
  <c r="J498" i="545" s="1"/>
  <c r="H498" i="545"/>
  <c r="W497" i="545"/>
  <c r="V497" i="545"/>
  <c r="N497" i="545"/>
  <c r="K497" i="545" a="1"/>
  <c r="K497" i="545" s="1"/>
  <c r="M497" i="545" s="1"/>
  <c r="J497" i="545" a="1"/>
  <c r="J497" i="545" s="1"/>
  <c r="H497" i="545"/>
  <c r="H496" i="545"/>
  <c r="H495" i="545"/>
  <c r="V494" i="545"/>
  <c r="W494" i="545" s="1"/>
  <c r="N494" i="545"/>
  <c r="M494" i="545"/>
  <c r="K494" i="545" a="1"/>
  <c r="K494" i="545" s="1"/>
  <c r="J494" i="545" a="1"/>
  <c r="J494" i="545" s="1"/>
  <c r="H494" i="545"/>
  <c r="W493" i="545"/>
  <c r="V493" i="545"/>
  <c r="N493" i="545"/>
  <c r="K493" i="545" a="1"/>
  <c r="K493" i="545" s="1"/>
  <c r="M493" i="545" s="1"/>
  <c r="J493" i="545" a="1"/>
  <c r="J493" i="545" s="1"/>
  <c r="H493" i="545"/>
  <c r="V492" i="545"/>
  <c r="W492" i="545" s="1"/>
  <c r="N492" i="545"/>
  <c r="M492" i="545"/>
  <c r="K492" i="545" a="1"/>
  <c r="K492" i="545" s="1"/>
  <c r="J492" i="545" a="1"/>
  <c r="J492" i="545" s="1"/>
  <c r="H492" i="545"/>
  <c r="W491" i="545"/>
  <c r="V491" i="545"/>
  <c r="N491" i="545"/>
  <c r="N506" i="545" s="1"/>
  <c r="K491" i="545" a="1"/>
  <c r="K491" i="545" s="1"/>
  <c r="J491" i="545" a="1"/>
  <c r="J491" i="545" s="1"/>
  <c r="H491" i="545"/>
  <c r="AA490" i="545"/>
  <c r="Z490" i="545"/>
  <c r="Y490" i="545"/>
  <c r="X490" i="545"/>
  <c r="U490" i="545"/>
  <c r="T490" i="545"/>
  <c r="S490" i="545"/>
  <c r="Q490" i="545"/>
  <c r="P490" i="545"/>
  <c r="O490" i="545"/>
  <c r="I490" i="545"/>
  <c r="G490" i="545"/>
  <c r="V489" i="545"/>
  <c r="W489" i="545" s="1"/>
  <c r="N489" i="545"/>
  <c r="K489" i="545" a="1"/>
  <c r="K489" i="545" s="1"/>
  <c r="M489" i="545" s="1"/>
  <c r="J489" i="545" a="1"/>
  <c r="J489" i="545" s="1"/>
  <c r="H489" i="545"/>
  <c r="H487" i="545"/>
  <c r="H486" i="545"/>
  <c r="H485" i="545"/>
  <c r="V484" i="545"/>
  <c r="W484" i="545" s="1"/>
  <c r="N484" i="545"/>
  <c r="M484" i="545"/>
  <c r="K484" i="545" a="1"/>
  <c r="K484" i="545" s="1"/>
  <c r="J484" i="545" a="1"/>
  <c r="J484" i="545" s="1"/>
  <c r="H484" i="545"/>
  <c r="W483" i="545"/>
  <c r="V483" i="545"/>
  <c r="N483" i="545"/>
  <c r="K483" i="545" a="1"/>
  <c r="K483" i="545" s="1"/>
  <c r="M483" i="545" s="1"/>
  <c r="J483" i="545" a="1"/>
  <c r="J483" i="545" s="1"/>
  <c r="H483" i="545"/>
  <c r="V482" i="545"/>
  <c r="W482" i="545" s="1"/>
  <c r="N482" i="545"/>
  <c r="M482" i="545"/>
  <c r="K482" i="545" a="1"/>
  <c r="K482" i="545" s="1"/>
  <c r="J482" i="545" a="1"/>
  <c r="J482" i="545" s="1"/>
  <c r="H482" i="545"/>
  <c r="W481" i="545"/>
  <c r="V481" i="545"/>
  <c r="N481" i="545"/>
  <c r="K481" i="545" a="1"/>
  <c r="K481" i="545" s="1"/>
  <c r="M481" i="545" s="1"/>
  <c r="J481" i="545" a="1"/>
  <c r="J481" i="545" s="1"/>
  <c r="H481" i="545"/>
  <c r="V480" i="545"/>
  <c r="W480" i="545" s="1"/>
  <c r="N480" i="545"/>
  <c r="M480" i="545"/>
  <c r="K480" i="545" a="1"/>
  <c r="K480" i="545" s="1"/>
  <c r="J480" i="545" a="1"/>
  <c r="J480" i="545" s="1"/>
  <c r="H480" i="545"/>
  <c r="AA479" i="545"/>
  <c r="Z479" i="545"/>
  <c r="Y479" i="545"/>
  <c r="X479" i="545"/>
  <c r="U479" i="545"/>
  <c r="T479" i="545"/>
  <c r="S479" i="545"/>
  <c r="Q479" i="545"/>
  <c r="P479" i="545"/>
  <c r="O479" i="545"/>
  <c r="I479" i="545"/>
  <c r="G479" i="545"/>
  <c r="J479" i="545" s="1" a="1"/>
  <c r="J479" i="545" s="1"/>
  <c r="V478" i="545"/>
  <c r="W478" i="545" s="1"/>
  <c r="N478" i="545"/>
  <c r="K478" i="545"/>
  <c r="M478" i="545" s="1"/>
  <c r="K478" i="545" a="1"/>
  <c r="J478" i="545"/>
  <c r="J478" i="545" a="1"/>
  <c r="H478" i="545"/>
  <c r="V477" i="545"/>
  <c r="W477" i="545" s="1"/>
  <c r="N477" i="545"/>
  <c r="K477" i="545" a="1"/>
  <c r="K477" i="545" s="1"/>
  <c r="M477" i="545" s="1"/>
  <c r="J477" i="545" a="1"/>
  <c r="J477" i="545" s="1"/>
  <c r="H477" i="545"/>
  <c r="W476" i="545"/>
  <c r="V476" i="545"/>
  <c r="N476" i="545"/>
  <c r="K476" i="545" a="1"/>
  <c r="K476" i="545" s="1"/>
  <c r="M476" i="545" s="1"/>
  <c r="J476" i="545" a="1"/>
  <c r="J476" i="545" s="1"/>
  <c r="H476" i="545"/>
  <c r="V475" i="545"/>
  <c r="W475" i="545" s="1"/>
  <c r="N475" i="545"/>
  <c r="K475" i="545" a="1"/>
  <c r="K475" i="545" s="1"/>
  <c r="M475" i="545" s="1"/>
  <c r="J475" i="545" a="1"/>
  <c r="J475" i="545" s="1"/>
  <c r="H475" i="545"/>
  <c r="V474" i="545"/>
  <c r="W474" i="545" s="1"/>
  <c r="N474" i="545"/>
  <c r="K474" i="545"/>
  <c r="M474" i="545" s="1"/>
  <c r="K474" i="545" a="1"/>
  <c r="J474" i="545"/>
  <c r="J474" i="545" a="1"/>
  <c r="H474" i="545"/>
  <c r="V473" i="545"/>
  <c r="W473" i="545" s="1"/>
  <c r="N473" i="545"/>
  <c r="K473" i="545" a="1"/>
  <c r="K473" i="545" s="1"/>
  <c r="M473" i="545" s="1"/>
  <c r="J473" i="545" a="1"/>
  <c r="J473" i="545" s="1"/>
  <c r="H473" i="545"/>
  <c r="V472" i="545"/>
  <c r="W472" i="545" s="1"/>
  <c r="N472" i="545"/>
  <c r="K472" i="545" a="1"/>
  <c r="K472" i="545" s="1"/>
  <c r="M472" i="545" s="1"/>
  <c r="J472" i="545" a="1"/>
  <c r="J472" i="545" s="1"/>
  <c r="H472" i="545"/>
  <c r="V471" i="545"/>
  <c r="W471" i="545" s="1"/>
  <c r="N471" i="545"/>
  <c r="K471" i="545" a="1"/>
  <c r="K471" i="545" s="1"/>
  <c r="M471" i="545" s="1"/>
  <c r="J471" i="545" a="1"/>
  <c r="J471" i="545" s="1"/>
  <c r="H471" i="545"/>
  <c r="V470" i="545"/>
  <c r="W470" i="545" s="1"/>
  <c r="N470" i="545"/>
  <c r="K470" i="545"/>
  <c r="M470" i="545" s="1"/>
  <c r="K470" i="545" a="1"/>
  <c r="J470" i="545"/>
  <c r="J470" i="545" a="1"/>
  <c r="H470" i="545"/>
  <c r="V469" i="545"/>
  <c r="W469" i="545" s="1"/>
  <c r="N469" i="545"/>
  <c r="K469" i="545" a="1"/>
  <c r="K469" i="545" s="1"/>
  <c r="M469" i="545" s="1"/>
  <c r="J469" i="545" a="1"/>
  <c r="J469" i="545" s="1"/>
  <c r="H469" i="545"/>
  <c r="W468" i="545"/>
  <c r="V468" i="545"/>
  <c r="N468" i="545"/>
  <c r="K468" i="545" a="1"/>
  <c r="K468" i="545" s="1"/>
  <c r="M468" i="545" s="1"/>
  <c r="J468" i="545" a="1"/>
  <c r="J468" i="545" s="1"/>
  <c r="H468" i="545"/>
  <c r="V467" i="545"/>
  <c r="W467" i="545" s="1"/>
  <c r="N467" i="545"/>
  <c r="K467" i="545" a="1"/>
  <c r="K467" i="545" s="1"/>
  <c r="M467" i="545" s="1"/>
  <c r="J467" i="545" a="1"/>
  <c r="J467" i="545" s="1"/>
  <c r="H467" i="545"/>
  <c r="V466" i="545"/>
  <c r="W466" i="545" s="1"/>
  <c r="N466" i="545"/>
  <c r="K466" i="545"/>
  <c r="M466" i="545" s="1"/>
  <c r="K466" i="545" a="1"/>
  <c r="J466" i="545"/>
  <c r="J466" i="545" a="1"/>
  <c r="H466" i="545"/>
  <c r="V465" i="545"/>
  <c r="W465" i="545" s="1"/>
  <c r="N465" i="545"/>
  <c r="K465" i="545" a="1"/>
  <c r="K465" i="545" s="1"/>
  <c r="M465" i="545" s="1"/>
  <c r="J465" i="545" a="1"/>
  <c r="J465" i="545" s="1"/>
  <c r="H465" i="545"/>
  <c r="V464" i="545"/>
  <c r="W464" i="545" s="1"/>
  <c r="N464" i="545"/>
  <c r="K464" i="545" a="1"/>
  <c r="K464" i="545" s="1"/>
  <c r="M464" i="545" s="1"/>
  <c r="J464" i="545" a="1"/>
  <c r="J464" i="545" s="1"/>
  <c r="H464" i="545"/>
  <c r="AA463" i="545"/>
  <c r="Z463" i="545"/>
  <c r="Y463" i="545"/>
  <c r="X463" i="545"/>
  <c r="U463" i="545"/>
  <c r="T463" i="545"/>
  <c r="S463" i="545"/>
  <c r="R463" i="545"/>
  <c r="Q463" i="545"/>
  <c r="P463" i="545"/>
  <c r="O463" i="545"/>
  <c r="R511" i="545" s="1"/>
  <c r="I463" i="545"/>
  <c r="G463" i="545"/>
  <c r="V462" i="545"/>
  <c r="W462" i="545" s="1"/>
  <c r="N462" i="545"/>
  <c r="K462" i="545"/>
  <c r="M462" i="545" s="1"/>
  <c r="K462" i="545" a="1"/>
  <c r="J462" i="545"/>
  <c r="J462" i="545" a="1"/>
  <c r="H462" i="545"/>
  <c r="V461" i="545"/>
  <c r="W461" i="545" s="1"/>
  <c r="N461" i="545"/>
  <c r="K461" i="545" a="1"/>
  <c r="K461" i="545" s="1"/>
  <c r="M461" i="545" s="1"/>
  <c r="J461" i="545" a="1"/>
  <c r="J461" i="545" s="1"/>
  <c r="H461" i="545"/>
  <c r="W460" i="545"/>
  <c r="V460" i="545"/>
  <c r="N460" i="545"/>
  <c r="K460" i="545" a="1"/>
  <c r="K460" i="545" s="1"/>
  <c r="M460" i="545" s="1"/>
  <c r="J460" i="545" a="1"/>
  <c r="J460" i="545" s="1"/>
  <c r="H460" i="545"/>
  <c r="K459" i="545"/>
  <c r="M459" i="545" s="1"/>
  <c r="K459" i="545" a="1"/>
  <c r="H459" i="545"/>
  <c r="K458" i="545" a="1"/>
  <c r="K458" i="545" s="1"/>
  <c r="M458" i="545" s="1"/>
  <c r="H458" i="545"/>
  <c r="K457" i="545"/>
  <c r="M457" i="545" s="1"/>
  <c r="K457" i="545" a="1"/>
  <c r="H457" i="545"/>
  <c r="V456" i="545"/>
  <c r="W456" i="545" s="1"/>
  <c r="N456" i="545"/>
  <c r="K456" i="545" a="1"/>
  <c r="K456" i="545" s="1"/>
  <c r="M456" i="545" s="1"/>
  <c r="J456" i="545" a="1"/>
  <c r="J456" i="545" s="1"/>
  <c r="H456" i="545"/>
  <c r="V455" i="545"/>
  <c r="W455" i="545" s="1"/>
  <c r="N455" i="545"/>
  <c r="K455" i="545" a="1"/>
  <c r="K455" i="545" s="1"/>
  <c r="M455" i="545" s="1"/>
  <c r="J455" i="545" a="1"/>
  <c r="J455" i="545" s="1"/>
  <c r="H455" i="545"/>
  <c r="N454" i="545"/>
  <c r="K454" i="545" a="1"/>
  <c r="K454" i="545" s="1"/>
  <c r="M454" i="545" s="1"/>
  <c r="H454" i="545"/>
  <c r="N453" i="545"/>
  <c r="K453" i="545"/>
  <c r="M453" i="545" s="1"/>
  <c r="K453" i="545" a="1"/>
  <c r="H453" i="545"/>
  <c r="N452" i="545"/>
  <c r="K452" i="545" a="1"/>
  <c r="K452" i="545" s="1"/>
  <c r="M452" i="545" s="1"/>
  <c r="H452" i="545"/>
  <c r="N451" i="545"/>
  <c r="K451" i="545" a="1"/>
  <c r="K451" i="545" s="1"/>
  <c r="M451" i="545" s="1"/>
  <c r="H451" i="545"/>
  <c r="N450" i="545"/>
  <c r="K450" i="545" a="1"/>
  <c r="K450" i="545" s="1"/>
  <c r="M450" i="545" s="1"/>
  <c r="H450" i="545"/>
  <c r="N449" i="545"/>
  <c r="K449" i="545"/>
  <c r="M449" i="545" s="1"/>
  <c r="K449" i="545" a="1"/>
  <c r="H449" i="545"/>
  <c r="V448" i="545"/>
  <c r="W448" i="545" s="1"/>
  <c r="N448" i="545"/>
  <c r="K448" i="545" a="1"/>
  <c r="K448" i="545" s="1"/>
  <c r="M448" i="545" s="1"/>
  <c r="J448" i="545" a="1"/>
  <c r="J448" i="545" s="1"/>
  <c r="H448" i="545"/>
  <c r="V447" i="545"/>
  <c r="W447" i="545" s="1"/>
  <c r="N447" i="545"/>
  <c r="K447" i="545" a="1"/>
  <c r="K447" i="545" s="1"/>
  <c r="M447" i="545" s="1"/>
  <c r="J447" i="545" a="1"/>
  <c r="J447" i="545" s="1"/>
  <c r="H447" i="545"/>
  <c r="V446" i="545"/>
  <c r="W446" i="545" s="1"/>
  <c r="N446" i="545"/>
  <c r="K446" i="545" a="1"/>
  <c r="K446" i="545" s="1"/>
  <c r="M446" i="545" s="1"/>
  <c r="J446" i="545" a="1"/>
  <c r="J446" i="545" s="1"/>
  <c r="H446" i="545"/>
  <c r="V445" i="545"/>
  <c r="W445" i="545" s="1"/>
  <c r="N445" i="545"/>
  <c r="K445" i="545"/>
  <c r="M445" i="545" s="1"/>
  <c r="K445" i="545" a="1"/>
  <c r="J445" i="545"/>
  <c r="J445" i="545" a="1"/>
  <c r="H445" i="545"/>
  <c r="V444" i="545"/>
  <c r="W444" i="545" s="1"/>
  <c r="N444" i="545"/>
  <c r="K444" i="545" a="1"/>
  <c r="K444" i="545" s="1"/>
  <c r="M444" i="545" s="1"/>
  <c r="J444" i="545" a="1"/>
  <c r="J444" i="545" s="1"/>
  <c r="H444" i="545"/>
  <c r="V443" i="545"/>
  <c r="W443" i="545" s="1"/>
  <c r="N443" i="545"/>
  <c r="K443" i="545"/>
  <c r="M443" i="545" s="1"/>
  <c r="K443" i="545" a="1"/>
  <c r="J443" i="545"/>
  <c r="J443" i="545" a="1"/>
  <c r="H443" i="545"/>
  <c r="V442" i="545"/>
  <c r="W442" i="545" s="1"/>
  <c r="N442" i="545"/>
  <c r="K442" i="545" a="1"/>
  <c r="K442" i="545" s="1"/>
  <c r="M442" i="545" s="1"/>
  <c r="J442" i="545" a="1"/>
  <c r="J442" i="545" s="1"/>
  <c r="H442" i="545"/>
  <c r="W441" i="545"/>
  <c r="V441" i="545"/>
  <c r="N441" i="545"/>
  <c r="K441" i="545" a="1"/>
  <c r="K441" i="545" s="1"/>
  <c r="M441" i="545" s="1"/>
  <c r="J441" i="545" a="1"/>
  <c r="J441" i="545" s="1"/>
  <c r="H441" i="545"/>
  <c r="V440" i="545"/>
  <c r="W440" i="545" s="1"/>
  <c r="N440" i="545"/>
  <c r="K440" i="545" a="1"/>
  <c r="K440" i="545" s="1"/>
  <c r="M440" i="545" s="1"/>
  <c r="J440" i="545" a="1"/>
  <c r="J440" i="545" s="1"/>
  <c r="H440" i="545"/>
  <c r="V439" i="545"/>
  <c r="W439" i="545" s="1"/>
  <c r="N439" i="545"/>
  <c r="K439" i="545"/>
  <c r="M439" i="545" s="1"/>
  <c r="K439" i="545" a="1"/>
  <c r="J439" i="545"/>
  <c r="J439" i="545" a="1"/>
  <c r="H439" i="545"/>
  <c r="V438" i="545"/>
  <c r="W438" i="545" s="1"/>
  <c r="N438" i="545"/>
  <c r="K438" i="545" a="1"/>
  <c r="K438" i="545" s="1"/>
  <c r="M438" i="545" s="1"/>
  <c r="J438" i="545" a="1"/>
  <c r="J438" i="545" s="1"/>
  <c r="H438" i="545"/>
  <c r="W437" i="545"/>
  <c r="V437" i="545"/>
  <c r="N437" i="545"/>
  <c r="K437" i="545" a="1"/>
  <c r="K437" i="545" s="1"/>
  <c r="M437" i="545" s="1"/>
  <c r="J437" i="545" a="1"/>
  <c r="J437" i="545" s="1"/>
  <c r="H437" i="545"/>
  <c r="N436" i="545"/>
  <c r="K436" i="545" a="1"/>
  <c r="K436" i="545" s="1"/>
  <c r="M436" i="545" s="1"/>
  <c r="H436" i="545"/>
  <c r="W435" i="545"/>
  <c r="V435" i="545"/>
  <c r="N435" i="545"/>
  <c r="K435" i="545" a="1"/>
  <c r="K435" i="545" s="1"/>
  <c r="M435" i="545" s="1"/>
  <c r="J435" i="545" a="1"/>
  <c r="J435" i="545" s="1"/>
  <c r="H435" i="545"/>
  <c r="V434" i="545"/>
  <c r="W434" i="545" s="1"/>
  <c r="N434" i="545"/>
  <c r="K434" i="545" a="1"/>
  <c r="K434" i="545" s="1"/>
  <c r="M434" i="545" s="1"/>
  <c r="J434" i="545" a="1"/>
  <c r="J434" i="545" s="1"/>
  <c r="H434" i="545"/>
  <c r="V433" i="545"/>
  <c r="W433" i="545" s="1"/>
  <c r="N433" i="545"/>
  <c r="K433" i="545"/>
  <c r="M433" i="545" s="1"/>
  <c r="K433" i="545" a="1"/>
  <c r="J433" i="545"/>
  <c r="J433" i="545" a="1"/>
  <c r="H433" i="545"/>
  <c r="V432" i="545"/>
  <c r="W432" i="545" s="1"/>
  <c r="N432" i="545"/>
  <c r="K432" i="545" a="1"/>
  <c r="K432" i="545" s="1"/>
  <c r="M432" i="545" s="1"/>
  <c r="J432" i="545" a="1"/>
  <c r="J432" i="545" s="1"/>
  <c r="H432" i="545"/>
  <c r="V431" i="545"/>
  <c r="W431" i="545" s="1"/>
  <c r="N431" i="545"/>
  <c r="K431" i="545" a="1"/>
  <c r="K431" i="545" s="1"/>
  <c r="M431" i="545" s="1"/>
  <c r="J431" i="545" a="1"/>
  <c r="J431" i="545" s="1"/>
  <c r="H431" i="545"/>
  <c r="V430" i="545"/>
  <c r="W430" i="545" s="1"/>
  <c r="N430" i="545"/>
  <c r="K430" i="545" a="1"/>
  <c r="K430" i="545" s="1"/>
  <c r="M430" i="545" s="1"/>
  <c r="J430" i="545" a="1"/>
  <c r="J430" i="545" s="1"/>
  <c r="H430" i="545"/>
  <c r="V429" i="545"/>
  <c r="V463" i="545" s="1"/>
  <c r="W463" i="545" s="1"/>
  <c r="N429" i="545"/>
  <c r="K429" i="545"/>
  <c r="K429" i="545" a="1"/>
  <c r="J429" i="545"/>
  <c r="J429" i="545" a="1"/>
  <c r="H429" i="545"/>
  <c r="AA428" i="545"/>
  <c r="Z428" i="545"/>
  <c r="Y428" i="545"/>
  <c r="X428" i="545"/>
  <c r="U428" i="545"/>
  <c r="T428" i="545"/>
  <c r="S428" i="545"/>
  <c r="R428" i="545"/>
  <c r="Q428" i="545"/>
  <c r="P428" i="545"/>
  <c r="O428" i="545"/>
  <c r="I428" i="545"/>
  <c r="G428" i="545"/>
  <c r="J428" i="545" s="1" a="1"/>
  <c r="J428" i="545" s="1"/>
  <c r="K427" i="545" a="1"/>
  <c r="K427" i="545" s="1"/>
  <c r="M427" i="545" s="1"/>
  <c r="H427" i="545"/>
  <c r="K426" i="545" a="1"/>
  <c r="K426" i="545" s="1"/>
  <c r="M426" i="545" s="1"/>
  <c r="H426" i="545"/>
  <c r="K425" i="545" a="1"/>
  <c r="K425" i="545" s="1"/>
  <c r="M425" i="545" s="1"/>
  <c r="H425" i="545"/>
  <c r="K424" i="545" a="1"/>
  <c r="K424" i="545" s="1"/>
  <c r="M424" i="545" s="1"/>
  <c r="H424" i="545"/>
  <c r="K423" i="545" a="1"/>
  <c r="K423" i="545" s="1"/>
  <c r="M423" i="545" s="1"/>
  <c r="H423" i="545"/>
  <c r="K422" i="545" a="1"/>
  <c r="K422" i="545" s="1"/>
  <c r="M422" i="545" s="1"/>
  <c r="H422" i="545"/>
  <c r="K421" i="545" a="1"/>
  <c r="K421" i="545" s="1"/>
  <c r="M421" i="545" s="1"/>
  <c r="H421" i="545"/>
  <c r="K420" i="545" a="1"/>
  <c r="K420" i="545" s="1"/>
  <c r="M420" i="545" s="1"/>
  <c r="H420" i="545"/>
  <c r="K419" i="545" a="1"/>
  <c r="K419" i="545" s="1"/>
  <c r="M419" i="545" s="1"/>
  <c r="H419" i="545"/>
  <c r="K418" i="545" a="1"/>
  <c r="K418" i="545" s="1"/>
  <c r="M418" i="545" s="1"/>
  <c r="H418" i="545"/>
  <c r="W417" i="545"/>
  <c r="V417" i="545"/>
  <c r="N417" i="545"/>
  <c r="K417" i="545" a="1"/>
  <c r="K417" i="545" s="1"/>
  <c r="M417" i="545" s="1"/>
  <c r="J417" i="545" a="1"/>
  <c r="J417" i="545" s="1"/>
  <c r="H417" i="545"/>
  <c r="V416" i="545"/>
  <c r="W416" i="545" s="1"/>
  <c r="N416" i="545"/>
  <c r="K416" i="545" a="1"/>
  <c r="K416" i="545" s="1"/>
  <c r="M416" i="545" s="1"/>
  <c r="J416" i="545" a="1"/>
  <c r="J416" i="545" s="1"/>
  <c r="H416" i="545"/>
  <c r="V415" i="545"/>
  <c r="W415" i="545" s="1"/>
  <c r="N415" i="545"/>
  <c r="K415" i="545"/>
  <c r="M415" i="545" s="1"/>
  <c r="K415" i="545" a="1"/>
  <c r="J415" i="545"/>
  <c r="J415" i="545" a="1"/>
  <c r="H415" i="545"/>
  <c r="V414" i="545"/>
  <c r="W414" i="545" s="1"/>
  <c r="N414" i="545"/>
  <c r="K414" i="545" a="1"/>
  <c r="K414" i="545" s="1"/>
  <c r="M414" i="545" s="1"/>
  <c r="J414" i="545" a="1"/>
  <c r="J414" i="545" s="1"/>
  <c r="H414" i="545"/>
  <c r="H413" i="545"/>
  <c r="V412" i="545"/>
  <c r="W412" i="545" s="1"/>
  <c r="N412" i="545"/>
  <c r="K412" i="545" a="1"/>
  <c r="K412" i="545" s="1"/>
  <c r="M412" i="545" s="1"/>
  <c r="J412" i="545" a="1"/>
  <c r="J412" i="545" s="1"/>
  <c r="H412" i="545"/>
  <c r="V411" i="545"/>
  <c r="W411" i="545" s="1"/>
  <c r="N411" i="545"/>
  <c r="K411" i="545" a="1"/>
  <c r="K411" i="545" s="1"/>
  <c r="M411" i="545" s="1"/>
  <c r="J411" i="545" a="1"/>
  <c r="J411" i="545" s="1"/>
  <c r="H411" i="545"/>
  <c r="H410" i="545"/>
  <c r="K409" i="545" a="1"/>
  <c r="K409" i="545" s="1"/>
  <c r="H409" i="545"/>
  <c r="V408" i="545"/>
  <c r="W408" i="545" s="1"/>
  <c r="N408" i="545"/>
  <c r="K408" i="545" a="1"/>
  <c r="K408" i="545" s="1"/>
  <c r="M408" i="545" s="1"/>
  <c r="J408" i="545" a="1"/>
  <c r="J408" i="545" s="1"/>
  <c r="H408" i="545"/>
  <c r="V407" i="545"/>
  <c r="W407" i="545" s="1"/>
  <c r="N407" i="545"/>
  <c r="K407" i="545"/>
  <c r="M407" i="545" s="1"/>
  <c r="K407" i="545" a="1"/>
  <c r="J407" i="545"/>
  <c r="J407" i="545" a="1"/>
  <c r="H407" i="545"/>
  <c r="V406" i="545"/>
  <c r="W406" i="545" s="1"/>
  <c r="N406" i="545"/>
  <c r="K406" i="545" a="1"/>
  <c r="K406" i="545" s="1"/>
  <c r="M406" i="545" s="1"/>
  <c r="J406" i="545" a="1"/>
  <c r="J406" i="545" s="1"/>
  <c r="H406" i="545"/>
  <c r="V405" i="545"/>
  <c r="W405" i="545" s="1"/>
  <c r="N405" i="545"/>
  <c r="K405" i="545" a="1"/>
  <c r="K405" i="545" s="1"/>
  <c r="M405" i="545" s="1"/>
  <c r="J405" i="545" a="1"/>
  <c r="J405" i="545" s="1"/>
  <c r="H405" i="545"/>
  <c r="V404" i="545"/>
  <c r="W404" i="545" s="1"/>
  <c r="N404" i="545"/>
  <c r="K404" i="545" a="1"/>
  <c r="K404" i="545" s="1"/>
  <c r="M404" i="545" s="1"/>
  <c r="J404" i="545" a="1"/>
  <c r="J404" i="545" s="1"/>
  <c r="H404" i="545"/>
  <c r="V403" i="545"/>
  <c r="W403" i="545" s="1"/>
  <c r="N403" i="545"/>
  <c r="K403" i="545"/>
  <c r="M403" i="545" s="1"/>
  <c r="K403" i="545" a="1"/>
  <c r="J403" i="545"/>
  <c r="J403" i="545" a="1"/>
  <c r="H403" i="545"/>
  <c r="V402" i="545"/>
  <c r="W402" i="545" s="1"/>
  <c r="N402" i="545"/>
  <c r="K402" i="545" a="1"/>
  <c r="K402" i="545" s="1"/>
  <c r="M402" i="545" s="1"/>
  <c r="J402" i="545" a="1"/>
  <c r="J402" i="545" s="1"/>
  <c r="H402" i="545"/>
  <c r="W401" i="545"/>
  <c r="V401" i="545"/>
  <c r="N401" i="545"/>
  <c r="K401" i="545" a="1"/>
  <c r="K401" i="545" s="1"/>
  <c r="M401" i="545" s="1"/>
  <c r="J401" i="545" a="1"/>
  <c r="J401" i="545" s="1"/>
  <c r="H401" i="545"/>
  <c r="V400" i="545"/>
  <c r="W400" i="545" s="1"/>
  <c r="N400" i="545"/>
  <c r="K400" i="545" a="1"/>
  <c r="K400" i="545" s="1"/>
  <c r="M400" i="545" s="1"/>
  <c r="J400" i="545" a="1"/>
  <c r="J400" i="545" s="1"/>
  <c r="H400" i="545"/>
  <c r="V399" i="545"/>
  <c r="W399" i="545" s="1"/>
  <c r="N399" i="545"/>
  <c r="K399" i="545"/>
  <c r="M399" i="545" s="1"/>
  <c r="K399" i="545" a="1"/>
  <c r="J399" i="545"/>
  <c r="J399" i="545" a="1"/>
  <c r="H399" i="545"/>
  <c r="K398" i="545" a="1"/>
  <c r="K398" i="545" s="1"/>
  <c r="M398" i="545" s="1"/>
  <c r="H398" i="545"/>
  <c r="K397" i="545"/>
  <c r="M397" i="545" s="1"/>
  <c r="K397" i="545" a="1"/>
  <c r="H397" i="545"/>
  <c r="K396" i="545" a="1"/>
  <c r="K396" i="545" s="1"/>
  <c r="M396" i="545" s="1"/>
  <c r="H396" i="545"/>
  <c r="K395" i="545"/>
  <c r="M395" i="545" s="1"/>
  <c r="K395" i="545" a="1"/>
  <c r="H395" i="545"/>
  <c r="N394" i="545"/>
  <c r="K394" i="545" a="1"/>
  <c r="K394" i="545" s="1"/>
  <c r="M394" i="545" s="1"/>
  <c r="H394" i="545"/>
  <c r="N393" i="545"/>
  <c r="K393" i="545" a="1"/>
  <c r="K393" i="545" s="1"/>
  <c r="M393" i="545" s="1"/>
  <c r="H393" i="545"/>
  <c r="N392" i="545"/>
  <c r="K392" i="545" a="1"/>
  <c r="K392" i="545" s="1"/>
  <c r="M392" i="545" s="1"/>
  <c r="H392" i="545"/>
  <c r="N391" i="545"/>
  <c r="K391" i="545"/>
  <c r="M391" i="545" s="1"/>
  <c r="K391" i="545" a="1"/>
  <c r="H391" i="545"/>
  <c r="V390" i="545"/>
  <c r="W390" i="545" s="1"/>
  <c r="N390" i="545"/>
  <c r="K390" i="545" a="1"/>
  <c r="K390" i="545" s="1"/>
  <c r="M390" i="545" s="1"/>
  <c r="J390" i="545" a="1"/>
  <c r="J390" i="545" s="1"/>
  <c r="H390" i="545"/>
  <c r="W389" i="545"/>
  <c r="V389" i="545"/>
  <c r="N389" i="545"/>
  <c r="K389" i="545" a="1"/>
  <c r="K389" i="545" s="1"/>
  <c r="M389" i="545" s="1"/>
  <c r="J389" i="545" a="1"/>
  <c r="J389" i="545" s="1"/>
  <c r="H389" i="545"/>
  <c r="V388" i="545"/>
  <c r="W388" i="545" s="1"/>
  <c r="N388" i="545"/>
  <c r="K388" i="545" a="1"/>
  <c r="K388" i="545" s="1"/>
  <c r="M388" i="545" s="1"/>
  <c r="J388" i="545" a="1"/>
  <c r="J388" i="545" s="1"/>
  <c r="H388" i="545"/>
  <c r="V387" i="545"/>
  <c r="W387" i="545" s="1"/>
  <c r="N387" i="545"/>
  <c r="K387" i="545"/>
  <c r="M387" i="545" s="1"/>
  <c r="K387" i="545" a="1"/>
  <c r="J387" i="545"/>
  <c r="J387" i="545" a="1"/>
  <c r="H387" i="545"/>
  <c r="V386" i="545"/>
  <c r="W386" i="545" s="1"/>
  <c r="N386" i="545"/>
  <c r="K386" i="545" a="1"/>
  <c r="K386" i="545" s="1"/>
  <c r="M386" i="545" s="1"/>
  <c r="J386" i="545" a="1"/>
  <c r="J386" i="545" s="1"/>
  <c r="H386" i="545"/>
  <c r="V385" i="545"/>
  <c r="W385" i="545" s="1"/>
  <c r="N385" i="545"/>
  <c r="K385" i="545" a="1"/>
  <c r="K385" i="545" s="1"/>
  <c r="M385" i="545" s="1"/>
  <c r="J385" i="545" a="1"/>
  <c r="J385" i="545" s="1"/>
  <c r="H385" i="545"/>
  <c r="V384" i="545"/>
  <c r="W384" i="545" s="1"/>
  <c r="N384" i="545"/>
  <c r="K384" i="545" a="1"/>
  <c r="K384" i="545" s="1"/>
  <c r="M384" i="545" s="1"/>
  <c r="J384" i="545" a="1"/>
  <c r="J384" i="545" s="1"/>
  <c r="H384" i="545"/>
  <c r="V383" i="545"/>
  <c r="W383" i="545" s="1"/>
  <c r="N383" i="545"/>
  <c r="K383" i="545"/>
  <c r="M383" i="545" s="1"/>
  <c r="K383" i="545" a="1"/>
  <c r="J383" i="545"/>
  <c r="J383" i="545" a="1"/>
  <c r="H383" i="545"/>
  <c r="V382" i="545"/>
  <c r="W382" i="545" s="1"/>
  <c r="N382" i="545"/>
  <c r="K382" i="545" a="1"/>
  <c r="K382" i="545" s="1"/>
  <c r="M382" i="545" s="1"/>
  <c r="J382" i="545" a="1"/>
  <c r="J382" i="545" s="1"/>
  <c r="H382" i="545"/>
  <c r="W381" i="545"/>
  <c r="V381" i="545"/>
  <c r="N381" i="545"/>
  <c r="K381" i="545" a="1"/>
  <c r="K381" i="545" s="1"/>
  <c r="M381" i="545" s="1"/>
  <c r="J381" i="545" a="1"/>
  <c r="J381" i="545" s="1"/>
  <c r="H381" i="545"/>
  <c r="V380" i="545"/>
  <c r="W380" i="545" s="1"/>
  <c r="N380" i="545"/>
  <c r="K380" i="545" a="1"/>
  <c r="K380" i="545" s="1"/>
  <c r="M380" i="545" s="1"/>
  <c r="J380" i="545" a="1"/>
  <c r="J380" i="545" s="1"/>
  <c r="H380" i="545"/>
  <c r="V379" i="545"/>
  <c r="W379" i="545" s="1"/>
  <c r="N379" i="545"/>
  <c r="K379" i="545"/>
  <c r="M379" i="545" s="1"/>
  <c r="K379" i="545" a="1"/>
  <c r="J379" i="545"/>
  <c r="J379" i="545" a="1"/>
  <c r="H379" i="545"/>
  <c r="K378" i="545" a="1"/>
  <c r="K378" i="545" s="1"/>
  <c r="M378" i="545" s="1"/>
  <c r="H378" i="545"/>
  <c r="K377" i="545"/>
  <c r="M377" i="545" s="1"/>
  <c r="K377" i="545" a="1"/>
  <c r="H377" i="545"/>
  <c r="K376" i="545" a="1"/>
  <c r="K376" i="545" s="1"/>
  <c r="M376" i="545" s="1"/>
  <c r="H376" i="545"/>
  <c r="V375" i="545"/>
  <c r="W375" i="545" s="1"/>
  <c r="N375" i="545"/>
  <c r="M375" i="545"/>
  <c r="K375" i="545" a="1"/>
  <c r="K375" i="545" s="1"/>
  <c r="J375" i="545" a="1"/>
  <c r="J375" i="545" s="1"/>
  <c r="H375" i="545"/>
  <c r="V374" i="545"/>
  <c r="W374" i="545" s="1"/>
  <c r="N374" i="545"/>
  <c r="K374" i="545" a="1"/>
  <c r="K374" i="545" s="1"/>
  <c r="M374" i="545" s="1"/>
  <c r="J374" i="545" a="1"/>
  <c r="J374" i="545" s="1"/>
  <c r="H374" i="545"/>
  <c r="V373" i="545"/>
  <c r="W373" i="545" s="1"/>
  <c r="N373" i="545"/>
  <c r="K373" i="545" a="1"/>
  <c r="K373" i="545" s="1"/>
  <c r="M373" i="545" s="1"/>
  <c r="J373" i="545" a="1"/>
  <c r="J373" i="545" s="1"/>
  <c r="H373" i="545"/>
  <c r="K372" i="545" a="1"/>
  <c r="K372" i="545" s="1"/>
  <c r="H372" i="545"/>
  <c r="V371" i="545"/>
  <c r="V428" i="545" s="1"/>
  <c r="W428" i="545" s="1"/>
  <c r="N371" i="545"/>
  <c r="K371" i="545" a="1"/>
  <c r="K371" i="545" s="1"/>
  <c r="J371" i="545" a="1"/>
  <c r="J371" i="545" s="1"/>
  <c r="H371" i="545"/>
  <c r="AA370" i="545"/>
  <c r="AA507" i="545" s="1"/>
  <c r="Z370" i="545"/>
  <c r="Z507" i="545" s="1"/>
  <c r="Y370" i="545"/>
  <c r="Y507" i="545" s="1"/>
  <c r="X370" i="545"/>
  <c r="X507" i="545" s="1"/>
  <c r="U370" i="545"/>
  <c r="U507" i="545" s="1"/>
  <c r="T370" i="545"/>
  <c r="T507" i="545" s="1"/>
  <c r="S370" i="545"/>
  <c r="S507" i="545" s="1"/>
  <c r="R370" i="545"/>
  <c r="R507" i="545" s="1"/>
  <c r="Q370" i="545"/>
  <c r="Q507" i="545" s="1"/>
  <c r="P370" i="545"/>
  <c r="P507" i="545" s="1"/>
  <c r="O370" i="545"/>
  <c r="I370" i="545"/>
  <c r="I507" i="545" s="1"/>
  <c r="B515" i="545" s="1"/>
  <c r="G370" i="545"/>
  <c r="G507" i="545" s="1"/>
  <c r="V369" i="545"/>
  <c r="W369" i="545" s="1"/>
  <c r="N369" i="545"/>
  <c r="K369" i="545" a="1"/>
  <c r="K369" i="545" s="1"/>
  <c r="M369" i="545" s="1"/>
  <c r="J369" i="545" a="1"/>
  <c r="J369" i="545" s="1"/>
  <c r="H369" i="545"/>
  <c r="V368" i="545"/>
  <c r="W368" i="545" s="1"/>
  <c r="N368" i="545"/>
  <c r="K368" i="545"/>
  <c r="M368" i="545" s="1"/>
  <c r="K368" i="545" a="1"/>
  <c r="J368" i="545"/>
  <c r="J368" i="545" a="1"/>
  <c r="H368" i="545"/>
  <c r="K367" i="545" a="1"/>
  <c r="K367" i="545" s="1"/>
  <c r="M367" i="545" s="1"/>
  <c r="H367" i="545"/>
  <c r="K366" i="545"/>
  <c r="M366" i="545" s="1"/>
  <c r="K366" i="545" a="1"/>
  <c r="H366" i="545"/>
  <c r="K365" i="545" a="1"/>
  <c r="K365" i="545" s="1"/>
  <c r="M365" i="545" s="1"/>
  <c r="H365" i="545"/>
  <c r="K364" i="545"/>
  <c r="M364" i="545" s="1"/>
  <c r="K364" i="545" a="1"/>
  <c r="H364" i="545"/>
  <c r="V363" i="545"/>
  <c r="W363" i="545" s="1"/>
  <c r="N363" i="545"/>
  <c r="K363" i="545" a="1"/>
  <c r="K363" i="545" s="1"/>
  <c r="M363" i="545" s="1"/>
  <c r="J363" i="545" a="1"/>
  <c r="J363" i="545" s="1"/>
  <c r="H363" i="545"/>
  <c r="V362" i="545"/>
  <c r="W362" i="545" s="1"/>
  <c r="N362" i="545"/>
  <c r="K362" i="545" a="1"/>
  <c r="K362" i="545" s="1"/>
  <c r="M362" i="545" s="1"/>
  <c r="J362" i="545" a="1"/>
  <c r="J362" i="545" s="1"/>
  <c r="H362" i="545"/>
  <c r="V361" i="545"/>
  <c r="W361" i="545" s="1"/>
  <c r="N361" i="545"/>
  <c r="K361" i="545" a="1"/>
  <c r="K361" i="545" s="1"/>
  <c r="M361" i="545" s="1"/>
  <c r="J361" i="545" a="1"/>
  <c r="J361" i="545" s="1"/>
  <c r="H361" i="545"/>
  <c r="H360" i="545"/>
  <c r="H359" i="545"/>
  <c r="V358" i="545"/>
  <c r="W358" i="545" s="1"/>
  <c r="N358" i="545"/>
  <c r="K358" i="545"/>
  <c r="M358" i="545" s="1"/>
  <c r="K358" i="545" a="1"/>
  <c r="J358" i="545"/>
  <c r="J358" i="545" a="1"/>
  <c r="H358" i="545"/>
  <c r="V357" i="545"/>
  <c r="W357" i="545" s="1"/>
  <c r="N357" i="545"/>
  <c r="K357" i="545" a="1"/>
  <c r="K357" i="545" s="1"/>
  <c r="M357" i="545" s="1"/>
  <c r="J357" i="545" a="1"/>
  <c r="J357" i="545" s="1"/>
  <c r="H357" i="545"/>
  <c r="K356" i="545" a="1"/>
  <c r="K356" i="545" s="1"/>
  <c r="M356" i="545" s="1"/>
  <c r="H356" i="545"/>
  <c r="K355" i="545" a="1"/>
  <c r="K355" i="545" s="1"/>
  <c r="M355" i="545" s="1"/>
  <c r="H355" i="545"/>
  <c r="W354" i="545"/>
  <c r="V354" i="545"/>
  <c r="N354" i="545"/>
  <c r="K354" i="545" a="1"/>
  <c r="K354" i="545" s="1"/>
  <c r="M354" i="545" s="1"/>
  <c r="J354" i="545" a="1"/>
  <c r="J354" i="545" s="1"/>
  <c r="H354" i="545"/>
  <c r="V353" i="545"/>
  <c r="W353" i="545" s="1"/>
  <c r="N353" i="545"/>
  <c r="K353" i="545" a="1"/>
  <c r="K353" i="545" s="1"/>
  <c r="M353" i="545" s="1"/>
  <c r="J353" i="545" a="1"/>
  <c r="J353" i="545" s="1"/>
  <c r="H353" i="545"/>
  <c r="V352" i="545"/>
  <c r="W352" i="545" s="1"/>
  <c r="N352" i="545"/>
  <c r="K352" i="545"/>
  <c r="M352" i="545" s="1"/>
  <c r="K352" i="545" a="1"/>
  <c r="J352" i="545"/>
  <c r="J352" i="545" a="1"/>
  <c r="H352" i="545"/>
  <c r="V351" i="545"/>
  <c r="W351" i="545" s="1"/>
  <c r="N351" i="545"/>
  <c r="K351" i="545" a="1"/>
  <c r="K351" i="545" s="1"/>
  <c r="M351" i="545" s="1"/>
  <c r="J351" i="545" a="1"/>
  <c r="J351" i="545" s="1"/>
  <c r="H351" i="545"/>
  <c r="V350" i="545"/>
  <c r="W350" i="545" s="1"/>
  <c r="N350" i="545"/>
  <c r="K350" i="545" a="1"/>
  <c r="K350" i="545" s="1"/>
  <c r="M350" i="545" s="1"/>
  <c r="J350" i="545" a="1"/>
  <c r="J350" i="545" s="1"/>
  <c r="H350" i="545"/>
  <c r="V349" i="545"/>
  <c r="N349" i="545"/>
  <c r="K349" i="545" a="1"/>
  <c r="K349" i="545" s="1"/>
  <c r="J349" i="545" a="1"/>
  <c r="J349" i="545" s="1"/>
  <c r="H349" i="545"/>
  <c r="X343" i="545"/>
  <c r="X342" i="545"/>
  <c r="X341" i="545"/>
  <c r="G341" i="545"/>
  <c r="E341" i="545"/>
  <c r="C341" i="545"/>
  <c r="X340" i="545"/>
  <c r="I340" i="545"/>
  <c r="E340" i="545"/>
  <c r="K340" i="545" s="1"/>
  <c r="M340" i="545" s="1"/>
  <c r="I339" i="545"/>
  <c r="E339" i="545"/>
  <c r="K339" i="545" s="1"/>
  <c r="M339" i="545" s="1"/>
  <c r="I338" i="545"/>
  <c r="E338" i="545"/>
  <c r="K338" i="545" s="1"/>
  <c r="M338" i="545" s="1"/>
  <c r="X337" i="545"/>
  <c r="I337" i="545"/>
  <c r="I341" i="545" s="1"/>
  <c r="E337" i="545"/>
  <c r="K337" i="545" s="1"/>
  <c r="AA334" i="545"/>
  <c r="Z334" i="545"/>
  <c r="Y334" i="545"/>
  <c r="X334" i="545"/>
  <c r="U334" i="545"/>
  <c r="T334" i="545"/>
  <c r="S334" i="545"/>
  <c r="R334" i="545"/>
  <c r="Q334" i="545"/>
  <c r="P334" i="545"/>
  <c r="O334" i="545"/>
  <c r="R342" i="545" s="1"/>
  <c r="I334" i="545"/>
  <c r="G334" i="545"/>
  <c r="K333" i="545" a="1"/>
  <c r="K333" i="545" s="1"/>
  <c r="H333" i="545"/>
  <c r="K332" i="545"/>
  <c r="K332" i="545" a="1"/>
  <c r="H332" i="545"/>
  <c r="K331" i="545" a="1"/>
  <c r="K331" i="545" s="1"/>
  <c r="H331" i="545"/>
  <c r="V330" i="545"/>
  <c r="W330" i="545" s="1"/>
  <c r="N330" i="545"/>
  <c r="K330" i="545" a="1"/>
  <c r="K330" i="545" s="1"/>
  <c r="D330" i="545"/>
  <c r="H330" i="545" s="1"/>
  <c r="H329" i="545"/>
  <c r="K328" i="545" a="1"/>
  <c r="K328" i="545" s="1"/>
  <c r="H328" i="545"/>
  <c r="H327" i="545"/>
  <c r="V326" i="545"/>
  <c r="W326" i="545" s="1"/>
  <c r="N326" i="545"/>
  <c r="K326" i="545"/>
  <c r="M326" i="545" s="1"/>
  <c r="K326" i="545" a="1"/>
  <c r="J326" i="545" a="1"/>
  <c r="J326" i="545" s="1"/>
  <c r="H326" i="545"/>
  <c r="V325" i="545"/>
  <c r="W325" i="545" s="1"/>
  <c r="N325" i="545"/>
  <c r="K325" i="545" a="1"/>
  <c r="K325" i="545" s="1"/>
  <c r="M325" i="545" s="1"/>
  <c r="J325" i="545" a="1"/>
  <c r="J325" i="545" s="1"/>
  <c r="H325" i="545"/>
  <c r="H324" i="545"/>
  <c r="V323" i="545"/>
  <c r="W323" i="545" s="1"/>
  <c r="N323" i="545"/>
  <c r="K323" i="545" a="1"/>
  <c r="K323" i="545" s="1"/>
  <c r="M323" i="545" s="1"/>
  <c r="J323" i="545" a="1"/>
  <c r="J323" i="545" s="1"/>
  <c r="H323" i="545"/>
  <c r="V322" i="545"/>
  <c r="W322" i="545" s="1"/>
  <c r="N322" i="545"/>
  <c r="K322" i="545" a="1"/>
  <c r="K322" i="545" s="1"/>
  <c r="M322" i="545" s="1"/>
  <c r="J322" i="545" a="1"/>
  <c r="J322" i="545" s="1"/>
  <c r="H322" i="545"/>
  <c r="V321" i="545"/>
  <c r="W321" i="545" s="1"/>
  <c r="N321" i="545"/>
  <c r="K321" i="545" a="1"/>
  <c r="K321" i="545" s="1"/>
  <c r="M321" i="545" s="1"/>
  <c r="J321" i="545" a="1"/>
  <c r="J321" i="545" s="1"/>
  <c r="H321" i="545"/>
  <c r="V320" i="545"/>
  <c r="N320" i="545"/>
  <c r="N334" i="545" s="1"/>
  <c r="K320" i="545" a="1"/>
  <c r="K320" i="545" s="1"/>
  <c r="J320" i="545" a="1"/>
  <c r="J320" i="545" s="1"/>
  <c r="H320" i="545"/>
  <c r="AA319" i="545"/>
  <c r="Z319" i="545"/>
  <c r="Y319" i="545"/>
  <c r="X319" i="545"/>
  <c r="U319" i="545"/>
  <c r="T319" i="545"/>
  <c r="S319" i="545"/>
  <c r="Q319" i="545"/>
  <c r="P319" i="545"/>
  <c r="O319" i="545"/>
  <c r="R341" i="545" s="1"/>
  <c r="I319" i="545"/>
  <c r="G319" i="545"/>
  <c r="V318" i="545"/>
  <c r="W318" i="545" s="1"/>
  <c r="N318" i="545"/>
  <c r="K318" i="545" a="1"/>
  <c r="K318" i="545" s="1"/>
  <c r="M318" i="545" s="1"/>
  <c r="J318" i="545" a="1"/>
  <c r="J318" i="545" s="1"/>
  <c r="H318" i="545"/>
  <c r="H316" i="545"/>
  <c r="H315" i="545"/>
  <c r="H314" i="545"/>
  <c r="V313" i="545"/>
  <c r="W313" i="545" s="1"/>
  <c r="N313" i="545"/>
  <c r="K313" i="545" a="1"/>
  <c r="K313" i="545" s="1"/>
  <c r="M313" i="545" s="1"/>
  <c r="J313" i="545" a="1"/>
  <c r="J313" i="545" s="1"/>
  <c r="H313" i="545"/>
  <c r="V312" i="545"/>
  <c r="W312" i="545" s="1"/>
  <c r="N312" i="545"/>
  <c r="K312" i="545" a="1"/>
  <c r="K312" i="545" s="1"/>
  <c r="M312" i="545" s="1"/>
  <c r="J312" i="545" a="1"/>
  <c r="J312" i="545" s="1"/>
  <c r="H312" i="545"/>
  <c r="V311" i="545"/>
  <c r="W311" i="545" s="1"/>
  <c r="N311" i="545"/>
  <c r="K311" i="545" a="1"/>
  <c r="K311" i="545" s="1"/>
  <c r="M311" i="545" s="1"/>
  <c r="J311" i="545" a="1"/>
  <c r="J311" i="545" s="1"/>
  <c r="H311" i="545"/>
  <c r="V310" i="545"/>
  <c r="W310" i="545" s="1"/>
  <c r="N310" i="545"/>
  <c r="K310" i="545"/>
  <c r="M310" i="545" s="1"/>
  <c r="K310" i="545" a="1"/>
  <c r="J310" i="545"/>
  <c r="J310" i="545" a="1"/>
  <c r="H310" i="545"/>
  <c r="V309" i="545"/>
  <c r="W309" i="545" s="1"/>
  <c r="N309" i="545"/>
  <c r="K309" i="545" a="1"/>
  <c r="K309" i="545" s="1"/>
  <c r="J309" i="545" a="1"/>
  <c r="J309" i="545" s="1"/>
  <c r="H309" i="545"/>
  <c r="H319" i="545" s="1"/>
  <c r="AA308" i="545"/>
  <c r="Z308" i="545"/>
  <c r="Y308" i="545"/>
  <c r="X308" i="545"/>
  <c r="U308" i="545"/>
  <c r="T308" i="545"/>
  <c r="S308" i="545"/>
  <c r="Q308" i="545"/>
  <c r="P308" i="545"/>
  <c r="O308" i="545"/>
  <c r="I308" i="545"/>
  <c r="G308" i="545"/>
  <c r="V307" i="545"/>
  <c r="W307" i="545" s="1"/>
  <c r="N307" i="545"/>
  <c r="K307" i="545" a="1"/>
  <c r="K307" i="545" s="1"/>
  <c r="M307" i="545" s="1"/>
  <c r="J307" i="545" a="1"/>
  <c r="J307" i="545" s="1"/>
  <c r="H307" i="545"/>
  <c r="V306" i="545"/>
  <c r="W306" i="545" s="1"/>
  <c r="N306" i="545"/>
  <c r="K306" i="545" a="1"/>
  <c r="K306" i="545" s="1"/>
  <c r="M306" i="545" s="1"/>
  <c r="J306" i="545" a="1"/>
  <c r="J306" i="545" s="1"/>
  <c r="H306" i="545"/>
  <c r="V305" i="545"/>
  <c r="W305" i="545" s="1"/>
  <c r="N305" i="545"/>
  <c r="K305" i="545"/>
  <c r="M305" i="545" s="1"/>
  <c r="K305" i="545" a="1"/>
  <c r="J305" i="545"/>
  <c r="J305" i="545" a="1"/>
  <c r="H305" i="545"/>
  <c r="V304" i="545"/>
  <c r="W304" i="545" s="1"/>
  <c r="N304" i="545"/>
  <c r="K304" i="545" a="1"/>
  <c r="K304" i="545" s="1"/>
  <c r="M304" i="545" s="1"/>
  <c r="J304" i="545" a="1"/>
  <c r="J304" i="545" s="1"/>
  <c r="H304" i="545"/>
  <c r="V303" i="545"/>
  <c r="W303" i="545" s="1"/>
  <c r="N303" i="545"/>
  <c r="K303" i="545" a="1"/>
  <c r="K303" i="545" s="1"/>
  <c r="M303" i="545" s="1"/>
  <c r="J303" i="545" a="1"/>
  <c r="J303" i="545" s="1"/>
  <c r="H303" i="545"/>
  <c r="V302" i="545"/>
  <c r="W302" i="545" s="1"/>
  <c r="N302" i="545"/>
  <c r="K302" i="545" a="1"/>
  <c r="K302" i="545" s="1"/>
  <c r="M302" i="545" s="1"/>
  <c r="J302" i="545" a="1"/>
  <c r="J302" i="545" s="1"/>
  <c r="H302" i="545"/>
  <c r="V301" i="545"/>
  <c r="W301" i="545" s="1"/>
  <c r="N301" i="545"/>
  <c r="K301" i="545"/>
  <c r="M301" i="545" s="1"/>
  <c r="K301" i="545" a="1"/>
  <c r="J301" i="545"/>
  <c r="J301" i="545" a="1"/>
  <c r="H301" i="545"/>
  <c r="V300" i="545"/>
  <c r="W300" i="545" s="1"/>
  <c r="N300" i="545"/>
  <c r="K300" i="545" a="1"/>
  <c r="K300" i="545" s="1"/>
  <c r="M300" i="545" s="1"/>
  <c r="J300" i="545" a="1"/>
  <c r="J300" i="545" s="1"/>
  <c r="H300" i="545"/>
  <c r="V299" i="545"/>
  <c r="W299" i="545" s="1"/>
  <c r="N299" i="545"/>
  <c r="K299" i="545" a="1"/>
  <c r="K299" i="545" s="1"/>
  <c r="M299" i="545" s="1"/>
  <c r="J299" i="545" a="1"/>
  <c r="J299" i="545" s="1"/>
  <c r="H299" i="545"/>
  <c r="V298" i="545"/>
  <c r="W298" i="545" s="1"/>
  <c r="N298" i="545"/>
  <c r="K298" i="545" a="1"/>
  <c r="K298" i="545" s="1"/>
  <c r="M298" i="545" s="1"/>
  <c r="J298" i="545" a="1"/>
  <c r="J298" i="545" s="1"/>
  <c r="H298" i="545"/>
  <c r="V297" i="545"/>
  <c r="W297" i="545" s="1"/>
  <c r="N297" i="545"/>
  <c r="K297" i="545"/>
  <c r="M297" i="545" s="1"/>
  <c r="K297" i="545" a="1"/>
  <c r="J297" i="545"/>
  <c r="J297" i="545" a="1"/>
  <c r="H297" i="545"/>
  <c r="V296" i="545"/>
  <c r="W296" i="545" s="1"/>
  <c r="N296" i="545"/>
  <c r="K296" i="545" a="1"/>
  <c r="K296" i="545" s="1"/>
  <c r="M296" i="545" s="1"/>
  <c r="J296" i="545" a="1"/>
  <c r="J296" i="545" s="1"/>
  <c r="H296" i="545"/>
  <c r="V295" i="545"/>
  <c r="W295" i="545" s="1"/>
  <c r="N295" i="545"/>
  <c r="K295" i="545" a="1"/>
  <c r="K295" i="545" s="1"/>
  <c r="M295" i="545" s="1"/>
  <c r="J295" i="545" a="1"/>
  <c r="J295" i="545" s="1"/>
  <c r="H295" i="545"/>
  <c r="V294" i="545"/>
  <c r="W294" i="545" s="1"/>
  <c r="N294" i="545"/>
  <c r="K294" i="545" a="1"/>
  <c r="K294" i="545" s="1"/>
  <c r="M294" i="545" s="1"/>
  <c r="J294" i="545" a="1"/>
  <c r="J294" i="545" s="1"/>
  <c r="H294" i="545"/>
  <c r="V293" i="545"/>
  <c r="V308" i="545" s="1"/>
  <c r="W308" i="545" s="1"/>
  <c r="N293" i="545"/>
  <c r="K293" i="545"/>
  <c r="M293" i="545" s="1"/>
  <c r="K293" i="545" a="1"/>
  <c r="J293" i="545"/>
  <c r="J293" i="545" a="1"/>
  <c r="H293" i="545"/>
  <c r="H308" i="545" s="1"/>
  <c r="AA292" i="545"/>
  <c r="Z292" i="545"/>
  <c r="Y292" i="545"/>
  <c r="X292" i="545"/>
  <c r="U292" i="545"/>
  <c r="T292" i="545"/>
  <c r="S292" i="545"/>
  <c r="R292" i="545"/>
  <c r="Q292" i="545"/>
  <c r="P292" i="545"/>
  <c r="O292" i="545"/>
  <c r="R339" i="545" s="1"/>
  <c r="I292" i="545"/>
  <c r="G292" i="545"/>
  <c r="V291" i="545"/>
  <c r="W291" i="545" s="1"/>
  <c r="N291" i="545"/>
  <c r="K291" i="545" a="1"/>
  <c r="K291" i="545" s="1"/>
  <c r="M291" i="545" s="1"/>
  <c r="J291" i="545" a="1"/>
  <c r="J291" i="545" s="1"/>
  <c r="H291" i="545"/>
  <c r="V290" i="545"/>
  <c r="W290" i="545" s="1"/>
  <c r="N290" i="545"/>
  <c r="K290" i="545" a="1"/>
  <c r="K290" i="545" s="1"/>
  <c r="M290" i="545" s="1"/>
  <c r="J290" i="545" a="1"/>
  <c r="J290" i="545" s="1"/>
  <c r="H290" i="545"/>
  <c r="W289" i="545"/>
  <c r="V289" i="545"/>
  <c r="N289" i="545"/>
  <c r="K289" i="545" a="1"/>
  <c r="K289" i="545" s="1"/>
  <c r="M289" i="545" s="1"/>
  <c r="J289" i="545" a="1"/>
  <c r="J289" i="545" s="1"/>
  <c r="H289" i="545"/>
  <c r="H288" i="545"/>
  <c r="H287" i="545"/>
  <c r="H286" i="545"/>
  <c r="V285" i="545"/>
  <c r="W285" i="545" s="1"/>
  <c r="N285" i="545"/>
  <c r="K285" i="545" a="1"/>
  <c r="K285" i="545" s="1"/>
  <c r="M285" i="545" s="1"/>
  <c r="J285" i="545" a="1"/>
  <c r="J285" i="545" s="1"/>
  <c r="H285" i="545"/>
  <c r="V284" i="545"/>
  <c r="W284" i="545" s="1"/>
  <c r="N284" i="545"/>
  <c r="K284" i="545" a="1"/>
  <c r="K284" i="545" s="1"/>
  <c r="M284" i="545" s="1"/>
  <c r="J284" i="545" a="1"/>
  <c r="J284" i="545" s="1"/>
  <c r="H284" i="545"/>
  <c r="N283" i="545"/>
  <c r="K283" i="545" a="1"/>
  <c r="K283" i="545" s="1"/>
  <c r="M283" i="545" s="1"/>
  <c r="H283" i="545"/>
  <c r="N282" i="545"/>
  <c r="K282" i="545" a="1"/>
  <c r="K282" i="545" s="1"/>
  <c r="M282" i="545" s="1"/>
  <c r="H282" i="545"/>
  <c r="N281" i="545"/>
  <c r="K281" i="545" a="1"/>
  <c r="K281" i="545" s="1"/>
  <c r="M281" i="545" s="1"/>
  <c r="H281" i="545"/>
  <c r="N280" i="545"/>
  <c r="K280" i="545" a="1"/>
  <c r="K280" i="545" s="1"/>
  <c r="M280" i="545" s="1"/>
  <c r="H280" i="545"/>
  <c r="N279" i="545"/>
  <c r="K279" i="545" a="1"/>
  <c r="K279" i="545" s="1"/>
  <c r="M279" i="545" s="1"/>
  <c r="H279" i="545"/>
  <c r="N278" i="545"/>
  <c r="K278" i="545" a="1"/>
  <c r="K278" i="545" s="1"/>
  <c r="M278" i="545" s="1"/>
  <c r="H278" i="545"/>
  <c r="V277" i="545"/>
  <c r="W277" i="545" s="1"/>
  <c r="N277" i="545"/>
  <c r="K277" i="545" a="1"/>
  <c r="K277" i="545" s="1"/>
  <c r="M277" i="545" s="1"/>
  <c r="J277" i="545" a="1"/>
  <c r="J277" i="545" s="1"/>
  <c r="H277" i="545"/>
  <c r="V276" i="545"/>
  <c r="W276" i="545" s="1"/>
  <c r="N276" i="545"/>
  <c r="K276" i="545" a="1"/>
  <c r="K276" i="545" s="1"/>
  <c r="M276" i="545" s="1"/>
  <c r="J276" i="545" a="1"/>
  <c r="J276" i="545" s="1"/>
  <c r="H276" i="545"/>
  <c r="V275" i="545"/>
  <c r="W275" i="545" s="1"/>
  <c r="N275" i="545"/>
  <c r="K275" i="545" a="1"/>
  <c r="K275" i="545" s="1"/>
  <c r="M275" i="545" s="1"/>
  <c r="J275" i="545" a="1"/>
  <c r="J275" i="545" s="1"/>
  <c r="H275" i="545"/>
  <c r="V274" i="545"/>
  <c r="W274" i="545" s="1"/>
  <c r="N274" i="545"/>
  <c r="K274" i="545" a="1"/>
  <c r="K274" i="545" s="1"/>
  <c r="M274" i="545" s="1"/>
  <c r="J274" i="545" a="1"/>
  <c r="J274" i="545" s="1"/>
  <c r="H274" i="545"/>
  <c r="V273" i="545"/>
  <c r="W273" i="545" s="1"/>
  <c r="N273" i="545"/>
  <c r="K273" i="545" a="1"/>
  <c r="K273" i="545" s="1"/>
  <c r="M273" i="545" s="1"/>
  <c r="J273" i="545" a="1"/>
  <c r="J273" i="545" s="1"/>
  <c r="H273" i="545"/>
  <c r="V272" i="545"/>
  <c r="W272" i="545" s="1"/>
  <c r="N272" i="545"/>
  <c r="K272" i="545" a="1"/>
  <c r="K272" i="545" s="1"/>
  <c r="M272" i="545" s="1"/>
  <c r="J272" i="545" a="1"/>
  <c r="J272" i="545" s="1"/>
  <c r="H272" i="545"/>
  <c r="V271" i="545"/>
  <c r="W271" i="545" s="1"/>
  <c r="N271" i="545"/>
  <c r="K271" i="545" a="1"/>
  <c r="K271" i="545" s="1"/>
  <c r="M271" i="545" s="1"/>
  <c r="J271" i="545" a="1"/>
  <c r="J271" i="545" s="1"/>
  <c r="H271" i="545"/>
  <c r="V270" i="545"/>
  <c r="W270" i="545" s="1"/>
  <c r="N270" i="545"/>
  <c r="K270" i="545" a="1"/>
  <c r="K270" i="545" s="1"/>
  <c r="M270" i="545" s="1"/>
  <c r="J270" i="545" a="1"/>
  <c r="J270" i="545" s="1"/>
  <c r="H270" i="545"/>
  <c r="V269" i="545"/>
  <c r="W269" i="545" s="1"/>
  <c r="N269" i="545"/>
  <c r="K269" i="545" a="1"/>
  <c r="K269" i="545" s="1"/>
  <c r="M269" i="545" s="1"/>
  <c r="J269" i="545" a="1"/>
  <c r="J269" i="545" s="1"/>
  <c r="H269" i="545"/>
  <c r="V268" i="545"/>
  <c r="W268" i="545" s="1"/>
  <c r="N268" i="545"/>
  <c r="K268" i="545" a="1"/>
  <c r="K268" i="545" s="1"/>
  <c r="M268" i="545" s="1"/>
  <c r="J268" i="545" a="1"/>
  <c r="J268" i="545" s="1"/>
  <c r="H268" i="545"/>
  <c r="V267" i="545"/>
  <c r="W267" i="545" s="1"/>
  <c r="N267" i="545"/>
  <c r="K267" i="545" a="1"/>
  <c r="K267" i="545" s="1"/>
  <c r="M267" i="545" s="1"/>
  <c r="J267" i="545" a="1"/>
  <c r="J267" i="545" s="1"/>
  <c r="H267" i="545"/>
  <c r="V266" i="545"/>
  <c r="W266" i="545" s="1"/>
  <c r="N266" i="545"/>
  <c r="K266" i="545" a="1"/>
  <c r="K266" i="545" s="1"/>
  <c r="M266" i="545" s="1"/>
  <c r="J266" i="545" a="1"/>
  <c r="J266" i="545" s="1"/>
  <c r="H266" i="545"/>
  <c r="N265" i="545"/>
  <c r="K265" i="545" a="1"/>
  <c r="K265" i="545" s="1"/>
  <c r="M265" i="545" s="1"/>
  <c r="H265" i="545"/>
  <c r="V264" i="545"/>
  <c r="W264" i="545" s="1"/>
  <c r="N264" i="545"/>
  <c r="K264" i="545" a="1"/>
  <c r="K264" i="545" s="1"/>
  <c r="M264" i="545" s="1"/>
  <c r="J264" i="545" a="1"/>
  <c r="J264" i="545" s="1"/>
  <c r="H264" i="545"/>
  <c r="V263" i="545"/>
  <c r="W263" i="545" s="1"/>
  <c r="N263" i="545"/>
  <c r="K263" i="545" a="1"/>
  <c r="K263" i="545" s="1"/>
  <c r="M263" i="545" s="1"/>
  <c r="J263" i="545" a="1"/>
  <c r="J263" i="545" s="1"/>
  <c r="H263" i="545"/>
  <c r="V262" i="545"/>
  <c r="W262" i="545" s="1"/>
  <c r="N262" i="545"/>
  <c r="K262" i="545" a="1"/>
  <c r="K262" i="545" s="1"/>
  <c r="M262" i="545" s="1"/>
  <c r="J262" i="545" a="1"/>
  <c r="J262" i="545" s="1"/>
  <c r="H262" i="545"/>
  <c r="V261" i="545"/>
  <c r="W261" i="545" s="1"/>
  <c r="N261" i="545"/>
  <c r="K261" i="545" a="1"/>
  <c r="K261" i="545" s="1"/>
  <c r="M261" i="545" s="1"/>
  <c r="J261" i="545" a="1"/>
  <c r="J261" i="545" s="1"/>
  <c r="H261" i="545"/>
  <c r="V260" i="545"/>
  <c r="W260" i="545" s="1"/>
  <c r="N260" i="545"/>
  <c r="K260" i="545" a="1"/>
  <c r="K260" i="545" s="1"/>
  <c r="M260" i="545" s="1"/>
  <c r="J260" i="545" a="1"/>
  <c r="J260" i="545" s="1"/>
  <c r="H260" i="545"/>
  <c r="V259" i="545"/>
  <c r="W259" i="545" s="1"/>
  <c r="N259" i="545"/>
  <c r="K259" i="545" a="1"/>
  <c r="K259" i="545" s="1"/>
  <c r="M259" i="545" s="1"/>
  <c r="J259" i="545" a="1"/>
  <c r="J259" i="545" s="1"/>
  <c r="H259" i="545"/>
  <c r="V258" i="545"/>
  <c r="W258" i="545" s="1"/>
  <c r="N258" i="545"/>
  <c r="K258" i="545"/>
  <c r="M258" i="545" s="1"/>
  <c r="K258" i="545" a="1"/>
  <c r="J258" i="545"/>
  <c r="J258" i="545" a="1"/>
  <c r="H258" i="545"/>
  <c r="AA257" i="545"/>
  <c r="Z257" i="545"/>
  <c r="Y257" i="545"/>
  <c r="X257" i="545"/>
  <c r="U257" i="545"/>
  <c r="T257" i="545"/>
  <c r="S257" i="545"/>
  <c r="R257" i="545"/>
  <c r="Q257" i="545"/>
  <c r="P257" i="545"/>
  <c r="O257" i="545"/>
  <c r="I257" i="545"/>
  <c r="G257" i="545"/>
  <c r="H256" i="545"/>
  <c r="H255" i="545"/>
  <c r="H254" i="545"/>
  <c r="H253" i="545"/>
  <c r="H252" i="545"/>
  <c r="H251" i="545"/>
  <c r="K250" i="545" a="1"/>
  <c r="K250" i="545" s="1"/>
  <c r="M250" i="545" s="1"/>
  <c r="H250" i="545"/>
  <c r="K249" i="545" a="1"/>
  <c r="K249" i="545" s="1"/>
  <c r="M249" i="545" s="1"/>
  <c r="H249" i="545"/>
  <c r="K248" i="545" a="1"/>
  <c r="K248" i="545" s="1"/>
  <c r="M248" i="545" s="1"/>
  <c r="H248" i="545"/>
  <c r="K247" i="545" a="1"/>
  <c r="K247" i="545" s="1"/>
  <c r="M247" i="545" s="1"/>
  <c r="H247" i="545"/>
  <c r="W246" i="545"/>
  <c r="V246" i="545"/>
  <c r="N246" i="545"/>
  <c r="K246" i="545" a="1"/>
  <c r="K246" i="545" s="1"/>
  <c r="M246" i="545" s="1"/>
  <c r="J246" i="545" a="1"/>
  <c r="J246" i="545" s="1"/>
  <c r="H246" i="545"/>
  <c r="V245" i="545"/>
  <c r="W245" i="545" s="1"/>
  <c r="N245" i="545"/>
  <c r="K245" i="545" a="1"/>
  <c r="K245" i="545" s="1"/>
  <c r="M245" i="545" s="1"/>
  <c r="J245" i="545" a="1"/>
  <c r="J245" i="545" s="1"/>
  <c r="H245" i="545"/>
  <c r="V244" i="545"/>
  <c r="W244" i="545" s="1"/>
  <c r="N244" i="545"/>
  <c r="K244" i="545"/>
  <c r="M244" i="545" s="1"/>
  <c r="K244" i="545" a="1"/>
  <c r="J244" i="545"/>
  <c r="J244" i="545" a="1"/>
  <c r="H244" i="545"/>
  <c r="V243" i="545"/>
  <c r="W243" i="545" s="1"/>
  <c r="N243" i="545"/>
  <c r="K243" i="545" a="1"/>
  <c r="K243" i="545" s="1"/>
  <c r="M243" i="545" s="1"/>
  <c r="J243" i="545" a="1"/>
  <c r="J243" i="545" s="1"/>
  <c r="H243" i="545"/>
  <c r="M242" i="545"/>
  <c r="H242" i="545"/>
  <c r="V241" i="545"/>
  <c r="W241" i="545" s="1"/>
  <c r="N241" i="545"/>
  <c r="K241" i="545" a="1"/>
  <c r="K241" i="545" s="1"/>
  <c r="M241" i="545" s="1"/>
  <c r="J241" i="545" a="1"/>
  <c r="J241" i="545" s="1"/>
  <c r="H241" i="545"/>
  <c r="V240" i="545"/>
  <c r="W240" i="545" s="1"/>
  <c r="N240" i="545"/>
  <c r="K240" i="545" a="1"/>
  <c r="K240" i="545" s="1"/>
  <c r="M240" i="545" s="1"/>
  <c r="J240" i="545" a="1"/>
  <c r="J240" i="545" s="1"/>
  <c r="H240" i="545"/>
  <c r="K239" i="545" a="1"/>
  <c r="K239" i="545" s="1"/>
  <c r="M239" i="545" s="1"/>
  <c r="H239" i="545"/>
  <c r="H238" i="545"/>
  <c r="V237" i="545"/>
  <c r="W237" i="545" s="1"/>
  <c r="N237" i="545"/>
  <c r="K237" i="545" a="1"/>
  <c r="K237" i="545" s="1"/>
  <c r="M237" i="545" s="1"/>
  <c r="J237" i="545" a="1"/>
  <c r="J237" i="545" s="1"/>
  <c r="H237" i="545"/>
  <c r="V236" i="545"/>
  <c r="W236" i="545" s="1"/>
  <c r="N236" i="545"/>
  <c r="K236" i="545"/>
  <c r="M236" i="545" s="1"/>
  <c r="K236" i="545" a="1"/>
  <c r="J236" i="545"/>
  <c r="J236" i="545" a="1"/>
  <c r="H236" i="545"/>
  <c r="V235" i="545"/>
  <c r="W235" i="545" s="1"/>
  <c r="N235" i="545"/>
  <c r="K235" i="545" a="1"/>
  <c r="K235" i="545" s="1"/>
  <c r="M235" i="545" s="1"/>
  <c r="J235" i="545" a="1"/>
  <c r="J235" i="545" s="1"/>
  <c r="H235" i="545"/>
  <c r="V234" i="545"/>
  <c r="W234" i="545" s="1"/>
  <c r="N234" i="545"/>
  <c r="K234" i="545" a="1"/>
  <c r="K234" i="545" s="1"/>
  <c r="M234" i="545" s="1"/>
  <c r="J234" i="545" a="1"/>
  <c r="J234" i="545" s="1"/>
  <c r="H234" i="545"/>
  <c r="V233" i="545"/>
  <c r="W233" i="545" s="1"/>
  <c r="N233" i="545"/>
  <c r="K233" i="545" a="1"/>
  <c r="K233" i="545" s="1"/>
  <c r="M233" i="545" s="1"/>
  <c r="J233" i="545" a="1"/>
  <c r="J233" i="545" s="1"/>
  <c r="H233" i="545"/>
  <c r="V232" i="545"/>
  <c r="W232" i="545" s="1"/>
  <c r="N232" i="545"/>
  <c r="K232" i="545"/>
  <c r="M232" i="545" s="1"/>
  <c r="K232" i="545" a="1"/>
  <c r="J232" i="545"/>
  <c r="J232" i="545" a="1"/>
  <c r="H232" i="545"/>
  <c r="V231" i="545"/>
  <c r="W231" i="545" s="1"/>
  <c r="N231" i="545"/>
  <c r="K231" i="545" a="1"/>
  <c r="K231" i="545" s="1"/>
  <c r="M231" i="545" s="1"/>
  <c r="J231" i="545" a="1"/>
  <c r="J231" i="545" s="1"/>
  <c r="H231" i="545"/>
  <c r="V230" i="545"/>
  <c r="W230" i="545" s="1"/>
  <c r="N230" i="545"/>
  <c r="K230" i="545" a="1"/>
  <c r="K230" i="545" s="1"/>
  <c r="M230" i="545" s="1"/>
  <c r="J230" i="545" a="1"/>
  <c r="J230" i="545" s="1"/>
  <c r="H230" i="545"/>
  <c r="V229" i="545"/>
  <c r="W229" i="545" s="1"/>
  <c r="N229" i="545"/>
  <c r="K229" i="545" a="1"/>
  <c r="K229" i="545" s="1"/>
  <c r="M229" i="545" s="1"/>
  <c r="J229" i="545" a="1"/>
  <c r="J229" i="545" s="1"/>
  <c r="H229" i="545"/>
  <c r="V228" i="545"/>
  <c r="W228" i="545" s="1"/>
  <c r="N228" i="545"/>
  <c r="K228" i="545"/>
  <c r="M228" i="545" s="1"/>
  <c r="K228" i="545" a="1"/>
  <c r="J228" i="545"/>
  <c r="J228" i="545" a="1"/>
  <c r="H228" i="545"/>
  <c r="N227" i="545"/>
  <c r="K227" i="545" a="1"/>
  <c r="K227" i="545" s="1"/>
  <c r="M227" i="545" s="1"/>
  <c r="H227" i="545"/>
  <c r="N226" i="545"/>
  <c r="K226" i="545" a="1"/>
  <c r="K226" i="545" s="1"/>
  <c r="M226" i="545" s="1"/>
  <c r="H226" i="545"/>
  <c r="N225" i="545"/>
  <c r="K225" i="545" a="1"/>
  <c r="K225" i="545" s="1"/>
  <c r="M225" i="545" s="1"/>
  <c r="H225" i="545"/>
  <c r="N224" i="545"/>
  <c r="K224" i="545"/>
  <c r="M224" i="545" s="1"/>
  <c r="K224" i="545" a="1"/>
  <c r="H224" i="545"/>
  <c r="N223" i="545"/>
  <c r="K223" i="545" a="1"/>
  <c r="K223" i="545" s="1"/>
  <c r="M223" i="545" s="1"/>
  <c r="H223" i="545"/>
  <c r="N222" i="545"/>
  <c r="K222" i="545" a="1"/>
  <c r="K222" i="545" s="1"/>
  <c r="M222" i="545" s="1"/>
  <c r="H222" i="545"/>
  <c r="N221" i="545"/>
  <c r="K221" i="545" a="1"/>
  <c r="K221" i="545" s="1"/>
  <c r="M221" i="545" s="1"/>
  <c r="H221" i="545"/>
  <c r="N220" i="545"/>
  <c r="K220" i="545"/>
  <c r="M220" i="545" s="1"/>
  <c r="K220" i="545" a="1"/>
  <c r="H220" i="545"/>
  <c r="V219" i="545"/>
  <c r="W219" i="545" s="1"/>
  <c r="N219" i="545"/>
  <c r="K219" i="545" a="1"/>
  <c r="K219" i="545" s="1"/>
  <c r="M219" i="545" s="1"/>
  <c r="J219" i="545" a="1"/>
  <c r="J219" i="545" s="1"/>
  <c r="H219" i="545"/>
  <c r="V218" i="545"/>
  <c r="W218" i="545" s="1"/>
  <c r="N218" i="545"/>
  <c r="K218" i="545" a="1"/>
  <c r="K218" i="545" s="1"/>
  <c r="M218" i="545" s="1"/>
  <c r="J218" i="545" a="1"/>
  <c r="J218" i="545" s="1"/>
  <c r="H218" i="545"/>
  <c r="V217" i="545"/>
  <c r="W217" i="545" s="1"/>
  <c r="N217" i="545"/>
  <c r="K217" i="545" a="1"/>
  <c r="K217" i="545" s="1"/>
  <c r="M217" i="545" s="1"/>
  <c r="J217" i="545" a="1"/>
  <c r="J217" i="545" s="1"/>
  <c r="H217" i="545"/>
  <c r="V216" i="545"/>
  <c r="W216" i="545" s="1"/>
  <c r="N216" i="545"/>
  <c r="K216" i="545"/>
  <c r="M216" i="545" s="1"/>
  <c r="K216" i="545" a="1"/>
  <c r="J216" i="545"/>
  <c r="J216" i="545" a="1"/>
  <c r="H216" i="545"/>
  <c r="V215" i="545"/>
  <c r="W215" i="545" s="1"/>
  <c r="N215" i="545"/>
  <c r="K215" i="545" a="1"/>
  <c r="K215" i="545" s="1"/>
  <c r="M215" i="545" s="1"/>
  <c r="J215" i="545" a="1"/>
  <c r="J215" i="545" s="1"/>
  <c r="H215" i="545"/>
  <c r="V214" i="545"/>
  <c r="W214" i="545" s="1"/>
  <c r="N214" i="545"/>
  <c r="K214" i="545" a="1"/>
  <c r="K214" i="545" s="1"/>
  <c r="M214" i="545" s="1"/>
  <c r="J214" i="545" a="1"/>
  <c r="J214" i="545" s="1"/>
  <c r="H214" i="545"/>
  <c r="V213" i="545"/>
  <c r="W213" i="545" s="1"/>
  <c r="N213" i="545"/>
  <c r="K213" i="545" a="1"/>
  <c r="K213" i="545" s="1"/>
  <c r="M213" i="545" s="1"/>
  <c r="J213" i="545" a="1"/>
  <c r="J213" i="545" s="1"/>
  <c r="H213" i="545"/>
  <c r="V212" i="545"/>
  <c r="W212" i="545" s="1"/>
  <c r="N212" i="545"/>
  <c r="K212" i="545"/>
  <c r="M212" i="545" s="1"/>
  <c r="K212" i="545" a="1"/>
  <c r="J212" i="545" a="1"/>
  <c r="J212" i="545" s="1"/>
  <c r="H212" i="545"/>
  <c r="V211" i="545"/>
  <c r="W211" i="545" s="1"/>
  <c r="N211" i="545"/>
  <c r="K211" i="545" a="1"/>
  <c r="K211" i="545" s="1"/>
  <c r="M211" i="545" s="1"/>
  <c r="J211" i="545" a="1"/>
  <c r="J211" i="545" s="1"/>
  <c r="H211" i="545"/>
  <c r="V210" i="545"/>
  <c r="W210" i="545" s="1"/>
  <c r="N210" i="545"/>
  <c r="K210" i="545" a="1"/>
  <c r="K210" i="545" s="1"/>
  <c r="M210" i="545" s="1"/>
  <c r="J210" i="545" a="1"/>
  <c r="J210" i="545" s="1"/>
  <c r="H210" i="545"/>
  <c r="V209" i="545"/>
  <c r="W209" i="545" s="1"/>
  <c r="N209" i="545"/>
  <c r="K209" i="545" a="1"/>
  <c r="K209" i="545" s="1"/>
  <c r="M209" i="545" s="1"/>
  <c r="J209" i="545" a="1"/>
  <c r="J209" i="545" s="1"/>
  <c r="H209" i="545"/>
  <c r="V208" i="545"/>
  <c r="W208" i="545" s="1"/>
  <c r="N208" i="545"/>
  <c r="K208" i="545"/>
  <c r="M208" i="545" s="1"/>
  <c r="K208" i="545" a="1"/>
  <c r="J208" i="545"/>
  <c r="J208" i="545" a="1"/>
  <c r="H208" i="545"/>
  <c r="H207" i="545"/>
  <c r="H206" i="545"/>
  <c r="H205" i="545"/>
  <c r="V204" i="545"/>
  <c r="W204" i="545" s="1"/>
  <c r="N204" i="545"/>
  <c r="K204" i="545" a="1"/>
  <c r="K204" i="545" s="1"/>
  <c r="M204" i="545" s="1"/>
  <c r="J204" i="545" a="1"/>
  <c r="J204" i="545" s="1"/>
  <c r="H204" i="545"/>
  <c r="V203" i="545"/>
  <c r="W203" i="545" s="1"/>
  <c r="N203" i="545"/>
  <c r="K203" i="545" a="1"/>
  <c r="K203" i="545" s="1"/>
  <c r="M203" i="545" s="1"/>
  <c r="J203" i="545" a="1"/>
  <c r="J203" i="545" s="1"/>
  <c r="H203" i="545"/>
  <c r="V202" i="545"/>
  <c r="W202" i="545" s="1"/>
  <c r="N202" i="545"/>
  <c r="K202" i="545" a="1"/>
  <c r="K202" i="545" s="1"/>
  <c r="M202" i="545" s="1"/>
  <c r="J202" i="545" a="1"/>
  <c r="J202" i="545" s="1"/>
  <c r="H202" i="545"/>
  <c r="H201" i="545"/>
  <c r="W200" i="545"/>
  <c r="V200" i="545"/>
  <c r="V257" i="545" s="1"/>
  <c r="W257" i="545" s="1"/>
  <c r="N200" i="545"/>
  <c r="K200" i="545" a="1"/>
  <c r="K200" i="545" s="1"/>
  <c r="J200" i="545" a="1"/>
  <c r="J200" i="545" s="1"/>
  <c r="H200" i="545"/>
  <c r="AA199" i="545"/>
  <c r="Z199" i="545"/>
  <c r="Z335" i="545" s="1"/>
  <c r="Y199" i="545"/>
  <c r="X199" i="545"/>
  <c r="X335" i="545" s="1"/>
  <c r="U199" i="545"/>
  <c r="T199" i="545"/>
  <c r="T335" i="545" s="1"/>
  <c r="S199" i="545"/>
  <c r="R199" i="545"/>
  <c r="R335" i="545" s="1"/>
  <c r="Q199" i="545"/>
  <c r="Q335" i="545" s="1"/>
  <c r="P199" i="545"/>
  <c r="O199" i="545"/>
  <c r="I199" i="545"/>
  <c r="I335" i="545" s="1"/>
  <c r="B343" i="545" s="1"/>
  <c r="G199" i="545"/>
  <c r="G335" i="545" s="1"/>
  <c r="V198" i="545"/>
  <c r="W198" i="545" s="1"/>
  <c r="N198" i="545"/>
  <c r="K198" i="545" a="1"/>
  <c r="K198" i="545" s="1"/>
  <c r="M198" i="545" s="1"/>
  <c r="J198" i="545" a="1"/>
  <c r="J198" i="545" s="1"/>
  <c r="H198" i="545"/>
  <c r="V197" i="545"/>
  <c r="W197" i="545" s="1"/>
  <c r="N197" i="545"/>
  <c r="K197" i="545" a="1"/>
  <c r="K197" i="545" s="1"/>
  <c r="M197" i="545" s="1"/>
  <c r="J197" i="545" a="1"/>
  <c r="J197" i="545" s="1"/>
  <c r="H197" i="545"/>
  <c r="K196" i="545" a="1"/>
  <c r="K196" i="545" s="1"/>
  <c r="M196" i="545" s="1"/>
  <c r="H196" i="545"/>
  <c r="K195" i="545" a="1"/>
  <c r="K195" i="545" s="1"/>
  <c r="M195" i="545" s="1"/>
  <c r="H195" i="545"/>
  <c r="K194" i="545" a="1"/>
  <c r="K194" i="545" s="1"/>
  <c r="M194" i="545" s="1"/>
  <c r="H194" i="545"/>
  <c r="K193" i="545" a="1"/>
  <c r="K193" i="545" s="1"/>
  <c r="M193" i="545" s="1"/>
  <c r="H193" i="545"/>
  <c r="W192" i="545"/>
  <c r="V192" i="545"/>
  <c r="N192" i="545"/>
  <c r="K192" i="545" a="1"/>
  <c r="K192" i="545" s="1"/>
  <c r="M192" i="545" s="1"/>
  <c r="J192" i="545" a="1"/>
  <c r="J192" i="545" s="1"/>
  <c r="H192" i="545"/>
  <c r="V191" i="545"/>
  <c r="W191" i="545" s="1"/>
  <c r="N191" i="545"/>
  <c r="K191" i="545" a="1"/>
  <c r="K191" i="545" s="1"/>
  <c r="M191" i="545" s="1"/>
  <c r="J191" i="545" a="1"/>
  <c r="J191" i="545" s="1"/>
  <c r="H191" i="545"/>
  <c r="V190" i="545"/>
  <c r="W190" i="545" s="1"/>
  <c r="N190" i="545"/>
  <c r="K190" i="545" a="1"/>
  <c r="K190" i="545" s="1"/>
  <c r="M190" i="545" s="1"/>
  <c r="J190" i="545" a="1"/>
  <c r="J190" i="545" s="1"/>
  <c r="H190" i="545"/>
  <c r="N189" i="545"/>
  <c r="K189" i="545" a="1"/>
  <c r="K189" i="545" s="1"/>
  <c r="M189" i="545" s="1"/>
  <c r="J189" i="545" a="1"/>
  <c r="J189" i="545" s="1"/>
  <c r="H189" i="545"/>
  <c r="N188" i="545"/>
  <c r="K188" i="545" a="1"/>
  <c r="K188" i="545" s="1"/>
  <c r="M188" i="545" s="1"/>
  <c r="J188" i="545" a="1"/>
  <c r="J188" i="545" s="1"/>
  <c r="H188" i="545"/>
  <c r="V187" i="545"/>
  <c r="W187" i="545" s="1"/>
  <c r="N187" i="545"/>
  <c r="K187" i="545" a="1"/>
  <c r="K187" i="545" s="1"/>
  <c r="M187" i="545" s="1"/>
  <c r="J187" i="545" a="1"/>
  <c r="J187" i="545" s="1"/>
  <c r="H187" i="545"/>
  <c r="V186" i="545"/>
  <c r="W186" i="545" s="1"/>
  <c r="N186" i="545"/>
  <c r="K186" i="545" a="1"/>
  <c r="K186" i="545" s="1"/>
  <c r="M186" i="545" s="1"/>
  <c r="J186" i="545" a="1"/>
  <c r="J186" i="545" s="1"/>
  <c r="H186" i="545"/>
  <c r="N185" i="545"/>
  <c r="K185" i="545" a="1"/>
  <c r="K185" i="545" s="1"/>
  <c r="M185" i="545" s="1"/>
  <c r="H185" i="545"/>
  <c r="N184" i="545"/>
  <c r="K184" i="545" a="1"/>
  <c r="K184" i="545" s="1"/>
  <c r="M184" i="545" s="1"/>
  <c r="H184" i="545"/>
  <c r="V183" i="545"/>
  <c r="W183" i="545" s="1"/>
  <c r="N183" i="545"/>
  <c r="K183" i="545" a="1"/>
  <c r="K183" i="545" s="1"/>
  <c r="M183" i="545" s="1"/>
  <c r="J183" i="545" a="1"/>
  <c r="J183" i="545" s="1"/>
  <c r="H183" i="545"/>
  <c r="V182" i="545"/>
  <c r="W182" i="545" s="1"/>
  <c r="N182" i="545"/>
  <c r="K182" i="545" a="1"/>
  <c r="K182" i="545" s="1"/>
  <c r="M182" i="545" s="1"/>
  <c r="J182" i="545" a="1"/>
  <c r="J182" i="545" s="1"/>
  <c r="H182" i="545"/>
  <c r="V181" i="545"/>
  <c r="W181" i="545" s="1"/>
  <c r="N181" i="545"/>
  <c r="K181" i="545" a="1"/>
  <c r="K181" i="545" s="1"/>
  <c r="M181" i="545" s="1"/>
  <c r="J181" i="545" a="1"/>
  <c r="J181" i="545" s="1"/>
  <c r="H181" i="545"/>
  <c r="V180" i="545"/>
  <c r="W180" i="545" s="1"/>
  <c r="N180" i="545"/>
  <c r="K180" i="545"/>
  <c r="M180" i="545" s="1"/>
  <c r="K180" i="545" a="1"/>
  <c r="J180" i="545"/>
  <c r="J180" i="545" a="1"/>
  <c r="H180" i="545"/>
  <c r="V179" i="545"/>
  <c r="W179" i="545" s="1"/>
  <c r="N179" i="545"/>
  <c r="K179" i="545" a="1"/>
  <c r="K179" i="545" s="1"/>
  <c r="M179" i="545" s="1"/>
  <c r="J179" i="545" a="1"/>
  <c r="J179" i="545" s="1"/>
  <c r="H179" i="545"/>
  <c r="V178" i="545"/>
  <c r="N178" i="545"/>
  <c r="N199" i="545" s="1"/>
  <c r="K178" i="545" a="1"/>
  <c r="K178" i="545" s="1"/>
  <c r="J178" i="545" a="1"/>
  <c r="J178" i="545" s="1"/>
  <c r="H178" i="545"/>
  <c r="X171" i="545"/>
  <c r="Q529" i="545" s="1"/>
  <c r="X170" i="545"/>
  <c r="Q528" i="545" s="1"/>
  <c r="G170" i="545"/>
  <c r="C170" i="545"/>
  <c r="X169" i="545"/>
  <c r="Q527" i="545" s="1"/>
  <c r="I169" i="545"/>
  <c r="E169" i="545"/>
  <c r="K169" i="545" s="1"/>
  <c r="M169" i="545" s="1"/>
  <c r="I168" i="545"/>
  <c r="E168" i="545"/>
  <c r="K168" i="545" s="1"/>
  <c r="M168" i="545" s="1"/>
  <c r="I167" i="545"/>
  <c r="E167" i="545"/>
  <c r="K167" i="545" s="1"/>
  <c r="M167" i="545" s="1"/>
  <c r="X166" i="545"/>
  <c r="Q524" i="545" s="1"/>
  <c r="I166" i="545"/>
  <c r="I170" i="545" s="1"/>
  <c r="E166" i="545"/>
  <c r="E170" i="545" s="1"/>
  <c r="AA163" i="545"/>
  <c r="Z163" i="545"/>
  <c r="Y163" i="545"/>
  <c r="X163" i="545"/>
  <c r="U163" i="545"/>
  <c r="T163" i="545"/>
  <c r="S163" i="545"/>
  <c r="R163" i="545"/>
  <c r="Q163" i="545"/>
  <c r="P163" i="545"/>
  <c r="O163" i="545"/>
  <c r="R171" i="545" s="1"/>
  <c r="I163" i="545"/>
  <c r="G163" i="545"/>
  <c r="C529" i="545" s="1"/>
  <c r="H162" i="545"/>
  <c r="H161" i="545"/>
  <c r="H160" i="545"/>
  <c r="V159" i="545"/>
  <c r="W159" i="545" s="1"/>
  <c r="N159" i="545"/>
  <c r="K159" i="545"/>
  <c r="K159" i="545" a="1"/>
  <c r="J159" i="545"/>
  <c r="J159" i="545" a="1"/>
  <c r="H159" i="545"/>
  <c r="D159" i="545"/>
  <c r="W158" i="545"/>
  <c r="V158" i="545"/>
  <c r="N158" i="545"/>
  <c r="K158" i="545" a="1"/>
  <c r="K158" i="545" s="1"/>
  <c r="M158" i="545" s="1"/>
  <c r="J158" i="545" a="1"/>
  <c r="J158" i="545" s="1"/>
  <c r="H158" i="545"/>
  <c r="H157" i="545"/>
  <c r="H156" i="545"/>
  <c r="V155" i="545"/>
  <c r="W155" i="545" s="1"/>
  <c r="N155" i="545"/>
  <c r="K155" i="545" a="1"/>
  <c r="K155" i="545" s="1"/>
  <c r="M155" i="545" s="1"/>
  <c r="J155" i="545" a="1"/>
  <c r="J155" i="545" s="1"/>
  <c r="H155" i="545"/>
  <c r="V154" i="545"/>
  <c r="W154" i="545" s="1"/>
  <c r="N154" i="545"/>
  <c r="K154" i="545"/>
  <c r="M154" i="545" s="1"/>
  <c r="K154" i="545" a="1"/>
  <c r="J154" i="545"/>
  <c r="J154" i="545" a="1"/>
  <c r="H154" i="545"/>
  <c r="H153" i="545"/>
  <c r="V152" i="545"/>
  <c r="W152" i="545" s="1"/>
  <c r="N152" i="545"/>
  <c r="K152" i="545" a="1"/>
  <c r="K152" i="545" s="1"/>
  <c r="M152" i="545" s="1"/>
  <c r="J152" i="545" a="1"/>
  <c r="J152" i="545" s="1"/>
  <c r="H152" i="545"/>
  <c r="V151" i="545"/>
  <c r="W151" i="545" s="1"/>
  <c r="N151" i="545"/>
  <c r="K151" i="545" a="1"/>
  <c r="K151" i="545" s="1"/>
  <c r="M151" i="545" s="1"/>
  <c r="J151" i="545" a="1"/>
  <c r="J151" i="545" s="1"/>
  <c r="H151" i="545"/>
  <c r="V150" i="545"/>
  <c r="W150" i="545" s="1"/>
  <c r="N150" i="545"/>
  <c r="K150" i="545" a="1"/>
  <c r="K150" i="545" s="1"/>
  <c r="M150" i="545" s="1"/>
  <c r="J150" i="545" a="1"/>
  <c r="J150" i="545" s="1"/>
  <c r="H150" i="545"/>
  <c r="V149" i="545"/>
  <c r="W149" i="545" s="1"/>
  <c r="N149" i="545"/>
  <c r="K149" i="545" a="1"/>
  <c r="K149" i="545" s="1"/>
  <c r="J149" i="545" a="1"/>
  <c r="J149" i="545" s="1"/>
  <c r="H149" i="545"/>
  <c r="AA148" i="545"/>
  <c r="Z148" i="545"/>
  <c r="Y148" i="545"/>
  <c r="X148" i="545"/>
  <c r="U148" i="545"/>
  <c r="T148" i="545"/>
  <c r="S148" i="545"/>
  <c r="Q148" i="545"/>
  <c r="P148" i="545"/>
  <c r="O148" i="545"/>
  <c r="R170" i="545" s="1"/>
  <c r="I148" i="545"/>
  <c r="G148" i="545"/>
  <c r="C528" i="545" s="1"/>
  <c r="V147" i="545"/>
  <c r="W147" i="545" s="1"/>
  <c r="N147" i="545"/>
  <c r="K147" i="545" a="1"/>
  <c r="K147" i="545" s="1"/>
  <c r="M147" i="545" s="1"/>
  <c r="J147" i="545" a="1"/>
  <c r="J147" i="545" s="1"/>
  <c r="H147" i="545"/>
  <c r="K145" i="545" a="1"/>
  <c r="K145" i="545" s="1"/>
  <c r="H145" i="545"/>
  <c r="K144" i="545" a="1"/>
  <c r="K144" i="545" s="1"/>
  <c r="H144" i="545"/>
  <c r="K143" i="545" a="1"/>
  <c r="K143" i="545" s="1"/>
  <c r="H143" i="545"/>
  <c r="V142" i="545"/>
  <c r="W142" i="545" s="1"/>
  <c r="N142" i="545"/>
  <c r="K142" i="545" a="1"/>
  <c r="K142" i="545" s="1"/>
  <c r="M142" i="545" s="1"/>
  <c r="J142" i="545" a="1"/>
  <c r="J142" i="545" s="1"/>
  <c r="H142" i="545"/>
  <c r="V141" i="545"/>
  <c r="W141" i="545" s="1"/>
  <c r="N141" i="545"/>
  <c r="K141" i="545" a="1"/>
  <c r="K141" i="545" s="1"/>
  <c r="M141" i="545" s="1"/>
  <c r="J141" i="545" a="1"/>
  <c r="J141" i="545" s="1"/>
  <c r="H141" i="545"/>
  <c r="V140" i="545"/>
  <c r="W140" i="545" s="1"/>
  <c r="N140" i="545"/>
  <c r="K140" i="545"/>
  <c r="M140" i="545" s="1"/>
  <c r="K140" i="545" a="1"/>
  <c r="J140" i="545"/>
  <c r="J140" i="545" a="1"/>
  <c r="H140" i="545"/>
  <c r="V139" i="545"/>
  <c r="W139" i="545" s="1"/>
  <c r="N139" i="545"/>
  <c r="K139" i="545" a="1"/>
  <c r="K139" i="545" s="1"/>
  <c r="M139" i="545" s="1"/>
  <c r="J139" i="545" a="1"/>
  <c r="J139" i="545" s="1"/>
  <c r="H139" i="545"/>
  <c r="V138" i="545"/>
  <c r="V148" i="545" s="1"/>
  <c r="W148" i="545" s="1"/>
  <c r="N138" i="545"/>
  <c r="K138" i="545" a="1"/>
  <c r="K138" i="545" s="1"/>
  <c r="M138" i="545" s="1"/>
  <c r="J138" i="545" a="1"/>
  <c r="J138" i="545" s="1"/>
  <c r="H138" i="545"/>
  <c r="H148" i="545" s="1"/>
  <c r="AA137" i="545"/>
  <c r="Z137" i="545"/>
  <c r="Y137" i="545"/>
  <c r="X137" i="545"/>
  <c r="U137" i="545"/>
  <c r="T137" i="545"/>
  <c r="S137" i="545"/>
  <c r="Q137" i="545"/>
  <c r="P137" i="545"/>
  <c r="O137" i="545"/>
  <c r="I137" i="545"/>
  <c r="G137" i="545"/>
  <c r="C527" i="545" s="1"/>
  <c r="V136" i="545"/>
  <c r="W136" i="545" s="1"/>
  <c r="N136" i="545"/>
  <c r="K136" i="545" a="1"/>
  <c r="K136" i="545" s="1"/>
  <c r="M136" i="545" s="1"/>
  <c r="J136" i="545" a="1"/>
  <c r="J136" i="545" s="1"/>
  <c r="H136" i="545"/>
  <c r="V135" i="545"/>
  <c r="W135" i="545" s="1"/>
  <c r="N135" i="545"/>
  <c r="K135" i="545" a="1"/>
  <c r="K135" i="545" s="1"/>
  <c r="M135" i="545" s="1"/>
  <c r="J135" i="545" a="1"/>
  <c r="J135" i="545" s="1"/>
  <c r="H135" i="545"/>
  <c r="V134" i="545"/>
  <c r="W134" i="545" s="1"/>
  <c r="N134" i="545"/>
  <c r="K134" i="545" a="1"/>
  <c r="K134" i="545" s="1"/>
  <c r="M134" i="545" s="1"/>
  <c r="J134" i="545" a="1"/>
  <c r="J134" i="545" s="1"/>
  <c r="H134" i="545"/>
  <c r="V133" i="545"/>
  <c r="W133" i="545" s="1"/>
  <c r="N133" i="545"/>
  <c r="K133" i="545"/>
  <c r="M133" i="545" s="1"/>
  <c r="K133" i="545" a="1"/>
  <c r="J133" i="545"/>
  <c r="J133" i="545" a="1"/>
  <c r="H133" i="545"/>
  <c r="V132" i="545"/>
  <c r="W132" i="545" s="1"/>
  <c r="N132" i="545"/>
  <c r="K132" i="545" a="1"/>
  <c r="K132" i="545" s="1"/>
  <c r="M132" i="545" s="1"/>
  <c r="J132" i="545" a="1"/>
  <c r="J132" i="545" s="1"/>
  <c r="H132" i="545"/>
  <c r="V131" i="545"/>
  <c r="W131" i="545" s="1"/>
  <c r="N131" i="545"/>
  <c r="K131" i="545" a="1"/>
  <c r="K131" i="545" s="1"/>
  <c r="M131" i="545" s="1"/>
  <c r="J131" i="545" a="1"/>
  <c r="J131" i="545" s="1"/>
  <c r="H131" i="545"/>
  <c r="V130" i="545"/>
  <c r="W130" i="545" s="1"/>
  <c r="N130" i="545"/>
  <c r="K130" i="545" a="1"/>
  <c r="K130" i="545" s="1"/>
  <c r="M130" i="545" s="1"/>
  <c r="J130" i="545" a="1"/>
  <c r="J130" i="545" s="1"/>
  <c r="H130" i="545"/>
  <c r="V129" i="545"/>
  <c r="W129" i="545" s="1"/>
  <c r="N129" i="545"/>
  <c r="K129" i="545"/>
  <c r="M129" i="545" s="1"/>
  <c r="K129" i="545" a="1"/>
  <c r="J129" i="545"/>
  <c r="J129" i="545" a="1"/>
  <c r="H129" i="545"/>
  <c r="V128" i="545"/>
  <c r="W128" i="545" s="1"/>
  <c r="N128" i="545"/>
  <c r="K128" i="545" a="1"/>
  <c r="K128" i="545" s="1"/>
  <c r="M128" i="545" s="1"/>
  <c r="J128" i="545" a="1"/>
  <c r="J128" i="545" s="1"/>
  <c r="H128" i="545"/>
  <c r="V127" i="545"/>
  <c r="W127" i="545" s="1"/>
  <c r="N127" i="545"/>
  <c r="K127" i="545" a="1"/>
  <c r="K127" i="545" s="1"/>
  <c r="M127" i="545" s="1"/>
  <c r="J127" i="545" a="1"/>
  <c r="J127" i="545" s="1"/>
  <c r="H127" i="545"/>
  <c r="V126" i="545"/>
  <c r="W126" i="545" s="1"/>
  <c r="N126" i="545"/>
  <c r="K126" i="545" a="1"/>
  <c r="K126" i="545" s="1"/>
  <c r="M126" i="545" s="1"/>
  <c r="J126" i="545" a="1"/>
  <c r="J126" i="545" s="1"/>
  <c r="H126" i="545"/>
  <c r="V125" i="545"/>
  <c r="W125" i="545" s="1"/>
  <c r="N125" i="545"/>
  <c r="K125" i="545"/>
  <c r="M125" i="545" s="1"/>
  <c r="K125" i="545" a="1"/>
  <c r="J125" i="545"/>
  <c r="J125" i="545" a="1"/>
  <c r="H125" i="545"/>
  <c r="V124" i="545"/>
  <c r="W124" i="545" s="1"/>
  <c r="N124" i="545"/>
  <c r="K124" i="545" a="1"/>
  <c r="K124" i="545" s="1"/>
  <c r="M124" i="545" s="1"/>
  <c r="J124" i="545" a="1"/>
  <c r="J124" i="545" s="1"/>
  <c r="H124" i="545"/>
  <c r="V123" i="545"/>
  <c r="W123" i="545" s="1"/>
  <c r="N123" i="545"/>
  <c r="K123" i="545" a="1"/>
  <c r="K123" i="545" s="1"/>
  <c r="M123" i="545" s="1"/>
  <c r="J123" i="545" a="1"/>
  <c r="J123" i="545" s="1"/>
  <c r="H123" i="545"/>
  <c r="V122" i="545"/>
  <c r="W122" i="545" s="1"/>
  <c r="N122" i="545"/>
  <c r="K122" i="545" a="1"/>
  <c r="K122" i="545" s="1"/>
  <c r="J122" i="545" a="1"/>
  <c r="J122" i="545" s="1"/>
  <c r="H122" i="545"/>
  <c r="AA121" i="545"/>
  <c r="Z121" i="545"/>
  <c r="Y121" i="545"/>
  <c r="X121" i="545"/>
  <c r="U121" i="545"/>
  <c r="T121" i="545"/>
  <c r="S121" i="545"/>
  <c r="R121" i="545"/>
  <c r="Q121" i="545"/>
  <c r="P121" i="545"/>
  <c r="O121" i="545"/>
  <c r="R168" i="545" s="1"/>
  <c r="I121" i="545"/>
  <c r="G121" i="545"/>
  <c r="C526" i="545" s="1"/>
  <c r="V120" i="545"/>
  <c r="W120" i="545" s="1"/>
  <c r="N120" i="545"/>
  <c r="K120" i="545" a="1"/>
  <c r="K120" i="545" s="1"/>
  <c r="M120" i="545" s="1"/>
  <c r="J120" i="545" a="1"/>
  <c r="J120" i="545" s="1"/>
  <c r="H120" i="545"/>
  <c r="V119" i="545"/>
  <c r="W119" i="545" s="1"/>
  <c r="N119" i="545"/>
  <c r="K119" i="545" a="1"/>
  <c r="K119" i="545" s="1"/>
  <c r="M119" i="545" s="1"/>
  <c r="J119" i="545" a="1"/>
  <c r="J119" i="545" s="1"/>
  <c r="H119" i="545"/>
  <c r="V118" i="545"/>
  <c r="W118" i="545" s="1"/>
  <c r="N118" i="545"/>
  <c r="K118" i="545" a="1"/>
  <c r="K118" i="545" s="1"/>
  <c r="M118" i="545" s="1"/>
  <c r="J118" i="545" a="1"/>
  <c r="J118" i="545" s="1"/>
  <c r="H118" i="545"/>
  <c r="K117" i="545" a="1"/>
  <c r="K117" i="545" s="1"/>
  <c r="H117" i="545"/>
  <c r="K116" i="545" a="1"/>
  <c r="K116" i="545" s="1"/>
  <c r="H116" i="545"/>
  <c r="K115" i="545" a="1"/>
  <c r="K115" i="545" s="1"/>
  <c r="H115" i="545"/>
  <c r="V114" i="545"/>
  <c r="W114" i="545" s="1"/>
  <c r="N114" i="545"/>
  <c r="K114" i="545" a="1"/>
  <c r="K114" i="545" s="1"/>
  <c r="M114" i="545" s="1"/>
  <c r="J114" i="545" a="1"/>
  <c r="J114" i="545" s="1"/>
  <c r="H114" i="545"/>
  <c r="V113" i="545"/>
  <c r="W113" i="545" s="1"/>
  <c r="N113" i="545"/>
  <c r="K113" i="545" a="1"/>
  <c r="K113" i="545" s="1"/>
  <c r="M113" i="545" s="1"/>
  <c r="J113" i="545" a="1"/>
  <c r="J113" i="545" s="1"/>
  <c r="H113" i="545"/>
  <c r="N112" i="545"/>
  <c r="K112" i="545" a="1"/>
  <c r="K112" i="545" s="1"/>
  <c r="M112" i="545" s="1"/>
  <c r="H112" i="545"/>
  <c r="N111" i="545"/>
  <c r="K111" i="545" a="1"/>
  <c r="K111" i="545" s="1"/>
  <c r="M111" i="545" s="1"/>
  <c r="H111" i="545"/>
  <c r="N110" i="545"/>
  <c r="K110" i="545" a="1"/>
  <c r="K110" i="545" s="1"/>
  <c r="M110" i="545" s="1"/>
  <c r="H110" i="545"/>
  <c r="N109" i="545"/>
  <c r="K109" i="545" a="1"/>
  <c r="K109" i="545" s="1"/>
  <c r="M109" i="545" s="1"/>
  <c r="H109" i="545"/>
  <c r="N108" i="545"/>
  <c r="K108" i="545" a="1"/>
  <c r="K108" i="545" s="1"/>
  <c r="M108" i="545" s="1"/>
  <c r="H108" i="545"/>
  <c r="N107" i="545"/>
  <c r="K107" i="545" a="1"/>
  <c r="K107" i="545" s="1"/>
  <c r="M107" i="545" s="1"/>
  <c r="H107" i="545"/>
  <c r="V106" i="545"/>
  <c r="W106" i="545" s="1"/>
  <c r="N106" i="545"/>
  <c r="K106" i="545" a="1"/>
  <c r="K106" i="545" s="1"/>
  <c r="M106" i="545" s="1"/>
  <c r="J106" i="545" a="1"/>
  <c r="J106" i="545" s="1"/>
  <c r="H106" i="545"/>
  <c r="V105" i="545"/>
  <c r="W105" i="545" s="1"/>
  <c r="N105" i="545"/>
  <c r="K105" i="545" a="1"/>
  <c r="K105" i="545" s="1"/>
  <c r="M105" i="545" s="1"/>
  <c r="J105" i="545" a="1"/>
  <c r="J105" i="545" s="1"/>
  <c r="H105" i="545"/>
  <c r="V104" i="545"/>
  <c r="W104" i="545" s="1"/>
  <c r="N104" i="545"/>
  <c r="K104" i="545" a="1"/>
  <c r="K104" i="545" s="1"/>
  <c r="M104" i="545" s="1"/>
  <c r="J104" i="545" a="1"/>
  <c r="J104" i="545" s="1"/>
  <c r="H104" i="545"/>
  <c r="V103" i="545"/>
  <c r="W103" i="545" s="1"/>
  <c r="N103" i="545"/>
  <c r="K103" i="545"/>
  <c r="M103" i="545" s="1"/>
  <c r="K103" i="545" a="1"/>
  <c r="J103" i="545" a="1"/>
  <c r="J103" i="545" s="1"/>
  <c r="H103" i="545"/>
  <c r="V102" i="545"/>
  <c r="W102" i="545" s="1"/>
  <c r="N102" i="545"/>
  <c r="K102" i="545" a="1"/>
  <c r="K102" i="545" s="1"/>
  <c r="M102" i="545" s="1"/>
  <c r="J102" i="545" a="1"/>
  <c r="J102" i="545" s="1"/>
  <c r="H102" i="545"/>
  <c r="V101" i="545"/>
  <c r="W101" i="545" s="1"/>
  <c r="N101" i="545"/>
  <c r="K101" i="545"/>
  <c r="M101" i="545" s="1"/>
  <c r="K101" i="545" a="1"/>
  <c r="J101" i="545"/>
  <c r="J101" i="545" a="1"/>
  <c r="H101" i="545"/>
  <c r="V100" i="545"/>
  <c r="W100" i="545" s="1"/>
  <c r="N100" i="545"/>
  <c r="K100" i="545" a="1"/>
  <c r="K100" i="545" s="1"/>
  <c r="M100" i="545" s="1"/>
  <c r="J100" i="545" a="1"/>
  <c r="J100" i="545" s="1"/>
  <c r="H100" i="545"/>
  <c r="V99" i="545"/>
  <c r="W99" i="545" s="1"/>
  <c r="N99" i="545"/>
  <c r="K99" i="545" a="1"/>
  <c r="K99" i="545" s="1"/>
  <c r="M99" i="545" s="1"/>
  <c r="J99" i="545" a="1"/>
  <c r="J99" i="545" s="1"/>
  <c r="H99" i="545"/>
  <c r="V98" i="545"/>
  <c r="W98" i="545" s="1"/>
  <c r="N98" i="545"/>
  <c r="K98" i="545" a="1"/>
  <c r="K98" i="545" s="1"/>
  <c r="M98" i="545" s="1"/>
  <c r="J98" i="545" a="1"/>
  <c r="J98" i="545" s="1"/>
  <c r="H98" i="545"/>
  <c r="V97" i="545"/>
  <c r="W97" i="545" s="1"/>
  <c r="N97" i="545"/>
  <c r="K97" i="545"/>
  <c r="M97" i="545" s="1"/>
  <c r="K97" i="545" a="1"/>
  <c r="J97" i="545"/>
  <c r="J97" i="545" a="1"/>
  <c r="H97" i="545"/>
  <c r="V96" i="545"/>
  <c r="W96" i="545" s="1"/>
  <c r="N96" i="545"/>
  <c r="K96" i="545" a="1"/>
  <c r="K96" i="545" s="1"/>
  <c r="M96" i="545" s="1"/>
  <c r="J96" i="545" a="1"/>
  <c r="J96" i="545" s="1"/>
  <c r="H96" i="545"/>
  <c r="V95" i="545"/>
  <c r="W95" i="545" s="1"/>
  <c r="N95" i="545"/>
  <c r="K95" i="545" a="1"/>
  <c r="K95" i="545" s="1"/>
  <c r="M95" i="545" s="1"/>
  <c r="J95" i="545" a="1"/>
  <c r="J95" i="545" s="1"/>
  <c r="H95" i="545"/>
  <c r="K94" i="545"/>
  <c r="M94" i="545" s="1"/>
  <c r="K94" i="545" a="1"/>
  <c r="H94" i="545"/>
  <c r="V93" i="545"/>
  <c r="W93" i="545" s="1"/>
  <c r="N93" i="545"/>
  <c r="K93" i="545" a="1"/>
  <c r="K93" i="545" s="1"/>
  <c r="M93" i="545" s="1"/>
  <c r="J93" i="545" a="1"/>
  <c r="J93" i="545" s="1"/>
  <c r="H93" i="545"/>
  <c r="V92" i="545"/>
  <c r="W92" i="545" s="1"/>
  <c r="N92" i="545"/>
  <c r="K92" i="545" a="1"/>
  <c r="K92" i="545" s="1"/>
  <c r="M92" i="545" s="1"/>
  <c r="J92" i="545" a="1"/>
  <c r="J92" i="545" s="1"/>
  <c r="H92" i="545"/>
  <c r="V91" i="545"/>
  <c r="W91" i="545" s="1"/>
  <c r="N91" i="545"/>
  <c r="K91" i="545" a="1"/>
  <c r="K91" i="545" s="1"/>
  <c r="M91" i="545" s="1"/>
  <c r="J91" i="545" a="1"/>
  <c r="J91" i="545" s="1"/>
  <c r="H91" i="545"/>
  <c r="V90" i="545"/>
  <c r="W90" i="545" s="1"/>
  <c r="N90" i="545"/>
  <c r="K90" i="545"/>
  <c r="M90" i="545" s="1"/>
  <c r="K90" i="545" a="1"/>
  <c r="J90" i="545"/>
  <c r="J90" i="545" a="1"/>
  <c r="H90" i="545"/>
  <c r="V89" i="545"/>
  <c r="W89" i="545" s="1"/>
  <c r="N89" i="545"/>
  <c r="K89" i="545" a="1"/>
  <c r="K89" i="545" s="1"/>
  <c r="M89" i="545" s="1"/>
  <c r="J89" i="545" a="1"/>
  <c r="J89" i="545" s="1"/>
  <c r="H89" i="545"/>
  <c r="V88" i="545"/>
  <c r="W88" i="545" s="1"/>
  <c r="N88" i="545"/>
  <c r="K88" i="545" a="1"/>
  <c r="K88" i="545" s="1"/>
  <c r="M88" i="545" s="1"/>
  <c r="J88" i="545" a="1"/>
  <c r="J88" i="545" s="1"/>
  <c r="H88" i="545"/>
  <c r="V87" i="545"/>
  <c r="V121" i="545" s="1"/>
  <c r="W121" i="545" s="1"/>
  <c r="N87" i="545"/>
  <c r="K87" i="545" a="1"/>
  <c r="K87" i="545" s="1"/>
  <c r="J87" i="545" a="1"/>
  <c r="J87" i="545" s="1"/>
  <c r="H87" i="545"/>
  <c r="H121" i="545" s="1"/>
  <c r="AA86" i="545"/>
  <c r="Z86" i="545"/>
  <c r="Y86" i="545"/>
  <c r="X86" i="545"/>
  <c r="U86" i="545"/>
  <c r="T86" i="545"/>
  <c r="S86" i="545"/>
  <c r="R86" i="545"/>
  <c r="Q86" i="545"/>
  <c r="P86" i="545"/>
  <c r="O86" i="545"/>
  <c r="R167" i="545" s="1"/>
  <c r="I86" i="545"/>
  <c r="G86" i="545"/>
  <c r="C525" i="545" s="1"/>
  <c r="K85" i="545" a="1"/>
  <c r="K85" i="545" s="1"/>
  <c r="H85" i="545"/>
  <c r="K84" i="545" a="1"/>
  <c r="K84" i="545" s="1"/>
  <c r="H84" i="545"/>
  <c r="K83" i="545" a="1"/>
  <c r="K83" i="545" s="1"/>
  <c r="H83" i="545"/>
  <c r="K82" i="545" a="1"/>
  <c r="K82" i="545" s="1"/>
  <c r="H82" i="545"/>
  <c r="K81" i="545" a="1"/>
  <c r="K81" i="545" s="1"/>
  <c r="H81" i="545"/>
  <c r="K80" i="545" a="1"/>
  <c r="K80" i="545" s="1"/>
  <c r="H80" i="545"/>
  <c r="K79" i="545" a="1"/>
  <c r="K79" i="545" s="1"/>
  <c r="M79" i="545" s="1"/>
  <c r="H79" i="545"/>
  <c r="K78" i="545" a="1"/>
  <c r="K78" i="545" s="1"/>
  <c r="M78" i="545" s="1"/>
  <c r="H78" i="545"/>
  <c r="K77" i="545" a="1"/>
  <c r="K77" i="545" s="1"/>
  <c r="M77" i="545" s="1"/>
  <c r="H77" i="545"/>
  <c r="K76" i="545" a="1"/>
  <c r="K76" i="545" s="1"/>
  <c r="M76" i="545" s="1"/>
  <c r="H76" i="545"/>
  <c r="V75" i="545"/>
  <c r="W75" i="545" s="1"/>
  <c r="N75" i="545"/>
  <c r="K75" i="545" a="1"/>
  <c r="K75" i="545" s="1"/>
  <c r="M75" i="545" s="1"/>
  <c r="J75" i="545" a="1"/>
  <c r="J75" i="545" s="1"/>
  <c r="H75" i="545"/>
  <c r="V74" i="545"/>
  <c r="W74" i="545" s="1"/>
  <c r="N74" i="545"/>
  <c r="K74" i="545"/>
  <c r="M74" i="545" s="1"/>
  <c r="K74" i="545" a="1"/>
  <c r="J74" i="545"/>
  <c r="J74" i="545" a="1"/>
  <c r="H74" i="545"/>
  <c r="V73" i="545"/>
  <c r="W73" i="545" s="1"/>
  <c r="N73" i="545"/>
  <c r="K73" i="545" a="1"/>
  <c r="K73" i="545" s="1"/>
  <c r="M73" i="545" s="1"/>
  <c r="J73" i="545" a="1"/>
  <c r="J73" i="545" s="1"/>
  <c r="H73" i="545"/>
  <c r="V72" i="545"/>
  <c r="W72" i="545" s="1"/>
  <c r="N72" i="545"/>
  <c r="K72" i="545" a="1"/>
  <c r="K72" i="545" s="1"/>
  <c r="M72" i="545" s="1"/>
  <c r="J72" i="545" a="1"/>
  <c r="J72" i="545" s="1"/>
  <c r="H72" i="545"/>
  <c r="H71" i="545"/>
  <c r="V70" i="545"/>
  <c r="W70" i="545" s="1"/>
  <c r="N70" i="545"/>
  <c r="K70" i="545"/>
  <c r="M70" i="545" s="1"/>
  <c r="K70" i="545" a="1"/>
  <c r="J70" i="545" a="1"/>
  <c r="J70" i="545" s="1"/>
  <c r="H70" i="545"/>
  <c r="V69" i="545"/>
  <c r="W69" i="545" s="1"/>
  <c r="N69" i="545"/>
  <c r="K69" i="545" a="1"/>
  <c r="K69" i="545" s="1"/>
  <c r="M69" i="545" s="1"/>
  <c r="J69" i="545" a="1"/>
  <c r="J69" i="545" s="1"/>
  <c r="H69" i="545"/>
  <c r="K68" i="545" a="1"/>
  <c r="K68" i="545" s="1"/>
  <c r="H68" i="545"/>
  <c r="K67" i="545" a="1"/>
  <c r="K67" i="545" s="1"/>
  <c r="H67" i="545"/>
  <c r="V66" i="545"/>
  <c r="W66" i="545" s="1"/>
  <c r="N66" i="545"/>
  <c r="K66" i="545"/>
  <c r="M66" i="545" s="1"/>
  <c r="K66" i="545" a="1"/>
  <c r="J66" i="545" a="1"/>
  <c r="J66" i="545" s="1"/>
  <c r="H66" i="545"/>
  <c r="V65" i="545"/>
  <c r="W65" i="545" s="1"/>
  <c r="N65" i="545"/>
  <c r="K65" i="545" a="1"/>
  <c r="K65" i="545" s="1"/>
  <c r="M65" i="545" s="1"/>
  <c r="J65" i="545" a="1"/>
  <c r="J65" i="545" s="1"/>
  <c r="H65" i="545"/>
  <c r="V64" i="545"/>
  <c r="W64" i="545" s="1"/>
  <c r="N64" i="545"/>
  <c r="K64" i="545"/>
  <c r="M64" i="545" s="1"/>
  <c r="K64" i="545" a="1"/>
  <c r="J64" i="545" a="1"/>
  <c r="J64" i="545" s="1"/>
  <c r="H64" i="545"/>
  <c r="V63" i="545"/>
  <c r="W63" i="545" s="1"/>
  <c r="N63" i="545"/>
  <c r="K63" i="545" a="1"/>
  <c r="K63" i="545" s="1"/>
  <c r="M63" i="545" s="1"/>
  <c r="J63" i="545" a="1"/>
  <c r="J63" i="545" s="1"/>
  <c r="H63" i="545"/>
  <c r="V62" i="545"/>
  <c r="W62" i="545" s="1"/>
  <c r="N62" i="545"/>
  <c r="K62" i="545"/>
  <c r="M62" i="545" s="1"/>
  <c r="K62" i="545" a="1"/>
  <c r="J62" i="545" a="1"/>
  <c r="J62" i="545" s="1"/>
  <c r="H62" i="545"/>
  <c r="V61" i="545"/>
  <c r="W61" i="545" s="1"/>
  <c r="N61" i="545"/>
  <c r="K61" i="545" a="1"/>
  <c r="K61" i="545" s="1"/>
  <c r="M61" i="545" s="1"/>
  <c r="J61" i="545" a="1"/>
  <c r="J61" i="545" s="1"/>
  <c r="H61" i="545"/>
  <c r="V60" i="545"/>
  <c r="W60" i="545" s="1"/>
  <c r="N60" i="545"/>
  <c r="K60" i="545" a="1"/>
  <c r="K60" i="545" s="1"/>
  <c r="M60" i="545" s="1"/>
  <c r="J60" i="545" a="1"/>
  <c r="J60" i="545" s="1"/>
  <c r="H60" i="545"/>
  <c r="V59" i="545"/>
  <c r="W59" i="545" s="1"/>
  <c r="N59" i="545"/>
  <c r="K59" i="545" a="1"/>
  <c r="K59" i="545" s="1"/>
  <c r="M59" i="545" s="1"/>
  <c r="J59" i="545" a="1"/>
  <c r="J59" i="545" s="1"/>
  <c r="H59" i="545"/>
  <c r="V58" i="545"/>
  <c r="W58" i="545" s="1"/>
  <c r="N58" i="545"/>
  <c r="K58" i="545" a="1"/>
  <c r="K58" i="545" s="1"/>
  <c r="M58" i="545" s="1"/>
  <c r="J58" i="545" a="1"/>
  <c r="J58" i="545" s="1"/>
  <c r="H58" i="545"/>
  <c r="V57" i="545"/>
  <c r="W57" i="545" s="1"/>
  <c r="N57" i="545"/>
  <c r="K57" i="545"/>
  <c r="M57" i="545" s="1"/>
  <c r="K57" i="545" a="1"/>
  <c r="J57" i="545"/>
  <c r="J57" i="545" a="1"/>
  <c r="H57" i="545"/>
  <c r="K56" i="545" a="1"/>
  <c r="K56" i="545" s="1"/>
  <c r="M56" i="545" s="1"/>
  <c r="H56" i="545"/>
  <c r="K55" i="545" a="1"/>
  <c r="K55" i="545" s="1"/>
  <c r="M55" i="545" s="1"/>
  <c r="H55" i="545"/>
  <c r="K54" i="545" a="1"/>
  <c r="K54" i="545" s="1"/>
  <c r="M54" i="545" s="1"/>
  <c r="H54" i="545"/>
  <c r="K53" i="545" a="1"/>
  <c r="K53" i="545" s="1"/>
  <c r="M53" i="545" s="1"/>
  <c r="H53" i="545"/>
  <c r="N52" i="545"/>
  <c r="K52" i="545" a="1"/>
  <c r="K52" i="545" s="1"/>
  <c r="M52" i="545" s="1"/>
  <c r="H52" i="545"/>
  <c r="N51" i="545"/>
  <c r="K51" i="545" a="1"/>
  <c r="K51" i="545" s="1"/>
  <c r="M51" i="545" s="1"/>
  <c r="H51" i="545"/>
  <c r="N50" i="545"/>
  <c r="K50" i="545" a="1"/>
  <c r="K50" i="545" s="1"/>
  <c r="M50" i="545" s="1"/>
  <c r="H50" i="545"/>
  <c r="N49" i="545"/>
  <c r="K49" i="545" a="1"/>
  <c r="K49" i="545" s="1"/>
  <c r="M49" i="545" s="1"/>
  <c r="H49" i="545"/>
  <c r="V48" i="545"/>
  <c r="W48" i="545" s="1"/>
  <c r="N48" i="545"/>
  <c r="K48" i="545" a="1"/>
  <c r="K48" i="545" s="1"/>
  <c r="M48" i="545" s="1"/>
  <c r="J48" i="545" a="1"/>
  <c r="J48" i="545" s="1"/>
  <c r="H48" i="545"/>
  <c r="V47" i="545"/>
  <c r="W47" i="545" s="1"/>
  <c r="N47" i="545"/>
  <c r="K47" i="545" a="1"/>
  <c r="K47" i="545" s="1"/>
  <c r="M47" i="545" s="1"/>
  <c r="J47" i="545" a="1"/>
  <c r="J47" i="545" s="1"/>
  <c r="H47" i="545"/>
  <c r="V46" i="545"/>
  <c r="W46" i="545" s="1"/>
  <c r="N46" i="545"/>
  <c r="K46" i="545"/>
  <c r="M46" i="545" s="1"/>
  <c r="K46" i="545" a="1"/>
  <c r="J46" i="545"/>
  <c r="J46" i="545" a="1"/>
  <c r="H46" i="545"/>
  <c r="V45" i="545"/>
  <c r="W45" i="545" s="1"/>
  <c r="N45" i="545"/>
  <c r="K45" i="545" a="1"/>
  <c r="K45" i="545" s="1"/>
  <c r="M45" i="545" s="1"/>
  <c r="J45" i="545" a="1"/>
  <c r="J45" i="545" s="1"/>
  <c r="H45" i="545"/>
  <c r="V44" i="545"/>
  <c r="W44" i="545" s="1"/>
  <c r="N44" i="545"/>
  <c r="K44" i="545" a="1"/>
  <c r="K44" i="545" s="1"/>
  <c r="M44" i="545" s="1"/>
  <c r="J44" i="545" a="1"/>
  <c r="J44" i="545" s="1"/>
  <c r="H44" i="545"/>
  <c r="V43" i="545"/>
  <c r="W43" i="545" s="1"/>
  <c r="N43" i="545"/>
  <c r="K43" i="545" a="1"/>
  <c r="K43" i="545" s="1"/>
  <c r="M43" i="545" s="1"/>
  <c r="J43" i="545" a="1"/>
  <c r="J43" i="545" s="1"/>
  <c r="H43" i="545"/>
  <c r="V42" i="545"/>
  <c r="W42" i="545" s="1"/>
  <c r="N42" i="545"/>
  <c r="K42" i="545" a="1"/>
  <c r="K42" i="545" s="1"/>
  <c r="M42" i="545" s="1"/>
  <c r="J42" i="545" a="1"/>
  <c r="J42" i="545" s="1"/>
  <c r="H42" i="545"/>
  <c r="V41" i="545"/>
  <c r="W41" i="545" s="1"/>
  <c r="N41" i="545"/>
  <c r="K41" i="545" a="1"/>
  <c r="K41" i="545" s="1"/>
  <c r="M41" i="545" s="1"/>
  <c r="J41" i="545" a="1"/>
  <c r="J41" i="545" s="1"/>
  <c r="H41" i="545"/>
  <c r="V40" i="545"/>
  <c r="W40" i="545" s="1"/>
  <c r="N40" i="545"/>
  <c r="K40" i="545"/>
  <c r="M40" i="545" s="1"/>
  <c r="K40" i="545" a="1"/>
  <c r="J40" i="545"/>
  <c r="J40" i="545" a="1"/>
  <c r="H40" i="545"/>
  <c r="V39" i="545"/>
  <c r="W39" i="545" s="1"/>
  <c r="N39" i="545"/>
  <c r="K39" i="545" a="1"/>
  <c r="K39" i="545" s="1"/>
  <c r="M39" i="545" s="1"/>
  <c r="J39" i="545" a="1"/>
  <c r="J39" i="545" s="1"/>
  <c r="H39" i="545"/>
  <c r="V38" i="545"/>
  <c r="W38" i="545" s="1"/>
  <c r="N38" i="545"/>
  <c r="K38" i="545" a="1"/>
  <c r="K38" i="545" s="1"/>
  <c r="M38" i="545" s="1"/>
  <c r="J38" i="545" a="1"/>
  <c r="J38" i="545" s="1"/>
  <c r="H38" i="545"/>
  <c r="V37" i="545"/>
  <c r="W37" i="545" s="1"/>
  <c r="N37" i="545"/>
  <c r="K37" i="545" a="1"/>
  <c r="K37" i="545" s="1"/>
  <c r="M37" i="545" s="1"/>
  <c r="J37" i="545" a="1"/>
  <c r="J37" i="545" s="1"/>
  <c r="H37" i="545"/>
  <c r="H36" i="545"/>
  <c r="H35" i="545"/>
  <c r="H34" i="545"/>
  <c r="V33" i="545"/>
  <c r="W33" i="545" s="1"/>
  <c r="N33" i="545"/>
  <c r="K33" i="545" a="1"/>
  <c r="K33" i="545" s="1"/>
  <c r="M33" i="545" s="1"/>
  <c r="J33" i="545" a="1"/>
  <c r="J33" i="545" s="1"/>
  <c r="H33" i="545"/>
  <c r="V32" i="545"/>
  <c r="W32" i="545" s="1"/>
  <c r="N32" i="545"/>
  <c r="K32" i="545" a="1"/>
  <c r="K32" i="545" s="1"/>
  <c r="M32" i="545" s="1"/>
  <c r="J32" i="545" a="1"/>
  <c r="J32" i="545" s="1"/>
  <c r="H32" i="545"/>
  <c r="V31" i="545"/>
  <c r="W31" i="545" s="1"/>
  <c r="N31" i="545"/>
  <c r="K31" i="545" a="1"/>
  <c r="K31" i="545" s="1"/>
  <c r="M31" i="545" s="1"/>
  <c r="J31" i="545" a="1"/>
  <c r="J31" i="545" s="1"/>
  <c r="H31" i="545"/>
  <c r="K30" i="545"/>
  <c r="K30" i="545" a="1"/>
  <c r="H30" i="545"/>
  <c r="V29" i="545"/>
  <c r="N29" i="545"/>
  <c r="N86" i="545" s="1"/>
  <c r="K29" i="545" a="1"/>
  <c r="K29" i="545" s="1"/>
  <c r="J29" i="545" a="1"/>
  <c r="J29" i="545" s="1"/>
  <c r="H29" i="545"/>
  <c r="AA28" i="545"/>
  <c r="Z28" i="545"/>
  <c r="Z164" i="545" s="1"/>
  <c r="Y28" i="545"/>
  <c r="X28" i="545"/>
  <c r="X164" i="545" s="1"/>
  <c r="U28" i="545"/>
  <c r="T28" i="545"/>
  <c r="T164" i="545" s="1"/>
  <c r="S28" i="545"/>
  <c r="R28" i="545"/>
  <c r="R164" i="545" s="1"/>
  <c r="Q28" i="545"/>
  <c r="P28" i="545"/>
  <c r="X167" i="545" s="1"/>
  <c r="O28" i="545"/>
  <c r="I28" i="545"/>
  <c r="I164" i="545" s="1"/>
  <c r="B172" i="545" s="1"/>
  <c r="G28" i="545"/>
  <c r="C524" i="545" s="1"/>
  <c r="V27" i="545"/>
  <c r="W27" i="545" s="1"/>
  <c r="N27" i="545"/>
  <c r="K27" i="545" a="1"/>
  <c r="K27" i="545" s="1"/>
  <c r="M27" i="545" s="1"/>
  <c r="J27" i="545" a="1"/>
  <c r="J27" i="545" s="1"/>
  <c r="H27" i="545"/>
  <c r="V26" i="545"/>
  <c r="W26" i="545" s="1"/>
  <c r="N26" i="545"/>
  <c r="K26" i="545" a="1"/>
  <c r="K26" i="545" s="1"/>
  <c r="M26" i="545" s="1"/>
  <c r="J26" i="545" a="1"/>
  <c r="J26" i="545" s="1"/>
  <c r="H26" i="545"/>
  <c r="K25" i="545" a="1"/>
  <c r="K25" i="545" s="1"/>
  <c r="M25" i="545" s="1"/>
  <c r="J25" i="545" a="1"/>
  <c r="J25" i="545" s="1"/>
  <c r="H25" i="545"/>
  <c r="K24" i="545" a="1"/>
  <c r="K24" i="545" s="1"/>
  <c r="M24" i="545" s="1"/>
  <c r="J24" i="545" a="1"/>
  <c r="J24" i="545" s="1"/>
  <c r="H24" i="545"/>
  <c r="K23" i="545" a="1"/>
  <c r="K23" i="545" s="1"/>
  <c r="M23" i="545" s="1"/>
  <c r="J23" i="545" a="1"/>
  <c r="J23" i="545" s="1"/>
  <c r="H23" i="545"/>
  <c r="K22" i="545" a="1"/>
  <c r="K22" i="545" s="1"/>
  <c r="M22" i="545" s="1"/>
  <c r="J22" i="545" a="1"/>
  <c r="J22" i="545" s="1"/>
  <c r="H22" i="545"/>
  <c r="V21" i="545"/>
  <c r="W21" i="545" s="1"/>
  <c r="N21" i="545"/>
  <c r="K21" i="545" a="1"/>
  <c r="K21" i="545" s="1"/>
  <c r="M21" i="545" s="1"/>
  <c r="J21" i="545" a="1"/>
  <c r="J21" i="545" s="1"/>
  <c r="H21" i="545"/>
  <c r="V20" i="545"/>
  <c r="W20" i="545" s="1"/>
  <c r="N20" i="545"/>
  <c r="K20" i="545" a="1"/>
  <c r="K20" i="545" s="1"/>
  <c r="M20" i="545" s="1"/>
  <c r="J20" i="545" a="1"/>
  <c r="J20" i="545" s="1"/>
  <c r="H20" i="545"/>
  <c r="V19" i="545"/>
  <c r="W19" i="545" s="1"/>
  <c r="N19" i="545"/>
  <c r="K19" i="545" a="1"/>
  <c r="K19" i="545" s="1"/>
  <c r="M19" i="545" s="1"/>
  <c r="J19" i="545" a="1"/>
  <c r="J19" i="545" s="1"/>
  <c r="H19" i="545"/>
  <c r="N18" i="545"/>
  <c r="K18" i="545" a="1"/>
  <c r="K18" i="545" s="1"/>
  <c r="M18" i="545" s="1"/>
  <c r="J18" i="545" a="1"/>
  <c r="J18" i="545" s="1"/>
  <c r="H18" i="545"/>
  <c r="N17" i="545"/>
  <c r="K17" i="545" a="1"/>
  <c r="K17" i="545" s="1"/>
  <c r="M17" i="545" s="1"/>
  <c r="J17" i="545" a="1"/>
  <c r="J17" i="545" s="1"/>
  <c r="H17" i="545"/>
  <c r="V16" i="545"/>
  <c r="W16" i="545" s="1"/>
  <c r="N16" i="545"/>
  <c r="K16" i="545" a="1"/>
  <c r="K16" i="545" s="1"/>
  <c r="M16" i="545" s="1"/>
  <c r="J16" i="545" a="1"/>
  <c r="J16" i="545" s="1"/>
  <c r="H16" i="545"/>
  <c r="V15" i="545"/>
  <c r="W15" i="545" s="1"/>
  <c r="N15" i="545"/>
  <c r="K15" i="545" a="1"/>
  <c r="K15" i="545" s="1"/>
  <c r="M15" i="545" s="1"/>
  <c r="J15" i="545" a="1"/>
  <c r="J15" i="545" s="1"/>
  <c r="H15" i="545"/>
  <c r="N14" i="545"/>
  <c r="K14" i="545" a="1"/>
  <c r="K14" i="545" s="1"/>
  <c r="M14" i="545" s="1"/>
  <c r="H14" i="545"/>
  <c r="N13" i="545"/>
  <c r="K13" i="545" a="1"/>
  <c r="K13" i="545" s="1"/>
  <c r="M13" i="545" s="1"/>
  <c r="H13" i="545"/>
  <c r="V12" i="545"/>
  <c r="W12" i="545" s="1"/>
  <c r="N12" i="545"/>
  <c r="K12" i="545" a="1"/>
  <c r="K12" i="545" s="1"/>
  <c r="M12" i="545" s="1"/>
  <c r="J12" i="545" a="1"/>
  <c r="J12" i="545" s="1"/>
  <c r="H12" i="545"/>
  <c r="V11" i="545"/>
  <c r="W11" i="545" s="1"/>
  <c r="N11" i="545"/>
  <c r="K11" i="545" a="1"/>
  <c r="K11" i="545" s="1"/>
  <c r="M11" i="545" s="1"/>
  <c r="J11" i="545" a="1"/>
  <c r="J11" i="545" s="1"/>
  <c r="H11" i="545"/>
  <c r="V10" i="545"/>
  <c r="W10" i="545" s="1"/>
  <c r="N10" i="545"/>
  <c r="K10" i="545" a="1"/>
  <c r="K10" i="545" s="1"/>
  <c r="M10" i="545" s="1"/>
  <c r="J10" i="545" a="1"/>
  <c r="J10" i="545" s="1"/>
  <c r="H10" i="545"/>
  <c r="V9" i="545"/>
  <c r="W9" i="545" s="1"/>
  <c r="N9" i="545"/>
  <c r="K9" i="545" a="1"/>
  <c r="K9" i="545" s="1"/>
  <c r="M9" i="545" s="1"/>
  <c r="J9" i="545" a="1"/>
  <c r="J9" i="545" s="1"/>
  <c r="H9" i="545"/>
  <c r="V8" i="545"/>
  <c r="W8" i="545" s="1"/>
  <c r="N8" i="545"/>
  <c r="K8" i="545" a="1"/>
  <c r="K8" i="545" s="1"/>
  <c r="M8" i="545" s="1"/>
  <c r="J8" i="545" a="1"/>
  <c r="J8" i="545" s="1"/>
  <c r="H8" i="545"/>
  <c r="V7" i="545"/>
  <c r="N7" i="545"/>
  <c r="N28" i="545" s="1"/>
  <c r="K7" i="545" a="1"/>
  <c r="K7" i="545" s="1"/>
  <c r="J7" i="545" a="1"/>
  <c r="J7" i="545" s="1"/>
  <c r="H7" i="545"/>
  <c r="H28" i="545" l="1"/>
  <c r="V28" i="545"/>
  <c r="N148" i="545"/>
  <c r="H199" i="545"/>
  <c r="V199" i="545"/>
  <c r="N257" i="545"/>
  <c r="N292" i="545"/>
  <c r="N319" i="545"/>
  <c r="H370" i="545"/>
  <c r="V370" i="545"/>
  <c r="N463" i="545"/>
  <c r="N479" i="545"/>
  <c r="N121" i="545"/>
  <c r="V86" i="545"/>
  <c r="W86" i="545" s="1"/>
  <c r="H137" i="545"/>
  <c r="W138" i="545"/>
  <c r="W178" i="545"/>
  <c r="J319" i="545" a="1"/>
  <c r="J319" i="545" s="1"/>
  <c r="J292" i="545" a="1"/>
  <c r="J292" i="545" s="1"/>
  <c r="J257" i="545" a="1"/>
  <c r="J257" i="545" s="1"/>
  <c r="H334" i="545"/>
  <c r="V334" i="545"/>
  <c r="H292" i="545"/>
  <c r="W320" i="545"/>
  <c r="W334" i="545" s="1"/>
  <c r="S335" i="545"/>
  <c r="U335" i="545"/>
  <c r="Y335" i="545"/>
  <c r="AA335" i="545"/>
  <c r="N308" i="545"/>
  <c r="N335" i="545" s="1"/>
  <c r="B344" i="545" s="1"/>
  <c r="E344" i="545" s="1"/>
  <c r="W293" i="545"/>
  <c r="J308" i="545" a="1"/>
  <c r="J308" i="545" s="1"/>
  <c r="R340" i="545"/>
  <c r="M292" i="545"/>
  <c r="M308" i="545"/>
  <c r="W199" i="545"/>
  <c r="H257" i="545"/>
  <c r="H335" i="545" s="1"/>
  <c r="E342" i="545" s="1"/>
  <c r="K199" i="545"/>
  <c r="J463" i="545" a="1"/>
  <c r="J463" i="545" s="1"/>
  <c r="H479" i="545"/>
  <c r="V479" i="545"/>
  <c r="W479" i="545" s="1"/>
  <c r="R512" i="545"/>
  <c r="H490" i="545"/>
  <c r="J490" i="545" a="1"/>
  <c r="J490" i="545" s="1"/>
  <c r="R513" i="545"/>
  <c r="H506" i="545"/>
  <c r="R514" i="545"/>
  <c r="M490" i="545"/>
  <c r="W506" i="545"/>
  <c r="H463" i="545"/>
  <c r="W429" i="545"/>
  <c r="N370" i="545"/>
  <c r="O164" i="545"/>
  <c r="Q164" i="545"/>
  <c r="S164" i="545"/>
  <c r="U164" i="545"/>
  <c r="Y164" i="545"/>
  <c r="AA164" i="545"/>
  <c r="N163" i="545"/>
  <c r="M148" i="545"/>
  <c r="N137" i="545"/>
  <c r="N164" i="545" s="1"/>
  <c r="B173" i="545" s="1"/>
  <c r="E173" i="545" s="1"/>
  <c r="R169" i="545"/>
  <c r="W7" i="545"/>
  <c r="H163" i="545"/>
  <c r="J163" i="545" a="1"/>
  <c r="J163" i="545" s="1"/>
  <c r="H86" i="545"/>
  <c r="H164" i="545" s="1"/>
  <c r="E171" i="545" s="1"/>
  <c r="K28" i="545"/>
  <c r="J148" i="545" a="1"/>
  <c r="J148" i="545" s="1"/>
  <c r="K121" i="545"/>
  <c r="M87" i="545"/>
  <c r="M121" i="545" s="1"/>
  <c r="K137" i="545"/>
  <c r="M122" i="545"/>
  <c r="M137" i="545" s="1"/>
  <c r="K527" i="545"/>
  <c r="K528" i="545"/>
  <c r="K163" i="545"/>
  <c r="M149" i="545"/>
  <c r="M163" i="545" s="1"/>
  <c r="K529" i="545"/>
  <c r="W28" i="545"/>
  <c r="C520" i="545"/>
  <c r="Q525" i="545"/>
  <c r="K86" i="545"/>
  <c r="M29" i="545"/>
  <c r="M86" i="545" s="1"/>
  <c r="K525" i="545"/>
  <c r="K526" i="545"/>
  <c r="K257" i="545"/>
  <c r="M7" i="545"/>
  <c r="M28" i="545" s="1"/>
  <c r="M164" i="545" s="1"/>
  <c r="C530" i="545"/>
  <c r="E524" i="545" s="1"/>
  <c r="V137" i="545"/>
  <c r="W137" i="545" s="1"/>
  <c r="K148" i="545"/>
  <c r="V163" i="545"/>
  <c r="W163" i="545" s="1"/>
  <c r="G164" i="545"/>
  <c r="P164" i="545"/>
  <c r="X168" i="545" s="1"/>
  <c r="X173" i="545" s="1"/>
  <c r="K166" i="545"/>
  <c r="R166" i="545"/>
  <c r="M178" i="545"/>
  <c r="M199" i="545" s="1"/>
  <c r="B342" i="545"/>
  <c r="J335" i="545" a="1"/>
  <c r="J335" i="545" s="1"/>
  <c r="M342" i="545" s="1"/>
  <c r="R337" i="545"/>
  <c r="O335" i="545"/>
  <c r="M200" i="545"/>
  <c r="M257" i="545" s="1"/>
  <c r="R338" i="545"/>
  <c r="V292" i="545"/>
  <c r="W292" i="545" s="1"/>
  <c r="K334" i="545"/>
  <c r="K341" i="545"/>
  <c r="M341" i="545" s="1"/>
  <c r="M337" i="545"/>
  <c r="K370" i="545"/>
  <c r="M349" i="545"/>
  <c r="M370" i="545" s="1"/>
  <c r="K428" i="545"/>
  <c r="M371" i="545"/>
  <c r="M428" i="545" s="1"/>
  <c r="J28" i="545" a="1"/>
  <c r="J28" i="545" s="1"/>
  <c r="W29" i="545"/>
  <c r="J86" i="545" a="1"/>
  <c r="J86" i="545" s="1"/>
  <c r="W87" i="545"/>
  <c r="J121" i="545" a="1"/>
  <c r="J121" i="545" s="1"/>
  <c r="J137" i="545" a="1"/>
  <c r="J137" i="545" s="1"/>
  <c r="J199" i="545" a="1"/>
  <c r="J199" i="545" s="1"/>
  <c r="X338" i="545"/>
  <c r="P335" i="545"/>
  <c r="X339" i="545" s="1"/>
  <c r="K292" i="545"/>
  <c r="K319" i="545"/>
  <c r="M309" i="545"/>
  <c r="M319" i="545" s="1"/>
  <c r="K308" i="545"/>
  <c r="V319" i="545"/>
  <c r="W319" i="545" s="1"/>
  <c r="J507" i="545" a="1"/>
  <c r="J507" i="545" s="1"/>
  <c r="M514" i="545" s="1"/>
  <c r="B514" i="545"/>
  <c r="X509" i="545"/>
  <c r="O507" i="545"/>
  <c r="X510" i="545" s="1"/>
  <c r="R509" i="545"/>
  <c r="M320" i="545"/>
  <c r="M334" i="545" s="1"/>
  <c r="W349" i="545"/>
  <c r="W370" i="545" s="1"/>
  <c r="J370" i="545" a="1"/>
  <c r="J370" i="545" s="1"/>
  <c r="H428" i="545"/>
  <c r="H507" i="545" s="1"/>
  <c r="E514" i="545" s="1"/>
  <c r="N428" i="545"/>
  <c r="W371" i="545"/>
  <c r="K463" i="545"/>
  <c r="R510" i="545"/>
  <c r="M429" i="545"/>
  <c r="M463" i="545" s="1"/>
  <c r="K490" i="545"/>
  <c r="N490" i="545"/>
  <c r="K506" i="545"/>
  <c r="M491" i="545"/>
  <c r="M506" i="545" s="1"/>
  <c r="V506" i="545"/>
  <c r="K509" i="545"/>
  <c r="M479" i="545"/>
  <c r="K479" i="545"/>
  <c r="V490" i="545"/>
  <c r="W490" i="545" s="1"/>
  <c r="M316" i="544"/>
  <c r="M315" i="544"/>
  <c r="K316" i="544" a="1"/>
  <c r="K316" i="544" s="1"/>
  <c r="K315" i="544" a="1"/>
  <c r="K315" i="544" s="1"/>
  <c r="J316" i="544" a="1"/>
  <c r="J316" i="544" s="1"/>
  <c r="J315" i="544" a="1"/>
  <c r="J315" i="544" s="1"/>
  <c r="J286" i="544" a="1"/>
  <c r="J286" i="544" s="1"/>
  <c r="J285" i="544" a="1"/>
  <c r="J285" i="544" s="1"/>
  <c r="J284" i="544" a="1"/>
  <c r="J284" i="544" s="1"/>
  <c r="J283" i="544" a="1"/>
  <c r="J283" i="544" s="1"/>
  <c r="J282" i="544" a="1"/>
  <c r="J282" i="544" s="1"/>
  <c r="J281" i="544" a="1"/>
  <c r="J281" i="544" s="1"/>
  <c r="J280" i="544" a="1"/>
  <c r="J280" i="544" s="1"/>
  <c r="J279" i="544" a="1"/>
  <c r="J279" i="544" s="1"/>
  <c r="M286" i="544"/>
  <c r="K286" i="544" a="1"/>
  <c r="K286" i="544" s="1"/>
  <c r="J223" i="544" a="1"/>
  <c r="J223" i="544" s="1"/>
  <c r="J209" i="544" a="1"/>
  <c r="J209" i="544" s="1"/>
  <c r="M207" i="544"/>
  <c r="M206" i="544"/>
  <c r="M205" i="544"/>
  <c r="M204" i="544"/>
  <c r="M203" i="544"/>
  <c r="M202" i="544"/>
  <c r="K207" i="544" a="1"/>
  <c r="K207" i="544" s="1"/>
  <c r="K206" i="544" a="1"/>
  <c r="K206" i="544" s="1"/>
  <c r="K205" i="544" a="1"/>
  <c r="K205" i="544" s="1"/>
  <c r="K204" i="544" a="1"/>
  <c r="K204" i="544" s="1"/>
  <c r="K203" i="544" a="1"/>
  <c r="K203" i="544" s="1"/>
  <c r="K202" i="544" a="1"/>
  <c r="K202" i="544" s="1"/>
  <c r="K201" i="544" a="1"/>
  <c r="K201" i="544" s="1"/>
  <c r="M201" i="544" s="1"/>
  <c r="J208" i="544" a="1"/>
  <c r="J208" i="544" s="1"/>
  <c r="J207" i="544" a="1"/>
  <c r="J207" i="544" s="1"/>
  <c r="J206" i="544" a="1"/>
  <c r="J206" i="544" s="1"/>
  <c r="J205" i="544" a="1"/>
  <c r="J205" i="544" s="1"/>
  <c r="J204" i="544" a="1"/>
  <c r="J204" i="544" s="1"/>
  <c r="J203" i="544" a="1"/>
  <c r="J203" i="544" s="1"/>
  <c r="J202" i="544" a="1"/>
  <c r="J202" i="544" s="1"/>
  <c r="J201" i="544" a="1"/>
  <c r="J201" i="544" s="1"/>
  <c r="I199" i="544"/>
  <c r="I198" i="544"/>
  <c r="I191" i="544"/>
  <c r="I201" i="544"/>
  <c r="I207" i="544"/>
  <c r="I183" i="544"/>
  <c r="I295" i="544"/>
  <c r="I315" i="544"/>
  <c r="I316" i="544"/>
  <c r="I279" i="544"/>
  <c r="I286" i="544"/>
  <c r="I215" i="544"/>
  <c r="I213" i="544"/>
  <c r="I182" i="544"/>
  <c r="J145" i="544" a="1"/>
  <c r="J145" i="544" s="1"/>
  <c r="M145" i="544"/>
  <c r="M36" i="544"/>
  <c r="M117" i="544"/>
  <c r="M116" i="544"/>
  <c r="M115" i="544"/>
  <c r="J117" i="544" a="1"/>
  <c r="J117" i="544" s="1"/>
  <c r="J116" i="544" a="1"/>
  <c r="J116" i="544" s="1"/>
  <c r="J115" i="544" a="1"/>
  <c r="J115" i="544" s="1"/>
  <c r="J114" i="544" a="1"/>
  <c r="J114" i="544" s="1"/>
  <c r="J113" i="544" a="1"/>
  <c r="J113" i="544" s="1"/>
  <c r="J112" i="544" a="1"/>
  <c r="J112" i="544" s="1"/>
  <c r="J111" i="544" a="1"/>
  <c r="J111" i="544" s="1"/>
  <c r="J110" i="544" a="1"/>
  <c r="J110" i="544" s="1"/>
  <c r="J109" i="544" a="1"/>
  <c r="J109" i="544" s="1"/>
  <c r="J108" i="544" a="1"/>
  <c r="J108" i="544" s="1"/>
  <c r="J107" i="544" a="1"/>
  <c r="J107" i="544" s="1"/>
  <c r="J106" i="544" a="1"/>
  <c r="J106" i="544" s="1"/>
  <c r="J105" i="544" a="1"/>
  <c r="J105" i="544" s="1"/>
  <c r="J104" i="544" a="1"/>
  <c r="J104" i="544" s="1"/>
  <c r="J103" i="544" a="1"/>
  <c r="J103" i="544" s="1"/>
  <c r="J102" i="544" a="1"/>
  <c r="J102" i="544" s="1"/>
  <c r="J101" i="544" a="1"/>
  <c r="J101" i="544" s="1"/>
  <c r="J100" i="544" a="1"/>
  <c r="J100" i="544" s="1"/>
  <c r="J99" i="544" a="1"/>
  <c r="J99" i="544" s="1"/>
  <c r="J98" i="544" a="1"/>
  <c r="J98" i="544" s="1"/>
  <c r="J97" i="544" a="1"/>
  <c r="J97" i="544" s="1"/>
  <c r="J96" i="544" a="1"/>
  <c r="J96" i="544" s="1"/>
  <c r="J95" i="544" a="1"/>
  <c r="J95" i="544" s="1"/>
  <c r="J94" i="544" a="1"/>
  <c r="J94" i="544" s="1"/>
  <c r="J36" i="544" a="1"/>
  <c r="J36" i="544" s="1"/>
  <c r="I42" i="544"/>
  <c r="K36" i="544" a="1"/>
  <c r="K36" i="544" s="1"/>
  <c r="I145" i="544"/>
  <c r="I11" i="544"/>
  <c r="I117" i="544"/>
  <c r="I108" i="544"/>
  <c r="I20" i="544"/>
  <c r="I124" i="544"/>
  <c r="I36" i="544"/>
  <c r="I47" i="544"/>
  <c r="X344" i="545" l="1"/>
  <c r="Z338" i="545" s="1"/>
  <c r="W335" i="545"/>
  <c r="K335" i="545"/>
  <c r="L335" i="545" s="1"/>
  <c r="I342" i="545" s="1"/>
  <c r="N507" i="545"/>
  <c r="B516" i="545" s="1"/>
  <c r="C521" i="545" s="1"/>
  <c r="G521" i="545" s="1"/>
  <c r="E528" i="545"/>
  <c r="Z169" i="545"/>
  <c r="Z171" i="545"/>
  <c r="Z170" i="545"/>
  <c r="G519" i="545"/>
  <c r="E527" i="545"/>
  <c r="E529" i="545"/>
  <c r="E525" i="545"/>
  <c r="K164" i="545"/>
  <c r="E172" i="545" s="1"/>
  <c r="I172" i="545" s="1"/>
  <c r="M172" i="545" s="1"/>
  <c r="E526" i="545"/>
  <c r="E343" i="545"/>
  <c r="I343" i="545" s="1"/>
  <c r="M343" i="545" s="1"/>
  <c r="E516" i="545"/>
  <c r="M509" i="545"/>
  <c r="K513" i="545"/>
  <c r="M513" i="545" s="1"/>
  <c r="R516" i="545"/>
  <c r="T509" i="545" s="1" a="1"/>
  <c r="T509" i="545" s="1"/>
  <c r="X516" i="545"/>
  <c r="Z510" i="545" s="1"/>
  <c r="M507" i="545"/>
  <c r="M335" i="545"/>
  <c r="M166" i="545"/>
  <c r="K170" i="545"/>
  <c r="M170" i="545" s="1"/>
  <c r="J164" i="545" a="1"/>
  <c r="J164" i="545" s="1"/>
  <c r="M171" i="545" s="1"/>
  <c r="B171" i="545"/>
  <c r="C519" i="545" s="1"/>
  <c r="V164" i="545"/>
  <c r="I173" i="545" s="1"/>
  <c r="T510" i="545"/>
  <c r="Z342" i="545"/>
  <c r="Z339" i="545"/>
  <c r="V507" i="545"/>
  <c r="K507" i="545"/>
  <c r="R344" i="545"/>
  <c r="Z172" i="545"/>
  <c r="Z166" i="545" a="1"/>
  <c r="Z166" i="545" s="1"/>
  <c r="K524" i="545"/>
  <c r="R173" i="545"/>
  <c r="T166" i="545" s="1" a="1"/>
  <c r="T166" i="545" s="1"/>
  <c r="Q526" i="545"/>
  <c r="Z168" i="545"/>
  <c r="V335" i="545"/>
  <c r="I344" i="545" s="1"/>
  <c r="M344" i="545" s="1" a="1"/>
  <c r="M344" i="545" s="1"/>
  <c r="Z167" i="545"/>
  <c r="W164" i="545"/>
  <c r="G182" i="544"/>
  <c r="G215" i="544"/>
  <c r="Z340" i="545" l="1"/>
  <c r="E530" i="545"/>
  <c r="Z337" i="545" a="1"/>
  <c r="Z337" i="545" s="1"/>
  <c r="Z343" i="545"/>
  <c r="Z341" i="545"/>
  <c r="L164" i="545"/>
  <c r="I171" i="545" s="1"/>
  <c r="T343" i="545"/>
  <c r="T341" i="545"/>
  <c r="T340" i="545"/>
  <c r="T339" i="545"/>
  <c r="T342" i="545"/>
  <c r="E515" i="545"/>
  <c r="L507" i="545"/>
  <c r="I514" i="545" s="1"/>
  <c r="T338" i="545"/>
  <c r="Z515" i="545"/>
  <c r="Z512" i="545"/>
  <c r="Z513" i="545"/>
  <c r="Z511" i="545"/>
  <c r="Z514" i="545"/>
  <c r="Q530" i="545"/>
  <c r="K530" i="545"/>
  <c r="T172" i="545"/>
  <c r="T167" i="545"/>
  <c r="T168" i="545"/>
  <c r="T169" i="545"/>
  <c r="T170" i="545"/>
  <c r="T171" i="545"/>
  <c r="T337" i="545" a="1"/>
  <c r="T337" i="545" s="1"/>
  <c r="I516" i="545"/>
  <c r="M516" i="545" s="1" a="1"/>
  <c r="M516" i="545" s="1"/>
  <c r="W507" i="545"/>
  <c r="K521" i="545"/>
  <c r="O521" i="545" s="1" a="1"/>
  <c r="O521" i="545" s="1"/>
  <c r="M173" i="545" a="1"/>
  <c r="M173" i="545" s="1"/>
  <c r="O519" i="545" a="1"/>
  <c r="O519" i="545" s="1"/>
  <c r="Z509" i="545" a="1"/>
  <c r="Z509" i="545" s="1"/>
  <c r="T515" i="545"/>
  <c r="T511" i="545"/>
  <c r="T513" i="545"/>
  <c r="T512" i="545"/>
  <c r="T514" i="545"/>
  <c r="G316" i="544"/>
  <c r="G295" i="544"/>
  <c r="G279" i="544"/>
  <c r="G213" i="544"/>
  <c r="G223" i="544"/>
  <c r="G207" i="544"/>
  <c r="G198" i="544"/>
  <c r="G191" i="544"/>
  <c r="G183" i="544"/>
  <c r="G20" i="544"/>
  <c r="G145" i="544"/>
  <c r="S528" i="545" l="1"/>
  <c r="S527" i="545"/>
  <c r="S529" i="545"/>
  <c r="S524" i="545" a="1"/>
  <c r="S524" i="545" s="1"/>
  <c r="S525" i="545"/>
  <c r="M526" i="545"/>
  <c r="M529" i="545"/>
  <c r="M527" i="545"/>
  <c r="M525" i="545"/>
  <c r="M528" i="545"/>
  <c r="S526" i="545"/>
  <c r="I515" i="545"/>
  <c r="M515" i="545" s="1"/>
  <c r="G520" i="545"/>
  <c r="M524" i="545" a="1"/>
  <c r="M524" i="545" s="1"/>
  <c r="G11" i="544"/>
  <c r="G36" i="544"/>
  <c r="G42" i="544"/>
  <c r="G108" i="544"/>
  <c r="G117" i="544"/>
  <c r="G124" i="544"/>
  <c r="G47" i="544"/>
  <c r="S530" i="545" l="1"/>
  <c r="K520" i="545"/>
  <c r="O520" i="545" s="1"/>
  <c r="K519" i="545"/>
  <c r="J436" i="541" a="1"/>
  <c r="J436" i="541" s="1"/>
  <c r="M316" i="541"/>
  <c r="M315" i="541"/>
  <c r="K316" i="541" a="1"/>
  <c r="K316" i="541" s="1"/>
  <c r="K315" i="541" a="1"/>
  <c r="K315" i="541" s="1"/>
  <c r="J316" i="541" a="1"/>
  <c r="J316" i="541" s="1"/>
  <c r="J315" i="541" a="1"/>
  <c r="J315" i="541" s="1"/>
  <c r="M288" i="541"/>
  <c r="K288" i="541" a="1"/>
  <c r="K288" i="541" s="1"/>
  <c r="J288" i="541" a="1"/>
  <c r="J288" i="541" s="1"/>
  <c r="J287" i="541" a="1"/>
  <c r="J287" i="541" s="1"/>
  <c r="J286" i="541" a="1"/>
  <c r="J286" i="541" s="1"/>
  <c r="J285" i="541" a="1"/>
  <c r="J285" i="541" s="1"/>
  <c r="J284" i="541" a="1"/>
  <c r="J284" i="541" s="1"/>
  <c r="J283" i="541" a="1"/>
  <c r="J283" i="541" s="1"/>
  <c r="J282" i="541" a="1"/>
  <c r="J282" i="541" s="1"/>
  <c r="J281" i="541" a="1"/>
  <c r="J281" i="541" s="1"/>
  <c r="J280" i="541" a="1"/>
  <c r="J280" i="541" s="1"/>
  <c r="J279" i="541" a="1"/>
  <c r="J279" i="541" s="1"/>
  <c r="J278" i="541" a="1"/>
  <c r="J278" i="541" s="1"/>
  <c r="J277" i="541" a="1"/>
  <c r="J277" i="541" s="1"/>
  <c r="J276" i="541" a="1"/>
  <c r="J276" i="541" s="1"/>
  <c r="J275" i="541" a="1"/>
  <c r="J275" i="541" s="1"/>
  <c r="J274" i="541" a="1"/>
  <c r="J274" i="541" s="1"/>
  <c r="J273" i="541" a="1"/>
  <c r="J273" i="541" s="1"/>
  <c r="J272" i="541" a="1"/>
  <c r="J272" i="541" s="1"/>
  <c r="J271" i="541" a="1"/>
  <c r="J271" i="541" s="1"/>
  <c r="J270" i="541" a="1"/>
  <c r="J270" i="541" s="1"/>
  <c r="J269" i="541" a="1"/>
  <c r="J269" i="541" s="1"/>
  <c r="J268" i="541" a="1"/>
  <c r="J268" i="541" s="1"/>
  <c r="J267" i="541" a="1"/>
  <c r="J267" i="541" s="1"/>
  <c r="J266" i="541" a="1"/>
  <c r="J266" i="541" s="1"/>
  <c r="J265" i="541" a="1"/>
  <c r="J265" i="541" s="1"/>
  <c r="I316" i="541" l="1"/>
  <c r="I187" i="541"/>
  <c r="I295" i="541"/>
  <c r="I307" i="541"/>
  <c r="I213" i="541"/>
  <c r="I209" i="541"/>
  <c r="I191" i="541"/>
  <c r="I288" i="541"/>
  <c r="I182" i="541"/>
  <c r="I240" i="541"/>
  <c r="I218" i="541"/>
  <c r="I217" i="541"/>
  <c r="M117" i="541"/>
  <c r="M116" i="541"/>
  <c r="M115" i="541"/>
  <c r="J117" i="541" a="1"/>
  <c r="J117" i="541" s="1"/>
  <c r="J116" i="541" a="1"/>
  <c r="J116" i="541" s="1"/>
  <c r="J115" i="541" a="1"/>
  <c r="J115" i="541" s="1"/>
  <c r="J114" i="541" a="1"/>
  <c r="J114" i="541" s="1"/>
  <c r="J113" i="541" a="1"/>
  <c r="J113" i="541" s="1"/>
  <c r="J112" i="541" a="1"/>
  <c r="J112" i="541" s="1"/>
  <c r="J111" i="541" a="1"/>
  <c r="J111" i="541" s="1"/>
  <c r="J110" i="541" a="1"/>
  <c r="J110" i="541" s="1"/>
  <c r="J109" i="541" a="1"/>
  <c r="J109" i="541" s="1"/>
  <c r="J108" i="541" a="1"/>
  <c r="J108" i="541" s="1"/>
  <c r="J107" i="541" a="1"/>
  <c r="J107" i="541" s="1"/>
  <c r="J106" i="541" a="1"/>
  <c r="J106" i="541" s="1"/>
  <c r="J105" i="541" a="1"/>
  <c r="J105" i="541" s="1"/>
  <c r="J104" i="541" a="1"/>
  <c r="J104" i="541" s="1"/>
  <c r="J103" i="541" a="1"/>
  <c r="J103" i="541" s="1"/>
  <c r="J102" i="541" a="1"/>
  <c r="J102" i="541" s="1"/>
  <c r="J101" i="541" a="1"/>
  <c r="J101" i="541" s="1"/>
  <c r="J100" i="541" a="1"/>
  <c r="J100" i="541" s="1"/>
  <c r="J99" i="541" a="1"/>
  <c r="J99" i="541" s="1"/>
  <c r="J98" i="541" a="1"/>
  <c r="J98" i="541" s="1"/>
  <c r="J97" i="541" a="1"/>
  <c r="J97" i="541" s="1"/>
  <c r="J96" i="541" a="1"/>
  <c r="J96" i="541" s="1"/>
  <c r="J95" i="541" a="1"/>
  <c r="J95" i="541" s="1"/>
  <c r="J94" i="541" a="1"/>
  <c r="J94" i="541" s="1"/>
  <c r="I46" i="541"/>
  <c r="I69" i="541"/>
  <c r="I10" i="541"/>
  <c r="I20" i="541"/>
  <c r="I21" i="541"/>
  <c r="I136" i="541" l="1"/>
  <c r="I117" i="541"/>
  <c r="I115" i="541"/>
  <c r="I38" i="541"/>
  <c r="I16" i="541"/>
  <c r="G288" i="541" l="1"/>
  <c r="G151" i="541"/>
  <c r="G136" i="541"/>
  <c r="G115" i="541"/>
  <c r="G117" i="541"/>
  <c r="G38" i="541"/>
  <c r="G46" i="541"/>
  <c r="G20" i="541"/>
  <c r="G21" i="541"/>
  <c r="G16" i="541"/>
  <c r="G10" i="541"/>
  <c r="G190" i="541"/>
  <c r="G192" i="541"/>
  <c r="G307" i="541"/>
  <c r="G240" i="541"/>
  <c r="G209" i="541"/>
  <c r="G213" i="541"/>
  <c r="G218" i="541"/>
  <c r="G217" i="541"/>
  <c r="G191" i="541"/>
  <c r="G187" i="541"/>
  <c r="G182" i="541"/>
  <c r="I434" i="541" l="1"/>
  <c r="G434" i="541"/>
  <c r="G436" i="541"/>
  <c r="I436" i="541"/>
  <c r="P536" i="544"/>
  <c r="O536" i="544"/>
  <c r="N536" i="544"/>
  <c r="M536" i="544"/>
  <c r="L536" i="544"/>
  <c r="K536" i="544"/>
  <c r="I536" i="544"/>
  <c r="H536" i="544"/>
  <c r="G536" i="544"/>
  <c r="F536" i="544"/>
  <c r="E536" i="544"/>
  <c r="G517" i="544"/>
  <c r="N517" i="544" s="1"/>
  <c r="X515" i="544"/>
  <c r="X514" i="544"/>
  <c r="X513" i="544"/>
  <c r="G513" i="544"/>
  <c r="C513" i="544"/>
  <c r="X512" i="544"/>
  <c r="I512" i="544"/>
  <c r="E512" i="544"/>
  <c r="K512" i="544" s="1"/>
  <c r="M512" i="544" s="1"/>
  <c r="X511" i="544"/>
  <c r="I511" i="544"/>
  <c r="E511" i="544"/>
  <c r="K511" i="544" s="1"/>
  <c r="M511" i="544" s="1"/>
  <c r="I510" i="544"/>
  <c r="E510" i="544"/>
  <c r="K510" i="544" s="1"/>
  <c r="M510" i="544" s="1"/>
  <c r="I509" i="544"/>
  <c r="I513" i="544" s="1"/>
  <c r="E509" i="544"/>
  <c r="E513" i="544" s="1"/>
  <c r="AA506" i="544"/>
  <c r="Z506" i="544"/>
  <c r="Y506" i="544"/>
  <c r="X506" i="544"/>
  <c r="U506" i="544"/>
  <c r="T506" i="544"/>
  <c r="S506" i="544"/>
  <c r="R506" i="544"/>
  <c r="Q506" i="544"/>
  <c r="P506" i="544"/>
  <c r="R514" i="544" s="1"/>
  <c r="O506" i="544"/>
  <c r="I506" i="544"/>
  <c r="G506" i="544"/>
  <c r="J506" i="544" s="1" a="1"/>
  <c r="J506" i="544" s="1"/>
  <c r="H505" i="544"/>
  <c r="H504" i="544"/>
  <c r="H503" i="544"/>
  <c r="D502" i="544"/>
  <c r="H502" i="544" s="1"/>
  <c r="V501" i="544"/>
  <c r="W501" i="544" s="1"/>
  <c r="N501" i="544"/>
  <c r="K501" i="544" a="1"/>
  <c r="K501" i="544" s="1"/>
  <c r="M501" i="544" s="1"/>
  <c r="J501" i="544" a="1"/>
  <c r="J501" i="544" s="1"/>
  <c r="H501" i="544"/>
  <c r="H500" i="544"/>
  <c r="H499" i="544"/>
  <c r="V498" i="544"/>
  <c r="W498" i="544" s="1"/>
  <c r="N498" i="544"/>
  <c r="K498" i="544" a="1"/>
  <c r="K498" i="544" s="1"/>
  <c r="M498" i="544" s="1"/>
  <c r="J498" i="544" a="1"/>
  <c r="J498" i="544" s="1"/>
  <c r="H498" i="544"/>
  <c r="V497" i="544"/>
  <c r="W497" i="544" s="1"/>
  <c r="N497" i="544"/>
  <c r="K497" i="544"/>
  <c r="M497" i="544" s="1"/>
  <c r="K497" i="544" a="1"/>
  <c r="J497" i="544"/>
  <c r="J497" i="544" a="1"/>
  <c r="H497" i="544"/>
  <c r="H496" i="544"/>
  <c r="H495" i="544"/>
  <c r="V494" i="544"/>
  <c r="W494" i="544" s="1"/>
  <c r="N494" i="544"/>
  <c r="K494" i="544" a="1"/>
  <c r="K494" i="544" s="1"/>
  <c r="M494" i="544" s="1"/>
  <c r="J494" i="544" a="1"/>
  <c r="J494" i="544" s="1"/>
  <c r="H494" i="544"/>
  <c r="W493" i="544"/>
  <c r="V493" i="544"/>
  <c r="N493" i="544"/>
  <c r="K493" i="544" a="1"/>
  <c r="K493" i="544" s="1"/>
  <c r="M493" i="544" s="1"/>
  <c r="J493" i="544" a="1"/>
  <c r="J493" i="544" s="1"/>
  <c r="H493" i="544"/>
  <c r="V492" i="544"/>
  <c r="W492" i="544" s="1"/>
  <c r="N492" i="544"/>
  <c r="K492" i="544" a="1"/>
  <c r="K492" i="544" s="1"/>
  <c r="M492" i="544" s="1"/>
  <c r="J492" i="544" a="1"/>
  <c r="J492" i="544" s="1"/>
  <c r="H492" i="544"/>
  <c r="V491" i="544"/>
  <c r="W491" i="544" s="1"/>
  <c r="N491" i="544"/>
  <c r="N506" i="544" s="1"/>
  <c r="K491" i="544"/>
  <c r="K491" i="544" a="1"/>
  <c r="J491" i="544"/>
  <c r="J491" i="544" a="1"/>
  <c r="H491" i="544"/>
  <c r="H506" i="544" s="1"/>
  <c r="AA490" i="544"/>
  <c r="Z490" i="544"/>
  <c r="Y490" i="544"/>
  <c r="X490" i="544"/>
  <c r="U490" i="544"/>
  <c r="T490" i="544"/>
  <c r="S490" i="544"/>
  <c r="Q490" i="544"/>
  <c r="P490" i="544"/>
  <c r="O490" i="544"/>
  <c r="R513" i="544" s="1"/>
  <c r="I490" i="544"/>
  <c r="G490" i="544"/>
  <c r="J490" i="544" s="1" a="1"/>
  <c r="J490" i="544" s="1"/>
  <c r="V489" i="544"/>
  <c r="W489" i="544" s="1"/>
  <c r="N489" i="544"/>
  <c r="K489" i="544" a="1"/>
  <c r="K489" i="544" s="1"/>
  <c r="M489" i="544" s="1"/>
  <c r="J489" i="544" a="1"/>
  <c r="J489" i="544" s="1"/>
  <c r="H489" i="544"/>
  <c r="H487" i="544"/>
  <c r="H486" i="544"/>
  <c r="H485" i="544"/>
  <c r="V484" i="544"/>
  <c r="W484" i="544" s="1"/>
  <c r="N484" i="544"/>
  <c r="K484" i="544" a="1"/>
  <c r="K484" i="544" s="1"/>
  <c r="M484" i="544" s="1"/>
  <c r="J484" i="544" a="1"/>
  <c r="J484" i="544" s="1"/>
  <c r="H484" i="544"/>
  <c r="V483" i="544"/>
  <c r="W483" i="544" s="1"/>
  <c r="N483" i="544"/>
  <c r="K483" i="544" a="1"/>
  <c r="K483" i="544" s="1"/>
  <c r="M483" i="544" s="1"/>
  <c r="J483" i="544" a="1"/>
  <c r="J483" i="544" s="1"/>
  <c r="H483" i="544"/>
  <c r="V482" i="544"/>
  <c r="W482" i="544" s="1"/>
  <c r="N482" i="544"/>
  <c r="K482" i="544" a="1"/>
  <c r="K482" i="544" s="1"/>
  <c r="M482" i="544" s="1"/>
  <c r="J482" i="544" a="1"/>
  <c r="J482" i="544" s="1"/>
  <c r="H482" i="544"/>
  <c r="V481" i="544"/>
  <c r="W481" i="544" s="1"/>
  <c r="N481" i="544"/>
  <c r="K481" i="544"/>
  <c r="M481" i="544" s="1"/>
  <c r="K481" i="544" a="1"/>
  <c r="J481" i="544"/>
  <c r="J481" i="544" a="1"/>
  <c r="H481" i="544"/>
  <c r="V480" i="544"/>
  <c r="W480" i="544" s="1"/>
  <c r="N480" i="544"/>
  <c r="N490" i="544" s="1"/>
  <c r="K480" i="544" a="1"/>
  <c r="K480" i="544" s="1"/>
  <c r="J480" i="544" a="1"/>
  <c r="J480" i="544" s="1"/>
  <c r="H480" i="544"/>
  <c r="AA479" i="544"/>
  <c r="Z479" i="544"/>
  <c r="Y479" i="544"/>
  <c r="X479" i="544"/>
  <c r="U479" i="544"/>
  <c r="T479" i="544"/>
  <c r="S479" i="544"/>
  <c r="Q479" i="544"/>
  <c r="P479" i="544"/>
  <c r="O479" i="544"/>
  <c r="I479" i="544"/>
  <c r="G479" i="544"/>
  <c r="J479" i="544" s="1" a="1"/>
  <c r="J479" i="544" s="1"/>
  <c r="V478" i="544"/>
  <c r="W478" i="544" s="1"/>
  <c r="N478" i="544"/>
  <c r="K478" i="544"/>
  <c r="M478" i="544" s="1"/>
  <c r="K478" i="544" a="1"/>
  <c r="J478" i="544"/>
  <c r="J478" i="544" a="1"/>
  <c r="H478" i="544"/>
  <c r="V477" i="544"/>
  <c r="W477" i="544" s="1"/>
  <c r="N477" i="544"/>
  <c r="K477" i="544" a="1"/>
  <c r="K477" i="544" s="1"/>
  <c r="M477" i="544" s="1"/>
  <c r="J477" i="544" a="1"/>
  <c r="J477" i="544" s="1"/>
  <c r="H477" i="544"/>
  <c r="V476" i="544"/>
  <c r="W476" i="544" s="1"/>
  <c r="N476" i="544"/>
  <c r="K476" i="544" a="1"/>
  <c r="K476" i="544" s="1"/>
  <c r="M476" i="544" s="1"/>
  <c r="J476" i="544" a="1"/>
  <c r="J476" i="544" s="1"/>
  <c r="H476" i="544"/>
  <c r="V475" i="544"/>
  <c r="W475" i="544" s="1"/>
  <c r="N475" i="544"/>
  <c r="K475" i="544" a="1"/>
  <c r="K475" i="544" s="1"/>
  <c r="M475" i="544" s="1"/>
  <c r="J475" i="544" a="1"/>
  <c r="J475" i="544" s="1"/>
  <c r="H475" i="544"/>
  <c r="V474" i="544"/>
  <c r="W474" i="544" s="1"/>
  <c r="N474" i="544"/>
  <c r="K474" i="544"/>
  <c r="M474" i="544" s="1"/>
  <c r="K474" i="544" a="1"/>
  <c r="J474" i="544"/>
  <c r="J474" i="544" a="1"/>
  <c r="H474" i="544"/>
  <c r="V473" i="544"/>
  <c r="W473" i="544" s="1"/>
  <c r="N473" i="544"/>
  <c r="K473" i="544" a="1"/>
  <c r="K473" i="544" s="1"/>
  <c r="M473" i="544" s="1"/>
  <c r="J473" i="544" a="1"/>
  <c r="J473" i="544" s="1"/>
  <c r="H473" i="544"/>
  <c r="V472" i="544"/>
  <c r="W472" i="544" s="1"/>
  <c r="N472" i="544"/>
  <c r="K472" i="544"/>
  <c r="M472" i="544" s="1"/>
  <c r="K472" i="544" a="1"/>
  <c r="J472" i="544"/>
  <c r="J472" i="544" a="1"/>
  <c r="H472" i="544"/>
  <c r="V471" i="544"/>
  <c r="W471" i="544" s="1"/>
  <c r="N471" i="544"/>
  <c r="K471" i="544" a="1"/>
  <c r="K471" i="544" s="1"/>
  <c r="M471" i="544" s="1"/>
  <c r="J471" i="544" a="1"/>
  <c r="J471" i="544" s="1"/>
  <c r="H471" i="544"/>
  <c r="V470" i="544"/>
  <c r="W470" i="544" s="1"/>
  <c r="N470" i="544"/>
  <c r="K470" i="544"/>
  <c r="M470" i="544" s="1"/>
  <c r="K470" i="544" a="1"/>
  <c r="J470" i="544"/>
  <c r="J470" i="544" a="1"/>
  <c r="H470" i="544"/>
  <c r="V469" i="544"/>
  <c r="W469" i="544" s="1"/>
  <c r="N469" i="544"/>
  <c r="K469" i="544" a="1"/>
  <c r="K469" i="544" s="1"/>
  <c r="M469" i="544" s="1"/>
  <c r="J469" i="544" a="1"/>
  <c r="J469" i="544" s="1"/>
  <c r="H469" i="544"/>
  <c r="V468" i="544"/>
  <c r="W468" i="544" s="1"/>
  <c r="N468" i="544"/>
  <c r="K468" i="544"/>
  <c r="M468" i="544" s="1"/>
  <c r="K468" i="544" a="1"/>
  <c r="J468" i="544"/>
  <c r="J468" i="544" a="1"/>
  <c r="H468" i="544"/>
  <c r="V467" i="544"/>
  <c r="W467" i="544" s="1"/>
  <c r="N467" i="544"/>
  <c r="K467" i="544" a="1"/>
  <c r="K467" i="544" s="1"/>
  <c r="M467" i="544" s="1"/>
  <c r="J467" i="544" a="1"/>
  <c r="J467" i="544" s="1"/>
  <c r="H467" i="544"/>
  <c r="V466" i="544"/>
  <c r="W466" i="544" s="1"/>
  <c r="N466" i="544"/>
  <c r="K466" i="544"/>
  <c r="M466" i="544" s="1"/>
  <c r="K466" i="544" a="1"/>
  <c r="J466" i="544"/>
  <c r="J466" i="544" a="1"/>
  <c r="H466" i="544"/>
  <c r="V465" i="544"/>
  <c r="W465" i="544" s="1"/>
  <c r="N465" i="544"/>
  <c r="K465" i="544" a="1"/>
  <c r="K465" i="544" s="1"/>
  <c r="M465" i="544" s="1"/>
  <c r="J465" i="544" a="1"/>
  <c r="J465" i="544" s="1"/>
  <c r="H465" i="544"/>
  <c r="V464" i="544"/>
  <c r="W464" i="544" s="1"/>
  <c r="N464" i="544"/>
  <c r="K464" i="544" a="1"/>
  <c r="K464" i="544" s="1"/>
  <c r="J464" i="544" a="1"/>
  <c r="J464" i="544" s="1"/>
  <c r="H464" i="544"/>
  <c r="H479" i="544" s="1"/>
  <c r="AA463" i="544"/>
  <c r="Z463" i="544"/>
  <c r="Y463" i="544"/>
  <c r="X463" i="544"/>
  <c r="U463" i="544"/>
  <c r="T463" i="544"/>
  <c r="S463" i="544"/>
  <c r="R463" i="544"/>
  <c r="Q463" i="544"/>
  <c r="P463" i="544"/>
  <c r="O463" i="544"/>
  <c r="I463" i="544"/>
  <c r="G463" i="544"/>
  <c r="V462" i="544"/>
  <c r="W462" i="544" s="1"/>
  <c r="N462" i="544"/>
  <c r="K462" i="544" a="1"/>
  <c r="K462" i="544" s="1"/>
  <c r="M462" i="544" s="1"/>
  <c r="J462" i="544" a="1"/>
  <c r="J462" i="544" s="1"/>
  <c r="H462" i="544"/>
  <c r="V461" i="544"/>
  <c r="W461" i="544" s="1"/>
  <c r="N461" i="544"/>
  <c r="K461" i="544"/>
  <c r="M461" i="544" s="1"/>
  <c r="K461" i="544" a="1"/>
  <c r="J461" i="544"/>
  <c r="J461" i="544" a="1"/>
  <c r="H461" i="544"/>
  <c r="V460" i="544"/>
  <c r="W460" i="544" s="1"/>
  <c r="N460" i="544"/>
  <c r="K460" i="544" a="1"/>
  <c r="K460" i="544" s="1"/>
  <c r="M460" i="544" s="1"/>
  <c r="J460" i="544" a="1"/>
  <c r="J460" i="544" s="1"/>
  <c r="H460" i="544"/>
  <c r="K459" i="544" a="1"/>
  <c r="K459" i="544" s="1"/>
  <c r="M459" i="544" s="1"/>
  <c r="H459" i="544"/>
  <c r="K458" i="544" a="1"/>
  <c r="K458" i="544" s="1"/>
  <c r="M458" i="544" s="1"/>
  <c r="H458" i="544"/>
  <c r="K457" i="544" a="1"/>
  <c r="K457" i="544" s="1"/>
  <c r="M457" i="544" s="1"/>
  <c r="H457" i="544"/>
  <c r="V456" i="544"/>
  <c r="W456" i="544" s="1"/>
  <c r="N456" i="544"/>
  <c r="K456" i="544" a="1"/>
  <c r="K456" i="544" s="1"/>
  <c r="M456" i="544" s="1"/>
  <c r="J456" i="544" a="1"/>
  <c r="J456" i="544" s="1"/>
  <c r="H456" i="544"/>
  <c r="V455" i="544"/>
  <c r="W455" i="544" s="1"/>
  <c r="N455" i="544"/>
  <c r="K455" i="544" a="1"/>
  <c r="K455" i="544" s="1"/>
  <c r="M455" i="544" s="1"/>
  <c r="J455" i="544" a="1"/>
  <c r="J455" i="544" s="1"/>
  <c r="H455" i="544"/>
  <c r="N454" i="544"/>
  <c r="K454" i="544"/>
  <c r="M454" i="544" s="1"/>
  <c r="K454" i="544" a="1"/>
  <c r="H454" i="544"/>
  <c r="N453" i="544"/>
  <c r="K453" i="544" a="1"/>
  <c r="K453" i="544" s="1"/>
  <c r="M453" i="544" s="1"/>
  <c r="H453" i="544"/>
  <c r="N452" i="544"/>
  <c r="K452" i="544" a="1"/>
  <c r="K452" i="544" s="1"/>
  <c r="M452" i="544" s="1"/>
  <c r="H452" i="544"/>
  <c r="N451" i="544"/>
  <c r="K451" i="544" a="1"/>
  <c r="K451" i="544" s="1"/>
  <c r="M451" i="544" s="1"/>
  <c r="H451" i="544"/>
  <c r="N450" i="544"/>
  <c r="K450" i="544"/>
  <c r="M450" i="544" s="1"/>
  <c r="K450" i="544" a="1"/>
  <c r="H450" i="544"/>
  <c r="N449" i="544"/>
  <c r="K449" i="544" a="1"/>
  <c r="K449" i="544" s="1"/>
  <c r="M449" i="544" s="1"/>
  <c r="H449" i="544"/>
  <c r="V448" i="544"/>
  <c r="W448" i="544" s="1"/>
  <c r="N448" i="544"/>
  <c r="K448" i="544" a="1"/>
  <c r="K448" i="544" s="1"/>
  <c r="M448" i="544" s="1"/>
  <c r="J448" i="544" a="1"/>
  <c r="J448" i="544" s="1"/>
  <c r="H448" i="544"/>
  <c r="V447" i="544"/>
  <c r="W447" i="544" s="1"/>
  <c r="N447" i="544"/>
  <c r="K447" i="544" a="1"/>
  <c r="K447" i="544" s="1"/>
  <c r="M447" i="544" s="1"/>
  <c r="J447" i="544" a="1"/>
  <c r="J447" i="544" s="1"/>
  <c r="H447" i="544"/>
  <c r="V446" i="544"/>
  <c r="W446" i="544" s="1"/>
  <c r="N446" i="544"/>
  <c r="K446" i="544"/>
  <c r="M446" i="544" s="1"/>
  <c r="K446" i="544" a="1"/>
  <c r="J446" i="544"/>
  <c r="J446" i="544" a="1"/>
  <c r="H446" i="544"/>
  <c r="V445" i="544"/>
  <c r="W445" i="544" s="1"/>
  <c r="N445" i="544"/>
  <c r="K445" i="544" a="1"/>
  <c r="K445" i="544" s="1"/>
  <c r="M445" i="544" s="1"/>
  <c r="J445" i="544" a="1"/>
  <c r="J445" i="544" s="1"/>
  <c r="H445" i="544"/>
  <c r="V444" i="544"/>
  <c r="W444" i="544" s="1"/>
  <c r="N444" i="544"/>
  <c r="K444" i="544" a="1"/>
  <c r="K444" i="544" s="1"/>
  <c r="M444" i="544" s="1"/>
  <c r="J444" i="544" a="1"/>
  <c r="J444" i="544" s="1"/>
  <c r="H444" i="544"/>
  <c r="V443" i="544"/>
  <c r="W443" i="544" s="1"/>
  <c r="N443" i="544"/>
  <c r="K443" i="544" a="1"/>
  <c r="K443" i="544" s="1"/>
  <c r="M443" i="544" s="1"/>
  <c r="J443" i="544" a="1"/>
  <c r="J443" i="544" s="1"/>
  <c r="H443" i="544"/>
  <c r="V442" i="544"/>
  <c r="W442" i="544" s="1"/>
  <c r="N442" i="544"/>
  <c r="K442" i="544"/>
  <c r="M442" i="544" s="1"/>
  <c r="K442" i="544" a="1"/>
  <c r="J442" i="544"/>
  <c r="J442" i="544" a="1"/>
  <c r="H442" i="544"/>
  <c r="V441" i="544"/>
  <c r="W441" i="544" s="1"/>
  <c r="N441" i="544"/>
  <c r="K441" i="544" a="1"/>
  <c r="K441" i="544" s="1"/>
  <c r="M441" i="544" s="1"/>
  <c r="J441" i="544" a="1"/>
  <c r="J441" i="544" s="1"/>
  <c r="H441" i="544"/>
  <c r="W440" i="544"/>
  <c r="V440" i="544"/>
  <c r="N440" i="544"/>
  <c r="K440" i="544" a="1"/>
  <c r="K440" i="544" s="1"/>
  <c r="M440" i="544" s="1"/>
  <c r="J440" i="544" a="1"/>
  <c r="J440" i="544" s="1"/>
  <c r="H440" i="544"/>
  <c r="V439" i="544"/>
  <c r="W439" i="544" s="1"/>
  <c r="N439" i="544"/>
  <c r="K439" i="544" a="1"/>
  <c r="K439" i="544" s="1"/>
  <c r="M439" i="544" s="1"/>
  <c r="J439" i="544" a="1"/>
  <c r="J439" i="544" s="1"/>
  <c r="H439" i="544"/>
  <c r="V438" i="544"/>
  <c r="W438" i="544" s="1"/>
  <c r="N438" i="544"/>
  <c r="K438" i="544"/>
  <c r="M438" i="544" s="1"/>
  <c r="K438" i="544" a="1"/>
  <c r="J438" i="544"/>
  <c r="J438" i="544" a="1"/>
  <c r="H438" i="544"/>
  <c r="V437" i="544"/>
  <c r="W437" i="544" s="1"/>
  <c r="N437" i="544"/>
  <c r="K437" i="544" a="1"/>
  <c r="K437" i="544" s="1"/>
  <c r="M437" i="544" s="1"/>
  <c r="J437" i="544" a="1"/>
  <c r="J437" i="544" s="1"/>
  <c r="H437" i="544"/>
  <c r="N436" i="544"/>
  <c r="K436" i="544" a="1"/>
  <c r="K436" i="544" s="1"/>
  <c r="M436" i="544" s="1"/>
  <c r="H436" i="544"/>
  <c r="V435" i="544"/>
  <c r="W435" i="544" s="1"/>
  <c r="N435" i="544"/>
  <c r="K435" i="544" a="1"/>
  <c r="K435" i="544" s="1"/>
  <c r="M435" i="544" s="1"/>
  <c r="J435" i="544" a="1"/>
  <c r="J435" i="544" s="1"/>
  <c r="H435" i="544"/>
  <c r="V434" i="544"/>
  <c r="W434" i="544" s="1"/>
  <c r="N434" i="544"/>
  <c r="K434" i="544"/>
  <c r="M434" i="544" s="1"/>
  <c r="K434" i="544" a="1"/>
  <c r="J434" i="544"/>
  <c r="J434" i="544" a="1"/>
  <c r="H434" i="544"/>
  <c r="V433" i="544"/>
  <c r="W433" i="544" s="1"/>
  <c r="N433" i="544"/>
  <c r="K433" i="544" a="1"/>
  <c r="K433" i="544" s="1"/>
  <c r="M433" i="544" s="1"/>
  <c r="J433" i="544" a="1"/>
  <c r="J433" i="544" s="1"/>
  <c r="H433" i="544"/>
  <c r="V432" i="544"/>
  <c r="W432" i="544" s="1"/>
  <c r="N432" i="544"/>
  <c r="K432" i="544" a="1"/>
  <c r="K432" i="544" s="1"/>
  <c r="M432" i="544" s="1"/>
  <c r="J432" i="544" a="1"/>
  <c r="J432" i="544" s="1"/>
  <c r="H432" i="544"/>
  <c r="V431" i="544"/>
  <c r="W431" i="544" s="1"/>
  <c r="N431" i="544"/>
  <c r="K431" i="544" a="1"/>
  <c r="K431" i="544" s="1"/>
  <c r="M431" i="544" s="1"/>
  <c r="J431" i="544" a="1"/>
  <c r="J431" i="544" s="1"/>
  <c r="H431" i="544"/>
  <c r="V430" i="544"/>
  <c r="W430" i="544" s="1"/>
  <c r="N430" i="544"/>
  <c r="K430" i="544"/>
  <c r="M430" i="544" s="1"/>
  <c r="K430" i="544" a="1"/>
  <c r="J430" i="544"/>
  <c r="J430" i="544" a="1"/>
  <c r="H430" i="544"/>
  <c r="V429" i="544"/>
  <c r="N429" i="544"/>
  <c r="N463" i="544" s="1"/>
  <c r="K429" i="544" a="1"/>
  <c r="K429" i="544" s="1"/>
  <c r="J429" i="544" a="1"/>
  <c r="J429" i="544" s="1"/>
  <c r="H429" i="544"/>
  <c r="AA428" i="544"/>
  <c r="Z428" i="544"/>
  <c r="Y428" i="544"/>
  <c r="X428" i="544"/>
  <c r="U428" i="544"/>
  <c r="T428" i="544"/>
  <c r="S428" i="544"/>
  <c r="R428" i="544"/>
  <c r="Q428" i="544"/>
  <c r="P428" i="544"/>
  <c r="O428" i="544"/>
  <c r="R510" i="544" s="1"/>
  <c r="I428" i="544"/>
  <c r="G428" i="544"/>
  <c r="J428" i="544" s="1" a="1"/>
  <c r="J428" i="544" s="1"/>
  <c r="K427" i="544" a="1"/>
  <c r="K427" i="544" s="1"/>
  <c r="M427" i="544" s="1"/>
  <c r="H427" i="544"/>
  <c r="K426" i="544"/>
  <c r="M426" i="544" s="1"/>
  <c r="K426" i="544" a="1"/>
  <c r="H426" i="544"/>
  <c r="K425" i="544" a="1"/>
  <c r="K425" i="544" s="1"/>
  <c r="M425" i="544" s="1"/>
  <c r="H425" i="544"/>
  <c r="K424" i="544"/>
  <c r="M424" i="544" s="1"/>
  <c r="K424" i="544" a="1"/>
  <c r="H424" i="544"/>
  <c r="K423" i="544" a="1"/>
  <c r="K423" i="544" s="1"/>
  <c r="M423" i="544" s="1"/>
  <c r="H423" i="544"/>
  <c r="K422" i="544"/>
  <c r="M422" i="544" s="1"/>
  <c r="K422" i="544" a="1"/>
  <c r="H422" i="544"/>
  <c r="K421" i="544" a="1"/>
  <c r="K421" i="544" s="1"/>
  <c r="M421" i="544" s="1"/>
  <c r="H421" i="544"/>
  <c r="K420" i="544"/>
  <c r="M420" i="544" s="1"/>
  <c r="K420" i="544" a="1"/>
  <c r="H420" i="544"/>
  <c r="K419" i="544" a="1"/>
  <c r="K419" i="544" s="1"/>
  <c r="M419" i="544" s="1"/>
  <c r="H419" i="544"/>
  <c r="K418" i="544"/>
  <c r="M418" i="544" s="1"/>
  <c r="K418" i="544" a="1"/>
  <c r="H418" i="544"/>
  <c r="V417" i="544"/>
  <c r="W417" i="544" s="1"/>
  <c r="N417" i="544"/>
  <c r="K417" i="544" a="1"/>
  <c r="K417" i="544" s="1"/>
  <c r="M417" i="544" s="1"/>
  <c r="J417" i="544" a="1"/>
  <c r="J417" i="544" s="1"/>
  <c r="H417" i="544"/>
  <c r="V416" i="544"/>
  <c r="W416" i="544" s="1"/>
  <c r="N416" i="544"/>
  <c r="K416" i="544" a="1"/>
  <c r="K416" i="544" s="1"/>
  <c r="M416" i="544" s="1"/>
  <c r="J416" i="544" a="1"/>
  <c r="J416" i="544" s="1"/>
  <c r="H416" i="544"/>
  <c r="V415" i="544"/>
  <c r="W415" i="544" s="1"/>
  <c r="N415" i="544"/>
  <c r="K415" i="544" a="1"/>
  <c r="K415" i="544" s="1"/>
  <c r="M415" i="544" s="1"/>
  <c r="J415" i="544" a="1"/>
  <c r="J415" i="544" s="1"/>
  <c r="H415" i="544"/>
  <c r="V414" i="544"/>
  <c r="W414" i="544" s="1"/>
  <c r="N414" i="544"/>
  <c r="K414" i="544"/>
  <c r="M414" i="544" s="1"/>
  <c r="K414" i="544" a="1"/>
  <c r="J414" i="544"/>
  <c r="J414" i="544" a="1"/>
  <c r="H414" i="544"/>
  <c r="H413" i="544"/>
  <c r="W412" i="544"/>
  <c r="V412" i="544"/>
  <c r="N412" i="544"/>
  <c r="K412" i="544" a="1"/>
  <c r="K412" i="544" s="1"/>
  <c r="M412" i="544" s="1"/>
  <c r="J412" i="544" a="1"/>
  <c r="J412" i="544" s="1"/>
  <c r="H412" i="544"/>
  <c r="V411" i="544"/>
  <c r="W411" i="544" s="1"/>
  <c r="N411" i="544"/>
  <c r="K411" i="544" a="1"/>
  <c r="K411" i="544" s="1"/>
  <c r="M411" i="544" s="1"/>
  <c r="J411" i="544" a="1"/>
  <c r="J411" i="544" s="1"/>
  <c r="H411" i="544"/>
  <c r="H410" i="544"/>
  <c r="K409" i="544" a="1"/>
  <c r="K409" i="544" s="1"/>
  <c r="H409" i="544"/>
  <c r="W408" i="544"/>
  <c r="V408" i="544"/>
  <c r="N408" i="544"/>
  <c r="K408" i="544" a="1"/>
  <c r="K408" i="544" s="1"/>
  <c r="M408" i="544" s="1"/>
  <c r="J408" i="544" a="1"/>
  <c r="J408" i="544" s="1"/>
  <c r="H408" i="544"/>
  <c r="V407" i="544"/>
  <c r="W407" i="544" s="1"/>
  <c r="N407" i="544"/>
  <c r="K407" i="544" a="1"/>
  <c r="K407" i="544" s="1"/>
  <c r="M407" i="544" s="1"/>
  <c r="J407" i="544" a="1"/>
  <c r="J407" i="544" s="1"/>
  <c r="H407" i="544"/>
  <c r="V406" i="544"/>
  <c r="W406" i="544" s="1"/>
  <c r="N406" i="544"/>
  <c r="K406" i="544"/>
  <c r="M406" i="544" s="1"/>
  <c r="K406" i="544" a="1"/>
  <c r="J406" i="544"/>
  <c r="J406" i="544" a="1"/>
  <c r="H406" i="544"/>
  <c r="V405" i="544"/>
  <c r="W405" i="544" s="1"/>
  <c r="N405" i="544"/>
  <c r="K405" i="544" a="1"/>
  <c r="K405" i="544" s="1"/>
  <c r="M405" i="544" s="1"/>
  <c r="J405" i="544" a="1"/>
  <c r="J405" i="544" s="1"/>
  <c r="H405" i="544"/>
  <c r="V404" i="544"/>
  <c r="W404" i="544" s="1"/>
  <c r="N404" i="544"/>
  <c r="K404" i="544" a="1"/>
  <c r="K404" i="544" s="1"/>
  <c r="M404" i="544" s="1"/>
  <c r="J404" i="544" a="1"/>
  <c r="J404" i="544" s="1"/>
  <c r="H404" i="544"/>
  <c r="V403" i="544"/>
  <c r="W403" i="544" s="1"/>
  <c r="N403" i="544"/>
  <c r="K403" i="544" a="1"/>
  <c r="K403" i="544" s="1"/>
  <c r="M403" i="544" s="1"/>
  <c r="J403" i="544" a="1"/>
  <c r="J403" i="544" s="1"/>
  <c r="H403" i="544"/>
  <c r="V402" i="544"/>
  <c r="W402" i="544" s="1"/>
  <c r="N402" i="544"/>
  <c r="K402" i="544"/>
  <c r="M402" i="544" s="1"/>
  <c r="K402" i="544" a="1"/>
  <c r="J402" i="544"/>
  <c r="J402" i="544" a="1"/>
  <c r="H402" i="544"/>
  <c r="V401" i="544"/>
  <c r="W401" i="544" s="1"/>
  <c r="N401" i="544"/>
  <c r="K401" i="544" a="1"/>
  <c r="K401" i="544" s="1"/>
  <c r="M401" i="544" s="1"/>
  <c r="J401" i="544" a="1"/>
  <c r="J401" i="544" s="1"/>
  <c r="H401" i="544"/>
  <c r="W400" i="544"/>
  <c r="V400" i="544"/>
  <c r="N400" i="544"/>
  <c r="K400" i="544" a="1"/>
  <c r="K400" i="544" s="1"/>
  <c r="M400" i="544" s="1"/>
  <c r="J400" i="544" a="1"/>
  <c r="J400" i="544" s="1"/>
  <c r="H400" i="544"/>
  <c r="V399" i="544"/>
  <c r="W399" i="544" s="1"/>
  <c r="N399" i="544"/>
  <c r="K399" i="544" a="1"/>
  <c r="K399" i="544" s="1"/>
  <c r="M399" i="544" s="1"/>
  <c r="J399" i="544" a="1"/>
  <c r="J399" i="544" s="1"/>
  <c r="H399" i="544"/>
  <c r="K398" i="544" a="1"/>
  <c r="K398" i="544" s="1"/>
  <c r="M398" i="544" s="1"/>
  <c r="H398" i="544"/>
  <c r="K397" i="544" a="1"/>
  <c r="K397" i="544" s="1"/>
  <c r="M397" i="544" s="1"/>
  <c r="H397" i="544"/>
  <c r="K396" i="544" a="1"/>
  <c r="K396" i="544" s="1"/>
  <c r="M396" i="544" s="1"/>
  <c r="H396" i="544"/>
  <c r="K395" i="544" a="1"/>
  <c r="K395" i="544" s="1"/>
  <c r="M395" i="544" s="1"/>
  <c r="H395" i="544"/>
  <c r="N394" i="544"/>
  <c r="K394" i="544"/>
  <c r="M394" i="544" s="1"/>
  <c r="K394" i="544" a="1"/>
  <c r="H394" i="544"/>
  <c r="N393" i="544"/>
  <c r="K393" i="544" a="1"/>
  <c r="K393" i="544" s="1"/>
  <c r="M393" i="544" s="1"/>
  <c r="H393" i="544"/>
  <c r="N392" i="544"/>
  <c r="K392" i="544" a="1"/>
  <c r="K392" i="544" s="1"/>
  <c r="M392" i="544" s="1"/>
  <c r="H392" i="544"/>
  <c r="N391" i="544"/>
  <c r="K391" i="544" a="1"/>
  <c r="K391" i="544" s="1"/>
  <c r="M391" i="544" s="1"/>
  <c r="H391" i="544"/>
  <c r="V390" i="544"/>
  <c r="W390" i="544" s="1"/>
  <c r="N390" i="544"/>
  <c r="K390" i="544"/>
  <c r="M390" i="544" s="1"/>
  <c r="K390" i="544" a="1"/>
  <c r="J390" i="544"/>
  <c r="J390" i="544" a="1"/>
  <c r="H390" i="544"/>
  <c r="V389" i="544"/>
  <c r="W389" i="544" s="1"/>
  <c r="N389" i="544"/>
  <c r="K389" i="544" a="1"/>
  <c r="K389" i="544" s="1"/>
  <c r="M389" i="544" s="1"/>
  <c r="J389" i="544" a="1"/>
  <c r="J389" i="544" s="1"/>
  <c r="H389" i="544"/>
  <c r="W388" i="544"/>
  <c r="V388" i="544"/>
  <c r="N388" i="544"/>
  <c r="K388" i="544" a="1"/>
  <c r="K388" i="544" s="1"/>
  <c r="M388" i="544" s="1"/>
  <c r="J388" i="544" a="1"/>
  <c r="J388" i="544" s="1"/>
  <c r="H388" i="544"/>
  <c r="V387" i="544"/>
  <c r="W387" i="544" s="1"/>
  <c r="N387" i="544"/>
  <c r="K387" i="544" a="1"/>
  <c r="K387" i="544" s="1"/>
  <c r="M387" i="544" s="1"/>
  <c r="J387" i="544" a="1"/>
  <c r="J387" i="544" s="1"/>
  <c r="H387" i="544"/>
  <c r="V386" i="544"/>
  <c r="W386" i="544" s="1"/>
  <c r="N386" i="544"/>
  <c r="K386" i="544"/>
  <c r="M386" i="544" s="1"/>
  <c r="K386" i="544" a="1"/>
  <c r="J386" i="544"/>
  <c r="J386" i="544" a="1"/>
  <c r="H386" i="544"/>
  <c r="V385" i="544"/>
  <c r="W385" i="544" s="1"/>
  <c r="N385" i="544"/>
  <c r="K385" i="544" a="1"/>
  <c r="K385" i="544" s="1"/>
  <c r="M385" i="544" s="1"/>
  <c r="J385" i="544" a="1"/>
  <c r="J385" i="544" s="1"/>
  <c r="H385" i="544"/>
  <c r="V384" i="544"/>
  <c r="W384" i="544" s="1"/>
  <c r="N384" i="544"/>
  <c r="K384" i="544" a="1"/>
  <c r="K384" i="544" s="1"/>
  <c r="M384" i="544" s="1"/>
  <c r="J384" i="544" a="1"/>
  <c r="J384" i="544" s="1"/>
  <c r="H384" i="544"/>
  <c r="V383" i="544"/>
  <c r="W383" i="544" s="1"/>
  <c r="N383" i="544"/>
  <c r="K383" i="544" a="1"/>
  <c r="K383" i="544" s="1"/>
  <c r="M383" i="544" s="1"/>
  <c r="J383" i="544" a="1"/>
  <c r="J383" i="544" s="1"/>
  <c r="H383" i="544"/>
  <c r="V382" i="544"/>
  <c r="W382" i="544" s="1"/>
  <c r="N382" i="544"/>
  <c r="K382" i="544"/>
  <c r="M382" i="544" s="1"/>
  <c r="K382" i="544" a="1"/>
  <c r="J382" i="544"/>
  <c r="J382" i="544" a="1"/>
  <c r="H382" i="544"/>
  <c r="V381" i="544"/>
  <c r="W381" i="544" s="1"/>
  <c r="N381" i="544"/>
  <c r="K381" i="544" a="1"/>
  <c r="K381" i="544" s="1"/>
  <c r="M381" i="544" s="1"/>
  <c r="J381" i="544" a="1"/>
  <c r="J381" i="544" s="1"/>
  <c r="H381" i="544"/>
  <c r="W380" i="544"/>
  <c r="V380" i="544"/>
  <c r="N380" i="544"/>
  <c r="K380" i="544" a="1"/>
  <c r="K380" i="544" s="1"/>
  <c r="M380" i="544" s="1"/>
  <c r="J380" i="544" a="1"/>
  <c r="J380" i="544" s="1"/>
  <c r="H380" i="544"/>
  <c r="V379" i="544"/>
  <c r="W379" i="544" s="1"/>
  <c r="N379" i="544"/>
  <c r="K379" i="544" a="1"/>
  <c r="K379" i="544" s="1"/>
  <c r="M379" i="544" s="1"/>
  <c r="J379" i="544" a="1"/>
  <c r="J379" i="544" s="1"/>
  <c r="H379" i="544"/>
  <c r="K378" i="544" a="1"/>
  <c r="K378" i="544" s="1"/>
  <c r="M378" i="544" s="1"/>
  <c r="H378" i="544"/>
  <c r="K377" i="544" a="1"/>
  <c r="K377" i="544" s="1"/>
  <c r="M377" i="544" s="1"/>
  <c r="H377" i="544"/>
  <c r="K376" i="544" a="1"/>
  <c r="K376" i="544" s="1"/>
  <c r="M376" i="544" s="1"/>
  <c r="H376" i="544"/>
  <c r="V375" i="544"/>
  <c r="W375" i="544" s="1"/>
  <c r="N375" i="544"/>
  <c r="K375" i="544"/>
  <c r="M375" i="544" s="1"/>
  <c r="K375" i="544" a="1"/>
  <c r="J375" i="544"/>
  <c r="J375" i="544" a="1"/>
  <c r="H375" i="544"/>
  <c r="V374" i="544"/>
  <c r="W374" i="544" s="1"/>
  <c r="N374" i="544"/>
  <c r="K374" i="544" a="1"/>
  <c r="K374" i="544" s="1"/>
  <c r="M374" i="544" s="1"/>
  <c r="J374" i="544" a="1"/>
  <c r="J374" i="544" s="1"/>
  <c r="H374" i="544"/>
  <c r="V373" i="544"/>
  <c r="W373" i="544" s="1"/>
  <c r="N373" i="544"/>
  <c r="K373" i="544" a="1"/>
  <c r="K373" i="544" s="1"/>
  <c r="M373" i="544" s="1"/>
  <c r="J373" i="544" a="1"/>
  <c r="J373" i="544" s="1"/>
  <c r="H373" i="544"/>
  <c r="K372" i="544" a="1"/>
  <c r="K372" i="544" s="1"/>
  <c r="H372" i="544"/>
  <c r="W371" i="544"/>
  <c r="V371" i="544"/>
  <c r="N371" i="544"/>
  <c r="N428" i="544" s="1"/>
  <c r="K371" i="544" a="1"/>
  <c r="K371" i="544" s="1"/>
  <c r="J371" i="544" a="1"/>
  <c r="J371" i="544" s="1"/>
  <c r="H371" i="544"/>
  <c r="AA370" i="544"/>
  <c r="AA507" i="544" s="1"/>
  <c r="Z370" i="544"/>
  <c r="Z507" i="544" s="1"/>
  <c r="Y370" i="544"/>
  <c r="Y507" i="544" s="1"/>
  <c r="X370" i="544"/>
  <c r="X507" i="544" s="1"/>
  <c r="U370" i="544"/>
  <c r="U507" i="544" s="1"/>
  <c r="T370" i="544"/>
  <c r="T507" i="544" s="1"/>
  <c r="S370" i="544"/>
  <c r="S507" i="544" s="1"/>
  <c r="R370" i="544"/>
  <c r="R507" i="544" s="1"/>
  <c r="Q370" i="544"/>
  <c r="Q507" i="544" s="1"/>
  <c r="P370" i="544"/>
  <c r="P507" i="544" s="1"/>
  <c r="O370" i="544"/>
  <c r="I370" i="544"/>
  <c r="I507" i="544" s="1"/>
  <c r="B515" i="544" s="1"/>
  <c r="G370" i="544"/>
  <c r="G507" i="544" s="1"/>
  <c r="V369" i="544"/>
  <c r="W369" i="544" s="1"/>
  <c r="N369" i="544"/>
  <c r="K369" i="544" a="1"/>
  <c r="K369" i="544" s="1"/>
  <c r="M369" i="544" s="1"/>
  <c r="J369" i="544" a="1"/>
  <c r="J369" i="544" s="1"/>
  <c r="H369" i="544"/>
  <c r="V368" i="544"/>
  <c r="W368" i="544" s="1"/>
  <c r="N368" i="544"/>
  <c r="K368" i="544" a="1"/>
  <c r="K368" i="544" s="1"/>
  <c r="M368" i="544" s="1"/>
  <c r="J368" i="544"/>
  <c r="J368" i="544" a="1"/>
  <c r="H368" i="544"/>
  <c r="K367" i="544" a="1"/>
  <c r="K367" i="544" s="1"/>
  <c r="M367" i="544" s="1"/>
  <c r="H367" i="544"/>
  <c r="K366" i="544"/>
  <c r="M366" i="544" s="1"/>
  <c r="K366" i="544" a="1"/>
  <c r="H366" i="544"/>
  <c r="K365" i="544" a="1"/>
  <c r="K365" i="544" s="1"/>
  <c r="M365" i="544" s="1"/>
  <c r="H365" i="544"/>
  <c r="K364" i="544" a="1"/>
  <c r="K364" i="544" s="1"/>
  <c r="M364" i="544" s="1"/>
  <c r="H364" i="544"/>
  <c r="V363" i="544"/>
  <c r="W363" i="544" s="1"/>
  <c r="N363" i="544"/>
  <c r="K363" i="544"/>
  <c r="M363" i="544" s="1"/>
  <c r="K363" i="544" a="1"/>
  <c r="J363" i="544" a="1"/>
  <c r="J363" i="544" s="1"/>
  <c r="H363" i="544"/>
  <c r="V362" i="544"/>
  <c r="W362" i="544" s="1"/>
  <c r="N362" i="544"/>
  <c r="K362" i="544" a="1"/>
  <c r="K362" i="544" s="1"/>
  <c r="M362" i="544" s="1"/>
  <c r="J362" i="544" a="1"/>
  <c r="J362" i="544" s="1"/>
  <c r="H362" i="544"/>
  <c r="V361" i="544"/>
  <c r="W361" i="544" s="1"/>
  <c r="N361" i="544"/>
  <c r="K361" i="544"/>
  <c r="M361" i="544" s="1"/>
  <c r="K361" i="544" a="1"/>
  <c r="J361" i="544" a="1"/>
  <c r="J361" i="544" s="1"/>
  <c r="H361" i="544"/>
  <c r="H360" i="544"/>
  <c r="H359" i="544"/>
  <c r="W358" i="544"/>
  <c r="V358" i="544"/>
  <c r="N358" i="544"/>
  <c r="K358" i="544" a="1"/>
  <c r="K358" i="544" s="1"/>
  <c r="M358" i="544" s="1"/>
  <c r="J358" i="544" a="1"/>
  <c r="J358" i="544" s="1"/>
  <c r="H358" i="544"/>
  <c r="V357" i="544"/>
  <c r="W357" i="544" s="1"/>
  <c r="N357" i="544"/>
  <c r="K357" i="544"/>
  <c r="M357" i="544" s="1"/>
  <c r="K357" i="544" a="1"/>
  <c r="J357" i="544" a="1"/>
  <c r="J357" i="544" s="1"/>
  <c r="H357" i="544"/>
  <c r="K356" i="544" a="1"/>
  <c r="K356" i="544" s="1"/>
  <c r="M356" i="544" s="1"/>
  <c r="H356" i="544"/>
  <c r="K355" i="544" a="1"/>
  <c r="K355" i="544" s="1"/>
  <c r="M355" i="544" s="1"/>
  <c r="H355" i="544"/>
  <c r="W354" i="544"/>
  <c r="V354" i="544"/>
  <c r="N354" i="544"/>
  <c r="K354" i="544" a="1"/>
  <c r="K354" i="544" s="1"/>
  <c r="M354" i="544" s="1"/>
  <c r="J354" i="544" a="1"/>
  <c r="J354" i="544" s="1"/>
  <c r="H354" i="544"/>
  <c r="V353" i="544"/>
  <c r="W353" i="544" s="1"/>
  <c r="N353" i="544"/>
  <c r="K353" i="544" a="1"/>
  <c r="K353" i="544" s="1"/>
  <c r="M353" i="544" s="1"/>
  <c r="J353" i="544" a="1"/>
  <c r="J353" i="544" s="1"/>
  <c r="H353" i="544"/>
  <c r="V352" i="544"/>
  <c r="W352" i="544" s="1"/>
  <c r="N352" i="544"/>
  <c r="K352" i="544"/>
  <c r="M352" i="544" s="1"/>
  <c r="K352" i="544" a="1"/>
  <c r="J352" i="544"/>
  <c r="J352" i="544" a="1"/>
  <c r="H352" i="544"/>
  <c r="V351" i="544"/>
  <c r="W351" i="544" s="1"/>
  <c r="N351" i="544"/>
  <c r="K351" i="544" a="1"/>
  <c r="K351" i="544" s="1"/>
  <c r="M351" i="544" s="1"/>
  <c r="J351" i="544" a="1"/>
  <c r="J351" i="544" s="1"/>
  <c r="H351" i="544"/>
  <c r="V350" i="544"/>
  <c r="W350" i="544" s="1"/>
  <c r="N350" i="544"/>
  <c r="K350" i="544" a="1"/>
  <c r="K350" i="544" s="1"/>
  <c r="M350" i="544" s="1"/>
  <c r="J350" i="544" a="1"/>
  <c r="J350" i="544" s="1"/>
  <c r="H350" i="544"/>
  <c r="V349" i="544"/>
  <c r="N349" i="544"/>
  <c r="K349" i="544"/>
  <c r="K349" i="544" a="1"/>
  <c r="J349" i="544" a="1"/>
  <c r="J349" i="544" s="1"/>
  <c r="H349" i="544"/>
  <c r="X343" i="544"/>
  <c r="X342" i="544"/>
  <c r="X341" i="544"/>
  <c r="G341" i="544"/>
  <c r="C341" i="544"/>
  <c r="X340" i="544"/>
  <c r="I340" i="544"/>
  <c r="E340" i="544"/>
  <c r="K340" i="544" s="1"/>
  <c r="M340" i="544" s="1"/>
  <c r="I339" i="544"/>
  <c r="E339" i="544"/>
  <c r="K339" i="544" s="1"/>
  <c r="M339" i="544" s="1"/>
  <c r="I338" i="544"/>
  <c r="E338" i="544"/>
  <c r="K338" i="544" s="1"/>
  <c r="M338" i="544" s="1"/>
  <c r="X337" i="544"/>
  <c r="I337" i="544"/>
  <c r="I341" i="544" s="1"/>
  <c r="E337" i="544"/>
  <c r="E341" i="544" s="1"/>
  <c r="AA334" i="544"/>
  <c r="Z334" i="544"/>
  <c r="Y334" i="544"/>
  <c r="X334" i="544"/>
  <c r="U334" i="544"/>
  <c r="T334" i="544"/>
  <c r="S334" i="544"/>
  <c r="R334" i="544"/>
  <c r="Q334" i="544"/>
  <c r="P334" i="544"/>
  <c r="O334" i="544"/>
  <c r="R342" i="544" s="1"/>
  <c r="I334" i="544"/>
  <c r="G334" i="544"/>
  <c r="K333" i="544" a="1"/>
  <c r="K333" i="544" s="1"/>
  <c r="H333" i="544"/>
  <c r="K332" i="544" a="1"/>
  <c r="K332" i="544" s="1"/>
  <c r="H332" i="544"/>
  <c r="K331" i="544"/>
  <c r="K331" i="544" a="1"/>
  <c r="H331" i="544"/>
  <c r="V330" i="544"/>
  <c r="W330" i="544" s="1"/>
  <c r="N330" i="544"/>
  <c r="K330" i="544" a="1"/>
  <c r="K330" i="544" s="1"/>
  <c r="H330" i="544"/>
  <c r="D330" i="544"/>
  <c r="H329" i="544"/>
  <c r="K328" i="544" a="1"/>
  <c r="K328" i="544" s="1"/>
  <c r="H328" i="544"/>
  <c r="H327" i="544"/>
  <c r="V326" i="544"/>
  <c r="W326" i="544" s="1"/>
  <c r="N326" i="544"/>
  <c r="K326" i="544" a="1"/>
  <c r="K326" i="544" s="1"/>
  <c r="M326" i="544" s="1"/>
  <c r="J326" i="544" a="1"/>
  <c r="J326" i="544" s="1"/>
  <c r="H326" i="544"/>
  <c r="V325" i="544"/>
  <c r="W325" i="544" s="1"/>
  <c r="N325" i="544"/>
  <c r="K325" i="544" a="1"/>
  <c r="K325" i="544" s="1"/>
  <c r="M325" i="544" s="1"/>
  <c r="J325" i="544" a="1"/>
  <c r="J325" i="544" s="1"/>
  <c r="H325" i="544"/>
  <c r="H324" i="544"/>
  <c r="V323" i="544"/>
  <c r="W323" i="544" s="1"/>
  <c r="N323" i="544"/>
  <c r="K323" i="544"/>
  <c r="M323" i="544" s="1"/>
  <c r="K323" i="544" a="1"/>
  <c r="J323" i="544"/>
  <c r="J323" i="544" a="1"/>
  <c r="H323" i="544"/>
  <c r="V322" i="544"/>
  <c r="W322" i="544" s="1"/>
  <c r="N322" i="544"/>
  <c r="K322" i="544" a="1"/>
  <c r="K322" i="544" s="1"/>
  <c r="M322" i="544" s="1"/>
  <c r="J322" i="544" a="1"/>
  <c r="J322" i="544" s="1"/>
  <c r="H322" i="544"/>
  <c r="V321" i="544"/>
  <c r="W321" i="544" s="1"/>
  <c r="N321" i="544"/>
  <c r="K321" i="544" a="1"/>
  <c r="K321" i="544" s="1"/>
  <c r="M321" i="544" s="1"/>
  <c r="J321" i="544" a="1"/>
  <c r="J321" i="544" s="1"/>
  <c r="H321" i="544"/>
  <c r="V320" i="544"/>
  <c r="W320" i="544" s="1"/>
  <c r="N320" i="544"/>
  <c r="N334" i="544" s="1"/>
  <c r="K320" i="544" a="1"/>
  <c r="K320" i="544" s="1"/>
  <c r="J320" i="544" a="1"/>
  <c r="J320" i="544" s="1"/>
  <c r="H320" i="544"/>
  <c r="H334" i="544" s="1"/>
  <c r="AA319" i="544"/>
  <c r="Z319" i="544"/>
  <c r="Y319" i="544"/>
  <c r="X319" i="544"/>
  <c r="U319" i="544"/>
  <c r="T319" i="544"/>
  <c r="S319" i="544"/>
  <c r="Q319" i="544"/>
  <c r="P319" i="544"/>
  <c r="O319" i="544"/>
  <c r="I319" i="544"/>
  <c r="G319" i="544"/>
  <c r="V318" i="544"/>
  <c r="W318" i="544" s="1"/>
  <c r="N318" i="544"/>
  <c r="K318" i="544"/>
  <c r="M318" i="544" s="1"/>
  <c r="K318" i="544" a="1"/>
  <c r="J318" i="544"/>
  <c r="J318" i="544" a="1"/>
  <c r="H318" i="544"/>
  <c r="H316" i="544"/>
  <c r="H315" i="544"/>
  <c r="H314" i="544"/>
  <c r="W313" i="544"/>
  <c r="V313" i="544"/>
  <c r="N313" i="544"/>
  <c r="K313" i="544" a="1"/>
  <c r="K313" i="544" s="1"/>
  <c r="M313" i="544" s="1"/>
  <c r="J313" i="544" a="1"/>
  <c r="J313" i="544" s="1"/>
  <c r="H313" i="544"/>
  <c r="V312" i="544"/>
  <c r="W312" i="544" s="1"/>
  <c r="N312" i="544"/>
  <c r="K312" i="544"/>
  <c r="M312" i="544" s="1"/>
  <c r="K312" i="544" a="1"/>
  <c r="J312" i="544" a="1"/>
  <c r="J312" i="544" s="1"/>
  <c r="H312" i="544"/>
  <c r="W311" i="544"/>
  <c r="V311" i="544"/>
  <c r="N311" i="544"/>
  <c r="K311" i="544" a="1"/>
  <c r="K311" i="544" s="1"/>
  <c r="M311" i="544" s="1"/>
  <c r="J311" i="544" a="1"/>
  <c r="J311" i="544" s="1"/>
  <c r="H311" i="544"/>
  <c r="V310" i="544"/>
  <c r="W310" i="544" s="1"/>
  <c r="N310" i="544"/>
  <c r="K310" i="544" a="1"/>
  <c r="K310" i="544" s="1"/>
  <c r="M310" i="544" s="1"/>
  <c r="J310" i="544" a="1"/>
  <c r="J310" i="544" s="1"/>
  <c r="H310" i="544"/>
  <c r="V309" i="544"/>
  <c r="N309" i="544"/>
  <c r="K309" i="544" a="1"/>
  <c r="K309" i="544" s="1"/>
  <c r="M309" i="544" s="1"/>
  <c r="J309" i="544" a="1"/>
  <c r="J309" i="544" s="1"/>
  <c r="H309" i="544"/>
  <c r="AA308" i="544"/>
  <c r="Z308" i="544"/>
  <c r="Y308" i="544"/>
  <c r="X308" i="544"/>
  <c r="U308" i="544"/>
  <c r="T308" i="544"/>
  <c r="S308" i="544"/>
  <c r="Q308" i="544"/>
  <c r="P308" i="544"/>
  <c r="O308" i="544"/>
  <c r="I308" i="544"/>
  <c r="G308" i="544"/>
  <c r="V307" i="544"/>
  <c r="W307" i="544" s="1"/>
  <c r="N307" i="544"/>
  <c r="K307" i="544" a="1"/>
  <c r="K307" i="544" s="1"/>
  <c r="M307" i="544" s="1"/>
  <c r="J307" i="544" a="1"/>
  <c r="J307" i="544" s="1"/>
  <c r="H307" i="544"/>
  <c r="V306" i="544"/>
  <c r="W306" i="544" s="1"/>
  <c r="N306" i="544"/>
  <c r="K306" i="544" a="1"/>
  <c r="K306" i="544" s="1"/>
  <c r="M306" i="544" s="1"/>
  <c r="J306" i="544" a="1"/>
  <c r="J306" i="544" s="1"/>
  <c r="H306" i="544"/>
  <c r="V305" i="544"/>
  <c r="W305" i="544" s="1"/>
  <c r="N305" i="544"/>
  <c r="K305" i="544" a="1"/>
  <c r="K305" i="544" s="1"/>
  <c r="M305" i="544" s="1"/>
  <c r="J305" i="544" a="1"/>
  <c r="J305" i="544" s="1"/>
  <c r="H305" i="544"/>
  <c r="V304" i="544"/>
  <c r="W304" i="544" s="1"/>
  <c r="N304" i="544"/>
  <c r="K304" i="544"/>
  <c r="M304" i="544" s="1"/>
  <c r="K304" i="544" a="1"/>
  <c r="J304" i="544"/>
  <c r="J304" i="544" a="1"/>
  <c r="H304" i="544"/>
  <c r="V303" i="544"/>
  <c r="W303" i="544" s="1"/>
  <c r="N303" i="544"/>
  <c r="K303" i="544" a="1"/>
  <c r="K303" i="544" s="1"/>
  <c r="M303" i="544" s="1"/>
  <c r="J303" i="544" a="1"/>
  <c r="J303" i="544" s="1"/>
  <c r="H303" i="544"/>
  <c r="V302" i="544"/>
  <c r="W302" i="544" s="1"/>
  <c r="N302" i="544"/>
  <c r="K302" i="544" a="1"/>
  <c r="K302" i="544" s="1"/>
  <c r="M302" i="544" s="1"/>
  <c r="J302" i="544" a="1"/>
  <c r="J302" i="544" s="1"/>
  <c r="H302" i="544"/>
  <c r="V301" i="544"/>
  <c r="W301" i="544" s="1"/>
  <c r="N301" i="544"/>
  <c r="K301" i="544" a="1"/>
  <c r="K301" i="544" s="1"/>
  <c r="M301" i="544" s="1"/>
  <c r="J301" i="544" a="1"/>
  <c r="J301" i="544" s="1"/>
  <c r="H301" i="544"/>
  <c r="V300" i="544"/>
  <c r="W300" i="544" s="1"/>
  <c r="N300" i="544"/>
  <c r="K300" i="544"/>
  <c r="M300" i="544" s="1"/>
  <c r="K300" i="544" a="1"/>
  <c r="J300" i="544"/>
  <c r="J300" i="544" a="1"/>
  <c r="H300" i="544"/>
  <c r="V299" i="544"/>
  <c r="W299" i="544" s="1"/>
  <c r="N299" i="544"/>
  <c r="K299" i="544" a="1"/>
  <c r="K299" i="544" s="1"/>
  <c r="M299" i="544" s="1"/>
  <c r="J299" i="544" a="1"/>
  <c r="J299" i="544" s="1"/>
  <c r="H299" i="544"/>
  <c r="V298" i="544"/>
  <c r="W298" i="544" s="1"/>
  <c r="N298" i="544"/>
  <c r="K298" i="544" a="1"/>
  <c r="K298" i="544" s="1"/>
  <c r="M298" i="544" s="1"/>
  <c r="J298" i="544" a="1"/>
  <c r="J298" i="544" s="1"/>
  <c r="H298" i="544"/>
  <c r="V297" i="544"/>
  <c r="W297" i="544" s="1"/>
  <c r="N297" i="544"/>
  <c r="K297" i="544" a="1"/>
  <c r="K297" i="544" s="1"/>
  <c r="M297" i="544" s="1"/>
  <c r="J297" i="544" a="1"/>
  <c r="J297" i="544" s="1"/>
  <c r="H297" i="544"/>
  <c r="V296" i="544"/>
  <c r="W296" i="544" s="1"/>
  <c r="N296" i="544"/>
  <c r="K296" i="544"/>
  <c r="M296" i="544" s="1"/>
  <c r="K296" i="544" a="1"/>
  <c r="J296" i="544"/>
  <c r="J296" i="544" a="1"/>
  <c r="H296" i="544"/>
  <c r="V295" i="544"/>
  <c r="W295" i="544" s="1"/>
  <c r="N295" i="544"/>
  <c r="K295" i="544" a="1"/>
  <c r="K295" i="544" s="1"/>
  <c r="M295" i="544" s="1"/>
  <c r="J295" i="544" a="1"/>
  <c r="J295" i="544" s="1"/>
  <c r="H295" i="544"/>
  <c r="V294" i="544"/>
  <c r="W294" i="544" s="1"/>
  <c r="N294" i="544"/>
  <c r="K294" i="544" a="1"/>
  <c r="K294" i="544" s="1"/>
  <c r="M294" i="544" s="1"/>
  <c r="J294" i="544" a="1"/>
  <c r="J294" i="544" s="1"/>
  <c r="H294" i="544"/>
  <c r="V293" i="544"/>
  <c r="W293" i="544" s="1"/>
  <c r="N293" i="544"/>
  <c r="K293" i="544" a="1"/>
  <c r="K293" i="544" s="1"/>
  <c r="J293" i="544" a="1"/>
  <c r="J293" i="544" s="1"/>
  <c r="H293" i="544"/>
  <c r="AA292" i="544"/>
  <c r="Z292" i="544"/>
  <c r="Y292" i="544"/>
  <c r="X292" i="544"/>
  <c r="U292" i="544"/>
  <c r="T292" i="544"/>
  <c r="S292" i="544"/>
  <c r="R292" i="544"/>
  <c r="Q292" i="544"/>
  <c r="P292" i="544"/>
  <c r="O292" i="544"/>
  <c r="R339" i="544" s="1"/>
  <c r="I292" i="544"/>
  <c r="G292" i="544"/>
  <c r="V291" i="544"/>
  <c r="W291" i="544" s="1"/>
  <c r="N291" i="544"/>
  <c r="K291" i="544" a="1"/>
  <c r="K291" i="544" s="1"/>
  <c r="M291" i="544" s="1"/>
  <c r="J291" i="544" a="1"/>
  <c r="J291" i="544" s="1"/>
  <c r="H291" i="544"/>
  <c r="V290" i="544"/>
  <c r="W290" i="544" s="1"/>
  <c r="N290" i="544"/>
  <c r="K290" i="544" a="1"/>
  <c r="K290" i="544" s="1"/>
  <c r="M290" i="544" s="1"/>
  <c r="J290" i="544" a="1"/>
  <c r="J290" i="544" s="1"/>
  <c r="H290" i="544"/>
  <c r="V289" i="544"/>
  <c r="W289" i="544" s="1"/>
  <c r="N289" i="544"/>
  <c r="K289" i="544" a="1"/>
  <c r="K289" i="544" s="1"/>
  <c r="M289" i="544" s="1"/>
  <c r="J289" i="544" a="1"/>
  <c r="J289" i="544" s="1"/>
  <c r="H289" i="544"/>
  <c r="H288" i="544"/>
  <c r="H287" i="544"/>
  <c r="H286" i="544"/>
  <c r="V285" i="544"/>
  <c r="W285" i="544" s="1"/>
  <c r="N285" i="544"/>
  <c r="K285" i="544" a="1"/>
  <c r="K285" i="544" s="1"/>
  <c r="M285" i="544" s="1"/>
  <c r="H285" i="544"/>
  <c r="V284" i="544"/>
  <c r="W284" i="544" s="1"/>
  <c r="N284" i="544"/>
  <c r="K284" i="544" a="1"/>
  <c r="K284" i="544" s="1"/>
  <c r="M284" i="544" s="1"/>
  <c r="H284" i="544"/>
  <c r="N283" i="544"/>
  <c r="K283" i="544" a="1"/>
  <c r="K283" i="544" s="1"/>
  <c r="M283" i="544" s="1"/>
  <c r="H283" i="544"/>
  <c r="N282" i="544"/>
  <c r="K282" i="544" a="1"/>
  <c r="K282" i="544" s="1"/>
  <c r="M282" i="544" s="1"/>
  <c r="H282" i="544"/>
  <c r="N281" i="544"/>
  <c r="K281" i="544" a="1"/>
  <c r="K281" i="544" s="1"/>
  <c r="M281" i="544" s="1"/>
  <c r="H281" i="544"/>
  <c r="N280" i="544"/>
  <c r="K280" i="544" a="1"/>
  <c r="K280" i="544" s="1"/>
  <c r="M280" i="544" s="1"/>
  <c r="H280" i="544"/>
  <c r="N279" i="544"/>
  <c r="K279" i="544" a="1"/>
  <c r="K279" i="544" s="1"/>
  <c r="M279" i="544" s="1"/>
  <c r="H279" i="544"/>
  <c r="N278" i="544"/>
  <c r="K278" i="544" a="1"/>
  <c r="K278" i="544" s="1"/>
  <c r="M278" i="544" s="1"/>
  <c r="H278" i="544"/>
  <c r="V277" i="544"/>
  <c r="W277" i="544" s="1"/>
  <c r="N277" i="544"/>
  <c r="K277" i="544" a="1"/>
  <c r="K277" i="544" s="1"/>
  <c r="M277" i="544" s="1"/>
  <c r="J277" i="544" a="1"/>
  <c r="J277" i="544" s="1"/>
  <c r="H277" i="544"/>
  <c r="V276" i="544"/>
  <c r="W276" i="544" s="1"/>
  <c r="N276" i="544"/>
  <c r="K276" i="544"/>
  <c r="M276" i="544" s="1"/>
  <c r="K276" i="544" a="1"/>
  <c r="J276" i="544"/>
  <c r="J276" i="544" a="1"/>
  <c r="H276" i="544"/>
  <c r="V275" i="544"/>
  <c r="W275" i="544" s="1"/>
  <c r="N275" i="544"/>
  <c r="K275" i="544" a="1"/>
  <c r="K275" i="544" s="1"/>
  <c r="M275" i="544" s="1"/>
  <c r="J275" i="544" a="1"/>
  <c r="J275" i="544" s="1"/>
  <c r="H275" i="544"/>
  <c r="V274" i="544"/>
  <c r="W274" i="544" s="1"/>
  <c r="N274" i="544"/>
  <c r="K274" i="544" a="1"/>
  <c r="K274" i="544" s="1"/>
  <c r="M274" i="544" s="1"/>
  <c r="J274" i="544" a="1"/>
  <c r="J274" i="544" s="1"/>
  <c r="H274" i="544"/>
  <c r="V273" i="544"/>
  <c r="W273" i="544" s="1"/>
  <c r="N273" i="544"/>
  <c r="K273" i="544" a="1"/>
  <c r="K273" i="544" s="1"/>
  <c r="M273" i="544" s="1"/>
  <c r="J273" i="544" a="1"/>
  <c r="J273" i="544" s="1"/>
  <c r="H273" i="544"/>
  <c r="V272" i="544"/>
  <c r="W272" i="544" s="1"/>
  <c r="N272" i="544"/>
  <c r="K272" i="544"/>
  <c r="M272" i="544" s="1"/>
  <c r="K272" i="544" a="1"/>
  <c r="J272" i="544"/>
  <c r="J272" i="544" a="1"/>
  <c r="H272" i="544"/>
  <c r="V271" i="544"/>
  <c r="W271" i="544" s="1"/>
  <c r="N271" i="544"/>
  <c r="K271" i="544" a="1"/>
  <c r="K271" i="544" s="1"/>
  <c r="M271" i="544" s="1"/>
  <c r="J271" i="544" a="1"/>
  <c r="J271" i="544" s="1"/>
  <c r="H271" i="544"/>
  <c r="V270" i="544"/>
  <c r="W270" i="544" s="1"/>
  <c r="N270" i="544"/>
  <c r="K270" i="544"/>
  <c r="M270" i="544" s="1"/>
  <c r="K270" i="544" a="1"/>
  <c r="J270" i="544"/>
  <c r="J270" i="544" a="1"/>
  <c r="H270" i="544"/>
  <c r="V269" i="544"/>
  <c r="W269" i="544" s="1"/>
  <c r="N269" i="544"/>
  <c r="K269" i="544" a="1"/>
  <c r="K269" i="544" s="1"/>
  <c r="M269" i="544" s="1"/>
  <c r="J269" i="544" a="1"/>
  <c r="J269" i="544" s="1"/>
  <c r="H269" i="544"/>
  <c r="W268" i="544"/>
  <c r="V268" i="544"/>
  <c r="N268" i="544"/>
  <c r="K268" i="544" a="1"/>
  <c r="K268" i="544" s="1"/>
  <c r="M268" i="544" s="1"/>
  <c r="J268" i="544" a="1"/>
  <c r="J268" i="544" s="1"/>
  <c r="H268" i="544"/>
  <c r="V267" i="544"/>
  <c r="W267" i="544" s="1"/>
  <c r="N267" i="544"/>
  <c r="K267" i="544" a="1"/>
  <c r="K267" i="544" s="1"/>
  <c r="M267" i="544" s="1"/>
  <c r="J267" i="544" a="1"/>
  <c r="J267" i="544" s="1"/>
  <c r="H267" i="544"/>
  <c r="V266" i="544"/>
  <c r="W266" i="544" s="1"/>
  <c r="N266" i="544"/>
  <c r="K266" i="544"/>
  <c r="M266" i="544" s="1"/>
  <c r="K266" i="544" a="1"/>
  <c r="J266" i="544"/>
  <c r="J266" i="544" a="1"/>
  <c r="H266" i="544"/>
  <c r="N265" i="544"/>
  <c r="K265" i="544" a="1"/>
  <c r="K265" i="544" s="1"/>
  <c r="M265" i="544" s="1"/>
  <c r="H265" i="544"/>
  <c r="W264" i="544"/>
  <c r="V264" i="544"/>
  <c r="N264" i="544"/>
  <c r="K264" i="544" a="1"/>
  <c r="K264" i="544" s="1"/>
  <c r="M264" i="544" s="1"/>
  <c r="J264" i="544" a="1"/>
  <c r="J264" i="544" s="1"/>
  <c r="H264" i="544"/>
  <c r="V263" i="544"/>
  <c r="W263" i="544" s="1"/>
  <c r="N263" i="544"/>
  <c r="K263" i="544" a="1"/>
  <c r="K263" i="544" s="1"/>
  <c r="M263" i="544" s="1"/>
  <c r="J263" i="544" a="1"/>
  <c r="J263" i="544" s="1"/>
  <c r="H263" i="544"/>
  <c r="V262" i="544"/>
  <c r="W262" i="544" s="1"/>
  <c r="N262" i="544"/>
  <c r="K262" i="544"/>
  <c r="M262" i="544" s="1"/>
  <c r="K262" i="544" a="1"/>
  <c r="J262" i="544"/>
  <c r="J262" i="544" a="1"/>
  <c r="H262" i="544"/>
  <c r="V261" i="544"/>
  <c r="W261" i="544" s="1"/>
  <c r="N261" i="544"/>
  <c r="K261" i="544" a="1"/>
  <c r="K261" i="544" s="1"/>
  <c r="M261" i="544" s="1"/>
  <c r="J261" i="544" a="1"/>
  <c r="J261" i="544" s="1"/>
  <c r="H261" i="544"/>
  <c r="V260" i="544"/>
  <c r="W260" i="544" s="1"/>
  <c r="N260" i="544"/>
  <c r="K260" i="544" a="1"/>
  <c r="K260" i="544" s="1"/>
  <c r="M260" i="544" s="1"/>
  <c r="J260" i="544" a="1"/>
  <c r="J260" i="544" s="1"/>
  <c r="H260" i="544"/>
  <c r="V259" i="544"/>
  <c r="W259" i="544" s="1"/>
  <c r="N259" i="544"/>
  <c r="K259" i="544" a="1"/>
  <c r="K259" i="544" s="1"/>
  <c r="M259" i="544" s="1"/>
  <c r="J259" i="544" a="1"/>
  <c r="J259" i="544" s="1"/>
  <c r="H259" i="544"/>
  <c r="V258" i="544"/>
  <c r="N258" i="544"/>
  <c r="K258" i="544" a="1"/>
  <c r="K258" i="544" s="1"/>
  <c r="J258" i="544" a="1"/>
  <c r="J258" i="544" s="1"/>
  <c r="H258" i="544"/>
  <c r="AA257" i="544"/>
  <c r="Z257" i="544"/>
  <c r="Y257" i="544"/>
  <c r="X257" i="544"/>
  <c r="U257" i="544"/>
  <c r="T257" i="544"/>
  <c r="S257" i="544"/>
  <c r="R257" i="544"/>
  <c r="Q257" i="544"/>
  <c r="P257" i="544"/>
  <c r="O257" i="544"/>
  <c r="R338" i="544" s="1"/>
  <c r="I257" i="544"/>
  <c r="G257" i="544"/>
  <c r="H256" i="544"/>
  <c r="H255" i="544"/>
  <c r="H254" i="544"/>
  <c r="H253" i="544"/>
  <c r="H252" i="544"/>
  <c r="H251" i="544"/>
  <c r="K250" i="544" a="1"/>
  <c r="K250" i="544" s="1"/>
  <c r="M250" i="544" s="1"/>
  <c r="H250" i="544"/>
  <c r="K249" i="544" a="1"/>
  <c r="K249" i="544" s="1"/>
  <c r="M249" i="544" s="1"/>
  <c r="H249" i="544"/>
  <c r="K248" i="544" a="1"/>
  <c r="K248" i="544" s="1"/>
  <c r="M248" i="544" s="1"/>
  <c r="H248" i="544"/>
  <c r="K247" i="544" a="1"/>
  <c r="K247" i="544" s="1"/>
  <c r="M247" i="544" s="1"/>
  <c r="H247" i="544"/>
  <c r="V246" i="544"/>
  <c r="W246" i="544" s="1"/>
  <c r="N246" i="544"/>
  <c r="K246" i="544" a="1"/>
  <c r="K246" i="544" s="1"/>
  <c r="M246" i="544" s="1"/>
  <c r="J246" i="544" a="1"/>
  <c r="J246" i="544" s="1"/>
  <c r="H246" i="544"/>
  <c r="V245" i="544"/>
  <c r="W245" i="544" s="1"/>
  <c r="N245" i="544"/>
  <c r="K245" i="544" a="1"/>
  <c r="K245" i="544" s="1"/>
  <c r="M245" i="544" s="1"/>
  <c r="J245" i="544" a="1"/>
  <c r="J245" i="544" s="1"/>
  <c r="H245" i="544"/>
  <c r="V244" i="544"/>
  <c r="W244" i="544" s="1"/>
  <c r="N244" i="544"/>
  <c r="K244" i="544"/>
  <c r="M244" i="544" s="1"/>
  <c r="K244" i="544" a="1"/>
  <c r="J244" i="544"/>
  <c r="J244" i="544" a="1"/>
  <c r="H244" i="544"/>
  <c r="V243" i="544"/>
  <c r="W243" i="544" s="1"/>
  <c r="N243" i="544"/>
  <c r="K243" i="544" a="1"/>
  <c r="K243" i="544" s="1"/>
  <c r="M243" i="544" s="1"/>
  <c r="J243" i="544" a="1"/>
  <c r="J243" i="544" s="1"/>
  <c r="H243" i="544"/>
  <c r="M242" i="544"/>
  <c r="H242" i="544"/>
  <c r="V241" i="544"/>
  <c r="W241" i="544" s="1"/>
  <c r="N241" i="544"/>
  <c r="K241" i="544" a="1"/>
  <c r="K241" i="544" s="1"/>
  <c r="M241" i="544" s="1"/>
  <c r="J241" i="544" a="1"/>
  <c r="J241" i="544" s="1"/>
  <c r="H241" i="544"/>
  <c r="V240" i="544"/>
  <c r="W240" i="544" s="1"/>
  <c r="N240" i="544"/>
  <c r="K240" i="544" a="1"/>
  <c r="K240" i="544" s="1"/>
  <c r="M240" i="544" s="1"/>
  <c r="J240" i="544" a="1"/>
  <c r="J240" i="544" s="1"/>
  <c r="H240" i="544"/>
  <c r="K239" i="544" a="1"/>
  <c r="K239" i="544" s="1"/>
  <c r="M239" i="544" s="1"/>
  <c r="H239" i="544"/>
  <c r="H238" i="544"/>
  <c r="V237" i="544"/>
  <c r="W237" i="544" s="1"/>
  <c r="N237" i="544"/>
  <c r="K237" i="544" a="1"/>
  <c r="K237" i="544" s="1"/>
  <c r="M237" i="544" s="1"/>
  <c r="J237" i="544" a="1"/>
  <c r="J237" i="544" s="1"/>
  <c r="H237" i="544"/>
  <c r="V236" i="544"/>
  <c r="W236" i="544" s="1"/>
  <c r="N236" i="544"/>
  <c r="K236" i="544"/>
  <c r="M236" i="544" s="1"/>
  <c r="K236" i="544" a="1"/>
  <c r="J236" i="544"/>
  <c r="J236" i="544" a="1"/>
  <c r="H236" i="544"/>
  <c r="V235" i="544"/>
  <c r="W235" i="544" s="1"/>
  <c r="N235" i="544"/>
  <c r="K235" i="544" a="1"/>
  <c r="K235" i="544" s="1"/>
  <c r="M235" i="544" s="1"/>
  <c r="J235" i="544" a="1"/>
  <c r="J235" i="544" s="1"/>
  <c r="H235" i="544"/>
  <c r="V234" i="544"/>
  <c r="W234" i="544" s="1"/>
  <c r="N234" i="544"/>
  <c r="K234" i="544" a="1"/>
  <c r="K234" i="544" s="1"/>
  <c r="M234" i="544" s="1"/>
  <c r="J234" i="544" a="1"/>
  <c r="J234" i="544" s="1"/>
  <c r="H234" i="544"/>
  <c r="V233" i="544"/>
  <c r="W233" i="544" s="1"/>
  <c r="N233" i="544"/>
  <c r="K233" i="544" a="1"/>
  <c r="K233" i="544" s="1"/>
  <c r="M233" i="544" s="1"/>
  <c r="J233" i="544" a="1"/>
  <c r="J233" i="544" s="1"/>
  <c r="H233" i="544"/>
  <c r="V232" i="544"/>
  <c r="W232" i="544" s="1"/>
  <c r="N232" i="544"/>
  <c r="K232" i="544"/>
  <c r="M232" i="544" s="1"/>
  <c r="K232" i="544" a="1"/>
  <c r="J232" i="544"/>
  <c r="J232" i="544" a="1"/>
  <c r="H232" i="544"/>
  <c r="V231" i="544"/>
  <c r="W231" i="544" s="1"/>
  <c r="N231" i="544"/>
  <c r="K231" i="544" a="1"/>
  <c r="K231" i="544" s="1"/>
  <c r="M231" i="544" s="1"/>
  <c r="J231" i="544" a="1"/>
  <c r="J231" i="544" s="1"/>
  <c r="H231" i="544"/>
  <c r="V230" i="544"/>
  <c r="W230" i="544" s="1"/>
  <c r="N230" i="544"/>
  <c r="K230" i="544" a="1"/>
  <c r="K230" i="544" s="1"/>
  <c r="M230" i="544" s="1"/>
  <c r="J230" i="544" a="1"/>
  <c r="J230" i="544" s="1"/>
  <c r="H230" i="544"/>
  <c r="V229" i="544"/>
  <c r="W229" i="544" s="1"/>
  <c r="N229" i="544"/>
  <c r="K229" i="544" a="1"/>
  <c r="K229" i="544" s="1"/>
  <c r="M229" i="544" s="1"/>
  <c r="J229" i="544" a="1"/>
  <c r="J229" i="544" s="1"/>
  <c r="H229" i="544"/>
  <c r="V228" i="544"/>
  <c r="W228" i="544" s="1"/>
  <c r="N228" i="544"/>
  <c r="K228" i="544"/>
  <c r="M228" i="544" s="1"/>
  <c r="K228" i="544" a="1"/>
  <c r="J228" i="544"/>
  <c r="J228" i="544" a="1"/>
  <c r="H228" i="544"/>
  <c r="N227" i="544"/>
  <c r="K227" i="544" a="1"/>
  <c r="K227" i="544" s="1"/>
  <c r="M227" i="544" s="1"/>
  <c r="H227" i="544"/>
  <c r="N226" i="544"/>
  <c r="K226" i="544" a="1"/>
  <c r="K226" i="544" s="1"/>
  <c r="M226" i="544" s="1"/>
  <c r="H226" i="544"/>
  <c r="N225" i="544"/>
  <c r="K225" i="544" a="1"/>
  <c r="K225" i="544" s="1"/>
  <c r="M225" i="544" s="1"/>
  <c r="H225" i="544"/>
  <c r="N224" i="544"/>
  <c r="K224" i="544"/>
  <c r="M224" i="544" s="1"/>
  <c r="K224" i="544" a="1"/>
  <c r="H224" i="544"/>
  <c r="N223" i="544"/>
  <c r="K223" i="544" a="1"/>
  <c r="K223" i="544" s="1"/>
  <c r="M223" i="544" s="1"/>
  <c r="H223" i="544"/>
  <c r="N222" i="544"/>
  <c r="K222" i="544" a="1"/>
  <c r="K222" i="544" s="1"/>
  <c r="M222" i="544" s="1"/>
  <c r="H222" i="544"/>
  <c r="N221" i="544"/>
  <c r="K221" i="544" a="1"/>
  <c r="K221" i="544" s="1"/>
  <c r="M221" i="544" s="1"/>
  <c r="H221" i="544"/>
  <c r="N220" i="544"/>
  <c r="K220" i="544"/>
  <c r="M220" i="544" s="1"/>
  <c r="K220" i="544" a="1"/>
  <c r="H220" i="544"/>
  <c r="V219" i="544"/>
  <c r="W219" i="544" s="1"/>
  <c r="N219" i="544"/>
  <c r="K219" i="544" a="1"/>
  <c r="K219" i="544" s="1"/>
  <c r="M219" i="544" s="1"/>
  <c r="J219" i="544" a="1"/>
  <c r="J219" i="544" s="1"/>
  <c r="H219" i="544"/>
  <c r="V218" i="544"/>
  <c r="W218" i="544" s="1"/>
  <c r="N218" i="544"/>
  <c r="K218" i="544" a="1"/>
  <c r="K218" i="544" s="1"/>
  <c r="M218" i="544" s="1"/>
  <c r="J218" i="544" a="1"/>
  <c r="J218" i="544" s="1"/>
  <c r="H218" i="544"/>
  <c r="V217" i="544"/>
  <c r="W217" i="544" s="1"/>
  <c r="N217" i="544"/>
  <c r="K217" i="544" a="1"/>
  <c r="K217" i="544" s="1"/>
  <c r="M217" i="544" s="1"/>
  <c r="J217" i="544" a="1"/>
  <c r="J217" i="544" s="1"/>
  <c r="H217" i="544"/>
  <c r="V216" i="544"/>
  <c r="W216" i="544" s="1"/>
  <c r="N216" i="544"/>
  <c r="K216" i="544"/>
  <c r="M216" i="544" s="1"/>
  <c r="K216" i="544" a="1"/>
  <c r="J216" i="544"/>
  <c r="J216" i="544" a="1"/>
  <c r="H216" i="544"/>
  <c r="V215" i="544"/>
  <c r="W215" i="544" s="1"/>
  <c r="N215" i="544"/>
  <c r="K215" i="544" a="1"/>
  <c r="K215" i="544" s="1"/>
  <c r="M215" i="544" s="1"/>
  <c r="J215" i="544" a="1"/>
  <c r="J215" i="544" s="1"/>
  <c r="H215" i="544"/>
  <c r="V214" i="544"/>
  <c r="W214" i="544" s="1"/>
  <c r="N214" i="544"/>
  <c r="K214" i="544" a="1"/>
  <c r="K214" i="544" s="1"/>
  <c r="M214" i="544" s="1"/>
  <c r="J214" i="544" a="1"/>
  <c r="J214" i="544" s="1"/>
  <c r="H214" i="544"/>
  <c r="V213" i="544"/>
  <c r="W213" i="544" s="1"/>
  <c r="N213" i="544"/>
  <c r="K213" i="544" a="1"/>
  <c r="K213" i="544" s="1"/>
  <c r="M213" i="544" s="1"/>
  <c r="J213" i="544" a="1"/>
  <c r="J213" i="544" s="1"/>
  <c r="H213" i="544"/>
  <c r="V212" i="544"/>
  <c r="W212" i="544" s="1"/>
  <c r="N212" i="544"/>
  <c r="K212" i="544"/>
  <c r="M212" i="544" s="1"/>
  <c r="K212" i="544" a="1"/>
  <c r="J212" i="544"/>
  <c r="J212" i="544" a="1"/>
  <c r="H212" i="544"/>
  <c r="V211" i="544"/>
  <c r="W211" i="544" s="1"/>
  <c r="N211" i="544"/>
  <c r="K211" i="544" a="1"/>
  <c r="K211" i="544" s="1"/>
  <c r="M211" i="544" s="1"/>
  <c r="J211" i="544" a="1"/>
  <c r="J211" i="544" s="1"/>
  <c r="H211" i="544"/>
  <c r="V210" i="544"/>
  <c r="W210" i="544" s="1"/>
  <c r="N210" i="544"/>
  <c r="K210" i="544" a="1"/>
  <c r="K210" i="544" s="1"/>
  <c r="M210" i="544" s="1"/>
  <c r="J210" i="544" a="1"/>
  <c r="J210" i="544" s="1"/>
  <c r="H210" i="544"/>
  <c r="V209" i="544"/>
  <c r="W209" i="544" s="1"/>
  <c r="N209" i="544"/>
  <c r="K209" i="544" a="1"/>
  <c r="K209" i="544" s="1"/>
  <c r="M209" i="544" s="1"/>
  <c r="H209" i="544"/>
  <c r="V208" i="544"/>
  <c r="W208" i="544" s="1"/>
  <c r="N208" i="544"/>
  <c r="K208" i="544"/>
  <c r="M208" i="544" s="1"/>
  <c r="K208" i="544" a="1"/>
  <c r="H208" i="544"/>
  <c r="H207" i="544"/>
  <c r="H206" i="544"/>
  <c r="H205" i="544"/>
  <c r="W204" i="544"/>
  <c r="V204" i="544"/>
  <c r="N204" i="544"/>
  <c r="H204" i="544"/>
  <c r="V203" i="544"/>
  <c r="W203" i="544" s="1"/>
  <c r="N203" i="544"/>
  <c r="H203" i="544"/>
  <c r="V202" i="544"/>
  <c r="W202" i="544" s="1"/>
  <c r="N202" i="544"/>
  <c r="H202" i="544"/>
  <c r="H201" i="544"/>
  <c r="V200" i="544"/>
  <c r="N200" i="544"/>
  <c r="K200" i="544" a="1"/>
  <c r="K200" i="544" s="1"/>
  <c r="J200" i="544" a="1"/>
  <c r="J200" i="544" s="1"/>
  <c r="H200" i="544"/>
  <c r="AA199" i="544"/>
  <c r="AA335" i="544" s="1"/>
  <c r="Z199" i="544"/>
  <c r="Z335" i="544" s="1"/>
  <c r="Y199" i="544"/>
  <c r="Y335" i="544" s="1"/>
  <c r="X199" i="544"/>
  <c r="X335" i="544" s="1"/>
  <c r="U199" i="544"/>
  <c r="U335" i="544" s="1"/>
  <c r="T199" i="544"/>
  <c r="T335" i="544" s="1"/>
  <c r="S199" i="544"/>
  <c r="S335" i="544" s="1"/>
  <c r="R199" i="544"/>
  <c r="R335" i="544" s="1"/>
  <c r="Q199" i="544"/>
  <c r="Q335" i="544" s="1"/>
  <c r="P199" i="544"/>
  <c r="O199" i="544"/>
  <c r="I335" i="544"/>
  <c r="B343" i="544" s="1"/>
  <c r="G199" i="544"/>
  <c r="G335" i="544" s="1"/>
  <c r="V198" i="544"/>
  <c r="W198" i="544" s="1"/>
  <c r="N198" i="544"/>
  <c r="K198" i="544" a="1"/>
  <c r="K198" i="544" s="1"/>
  <c r="M198" i="544" s="1"/>
  <c r="J198" i="544" a="1"/>
  <c r="J198" i="544" s="1"/>
  <c r="H198" i="544"/>
  <c r="V197" i="544"/>
  <c r="W197" i="544" s="1"/>
  <c r="N197" i="544"/>
  <c r="K197" i="544" a="1"/>
  <c r="K197" i="544" s="1"/>
  <c r="M197" i="544" s="1"/>
  <c r="J197" i="544" a="1"/>
  <c r="J197" i="544" s="1"/>
  <c r="H197" i="544"/>
  <c r="K196" i="544"/>
  <c r="M196" i="544" s="1"/>
  <c r="K196" i="544" a="1"/>
  <c r="H196" i="544"/>
  <c r="K195" i="544" a="1"/>
  <c r="K195" i="544" s="1"/>
  <c r="M195" i="544" s="1"/>
  <c r="H195" i="544"/>
  <c r="K194" i="544"/>
  <c r="M194" i="544" s="1"/>
  <c r="K194" i="544" a="1"/>
  <c r="H194" i="544"/>
  <c r="K193" i="544" a="1"/>
  <c r="K193" i="544" s="1"/>
  <c r="M193" i="544" s="1"/>
  <c r="H193" i="544"/>
  <c r="V192" i="544"/>
  <c r="W192" i="544" s="1"/>
  <c r="N192" i="544"/>
  <c r="K192" i="544" a="1"/>
  <c r="K192" i="544" s="1"/>
  <c r="M192" i="544" s="1"/>
  <c r="J192" i="544" a="1"/>
  <c r="J192" i="544" s="1"/>
  <c r="H192" i="544"/>
  <c r="V191" i="544"/>
  <c r="W191" i="544" s="1"/>
  <c r="N191" i="544"/>
  <c r="K191" i="544"/>
  <c r="M191" i="544" s="1"/>
  <c r="K191" i="544" a="1"/>
  <c r="J191" i="544"/>
  <c r="J191" i="544" a="1"/>
  <c r="H191" i="544"/>
  <c r="V190" i="544"/>
  <c r="W190" i="544" s="1"/>
  <c r="N190" i="544"/>
  <c r="K190" i="544" a="1"/>
  <c r="K190" i="544" s="1"/>
  <c r="M190" i="544" s="1"/>
  <c r="J190" i="544" a="1"/>
  <c r="J190" i="544" s="1"/>
  <c r="H190" i="544"/>
  <c r="N189" i="544"/>
  <c r="K189" i="544"/>
  <c r="M189" i="544" s="1"/>
  <c r="K189" i="544" a="1"/>
  <c r="J189" i="544"/>
  <c r="J189" i="544" a="1"/>
  <c r="H189" i="544"/>
  <c r="N188" i="544"/>
  <c r="K188" i="544" a="1"/>
  <c r="K188" i="544" s="1"/>
  <c r="M188" i="544" s="1"/>
  <c r="J188" i="544" a="1"/>
  <c r="J188" i="544" s="1"/>
  <c r="H188" i="544"/>
  <c r="V187" i="544"/>
  <c r="W187" i="544" s="1"/>
  <c r="N187" i="544"/>
  <c r="K187" i="544"/>
  <c r="M187" i="544" s="1"/>
  <c r="K187" i="544" a="1"/>
  <c r="J187" i="544"/>
  <c r="J187" i="544" a="1"/>
  <c r="H187" i="544"/>
  <c r="V186" i="544"/>
  <c r="W186" i="544" s="1"/>
  <c r="N186" i="544"/>
  <c r="K186" i="544" a="1"/>
  <c r="K186" i="544" s="1"/>
  <c r="M186" i="544" s="1"/>
  <c r="J186" i="544" a="1"/>
  <c r="J186" i="544" s="1"/>
  <c r="H186" i="544"/>
  <c r="N185" i="544"/>
  <c r="K185" i="544"/>
  <c r="M185" i="544" s="1"/>
  <c r="K185" i="544" a="1"/>
  <c r="H185" i="544"/>
  <c r="N184" i="544"/>
  <c r="K184" i="544" a="1"/>
  <c r="K184" i="544" s="1"/>
  <c r="M184" i="544" s="1"/>
  <c r="H184" i="544"/>
  <c r="W183" i="544"/>
  <c r="V183" i="544"/>
  <c r="N183" i="544"/>
  <c r="K183" i="544" a="1"/>
  <c r="K183" i="544" s="1"/>
  <c r="M183" i="544" s="1"/>
  <c r="J183" i="544" a="1"/>
  <c r="J183" i="544" s="1"/>
  <c r="H183" i="544"/>
  <c r="V182" i="544"/>
  <c r="W182" i="544" s="1"/>
  <c r="N182" i="544"/>
  <c r="K182" i="544" a="1"/>
  <c r="K182" i="544" s="1"/>
  <c r="M182" i="544" s="1"/>
  <c r="J182" i="544" a="1"/>
  <c r="J182" i="544" s="1"/>
  <c r="H182" i="544"/>
  <c r="V181" i="544"/>
  <c r="W181" i="544" s="1"/>
  <c r="N181" i="544"/>
  <c r="K181" i="544" a="1"/>
  <c r="K181" i="544" s="1"/>
  <c r="M181" i="544" s="1"/>
  <c r="J181" i="544" a="1"/>
  <c r="J181" i="544" s="1"/>
  <c r="H181" i="544"/>
  <c r="V180" i="544"/>
  <c r="W180" i="544" s="1"/>
  <c r="N180" i="544"/>
  <c r="K180" i="544" a="1"/>
  <c r="K180" i="544" s="1"/>
  <c r="M180" i="544" s="1"/>
  <c r="J180" i="544" a="1"/>
  <c r="J180" i="544" s="1"/>
  <c r="H180" i="544"/>
  <c r="V179" i="544"/>
  <c r="W179" i="544" s="1"/>
  <c r="N179" i="544"/>
  <c r="K179" i="544"/>
  <c r="M179" i="544" s="1"/>
  <c r="K179" i="544" a="1"/>
  <c r="J179" i="544"/>
  <c r="J179" i="544" a="1"/>
  <c r="H179" i="544"/>
  <c r="V178" i="544"/>
  <c r="N178" i="544"/>
  <c r="N199" i="544" s="1"/>
  <c r="K178" i="544" a="1"/>
  <c r="K178" i="544" s="1"/>
  <c r="J178" i="544" a="1"/>
  <c r="J178" i="544" s="1"/>
  <c r="H178" i="544"/>
  <c r="X171" i="544"/>
  <c r="Q529" i="544" s="1"/>
  <c r="X170" i="544"/>
  <c r="Q528" i="544" s="1"/>
  <c r="G170" i="544"/>
  <c r="C170" i="544"/>
  <c r="X169" i="544"/>
  <c r="Q527" i="544" s="1"/>
  <c r="I169" i="544"/>
  <c r="E169" i="544"/>
  <c r="K169" i="544" s="1"/>
  <c r="M169" i="544" s="1"/>
  <c r="I168" i="544"/>
  <c r="E168" i="544"/>
  <c r="K168" i="544" s="1"/>
  <c r="M168" i="544" s="1"/>
  <c r="I167" i="544"/>
  <c r="E167" i="544"/>
  <c r="K167" i="544" s="1"/>
  <c r="M167" i="544" s="1"/>
  <c r="X166" i="544"/>
  <c r="Q524" i="544" s="1"/>
  <c r="I166" i="544"/>
  <c r="I170" i="544" s="1"/>
  <c r="E166" i="544"/>
  <c r="E170" i="544" s="1"/>
  <c r="AA163" i="544"/>
  <c r="Z163" i="544"/>
  <c r="Y163" i="544"/>
  <c r="X163" i="544"/>
  <c r="U163" i="544"/>
  <c r="T163" i="544"/>
  <c r="S163" i="544"/>
  <c r="R163" i="544"/>
  <c r="Q163" i="544"/>
  <c r="P163" i="544"/>
  <c r="O163" i="544"/>
  <c r="R171" i="544" s="1"/>
  <c r="I163" i="544"/>
  <c r="G163" i="544"/>
  <c r="C529" i="544" s="1"/>
  <c r="H162" i="544"/>
  <c r="H161" i="544"/>
  <c r="H160" i="544"/>
  <c r="V159" i="544"/>
  <c r="W159" i="544" s="1"/>
  <c r="N159" i="544"/>
  <c r="K159" i="544"/>
  <c r="K159" i="544" a="1"/>
  <c r="J159" i="544" a="1"/>
  <c r="J159" i="544" s="1"/>
  <c r="H159" i="544"/>
  <c r="D159" i="544"/>
  <c r="V158" i="544"/>
  <c r="W158" i="544" s="1"/>
  <c r="N158" i="544"/>
  <c r="K158" i="544" a="1"/>
  <c r="K158" i="544" s="1"/>
  <c r="M158" i="544" s="1"/>
  <c r="J158" i="544" a="1"/>
  <c r="J158" i="544" s="1"/>
  <c r="H158" i="544"/>
  <c r="H157" i="544"/>
  <c r="H156" i="544"/>
  <c r="V155" i="544"/>
  <c r="W155" i="544" s="1"/>
  <c r="N155" i="544"/>
  <c r="K155" i="544" a="1"/>
  <c r="K155" i="544" s="1"/>
  <c r="M155" i="544" s="1"/>
  <c r="J155" i="544" a="1"/>
  <c r="J155" i="544" s="1"/>
  <c r="H155" i="544"/>
  <c r="V154" i="544"/>
  <c r="W154" i="544" s="1"/>
  <c r="N154" i="544"/>
  <c r="K154" i="544"/>
  <c r="M154" i="544" s="1"/>
  <c r="K154" i="544" a="1"/>
  <c r="J154" i="544"/>
  <c r="J154" i="544" a="1"/>
  <c r="H154" i="544"/>
  <c r="H153" i="544"/>
  <c r="V152" i="544"/>
  <c r="W152" i="544" s="1"/>
  <c r="N152" i="544"/>
  <c r="K152" i="544" a="1"/>
  <c r="K152" i="544" s="1"/>
  <c r="M152" i="544" s="1"/>
  <c r="J152" i="544" a="1"/>
  <c r="J152" i="544" s="1"/>
  <c r="H152" i="544"/>
  <c r="V151" i="544"/>
  <c r="W151" i="544" s="1"/>
  <c r="N151" i="544"/>
  <c r="K151" i="544" a="1"/>
  <c r="K151" i="544" s="1"/>
  <c r="M151" i="544" s="1"/>
  <c r="J151" i="544" a="1"/>
  <c r="J151" i="544" s="1"/>
  <c r="H151" i="544"/>
  <c r="V150" i="544"/>
  <c r="W150" i="544" s="1"/>
  <c r="N150" i="544"/>
  <c r="K150" i="544"/>
  <c r="M150" i="544" s="1"/>
  <c r="K150" i="544" a="1"/>
  <c r="J150" i="544"/>
  <c r="J150" i="544" a="1"/>
  <c r="H150" i="544"/>
  <c r="V149" i="544"/>
  <c r="W149" i="544" s="1"/>
  <c r="N149" i="544"/>
  <c r="N163" i="544" s="1"/>
  <c r="K149" i="544" a="1"/>
  <c r="K149" i="544" s="1"/>
  <c r="J149" i="544" a="1"/>
  <c r="J149" i="544" s="1"/>
  <c r="H149" i="544"/>
  <c r="AA148" i="544"/>
  <c r="Z148" i="544"/>
  <c r="Y148" i="544"/>
  <c r="X148" i="544"/>
  <c r="U148" i="544"/>
  <c r="T148" i="544"/>
  <c r="S148" i="544"/>
  <c r="Q148" i="544"/>
  <c r="P148" i="544"/>
  <c r="O148" i="544"/>
  <c r="I148" i="544"/>
  <c r="G148" i="544"/>
  <c r="C528" i="544" s="1"/>
  <c r="V147" i="544"/>
  <c r="W147" i="544" s="1"/>
  <c r="N147" i="544"/>
  <c r="K147" i="544" a="1"/>
  <c r="K147" i="544" s="1"/>
  <c r="M147" i="544" s="1"/>
  <c r="J147" i="544" a="1"/>
  <c r="J147" i="544" s="1"/>
  <c r="H147" i="544"/>
  <c r="K145" i="544" a="1"/>
  <c r="K145" i="544" s="1"/>
  <c r="H145" i="544"/>
  <c r="K144" i="544" a="1"/>
  <c r="K144" i="544" s="1"/>
  <c r="H144" i="544"/>
  <c r="K143" i="544" a="1"/>
  <c r="K143" i="544" s="1"/>
  <c r="H143" i="544"/>
  <c r="V142" i="544"/>
  <c r="W142" i="544" s="1"/>
  <c r="N142" i="544"/>
  <c r="K142" i="544" a="1"/>
  <c r="K142" i="544" s="1"/>
  <c r="M142" i="544" s="1"/>
  <c r="J142" i="544" a="1"/>
  <c r="J142" i="544" s="1"/>
  <c r="H142" i="544"/>
  <c r="V141" i="544"/>
  <c r="W141" i="544" s="1"/>
  <c r="N141" i="544"/>
  <c r="K141" i="544" a="1"/>
  <c r="K141" i="544" s="1"/>
  <c r="M141" i="544" s="1"/>
  <c r="J141" i="544" a="1"/>
  <c r="J141" i="544" s="1"/>
  <c r="H141" i="544"/>
  <c r="V140" i="544"/>
  <c r="W140" i="544" s="1"/>
  <c r="N140" i="544"/>
  <c r="K140" i="544" a="1"/>
  <c r="K140" i="544" s="1"/>
  <c r="M140" i="544" s="1"/>
  <c r="J140" i="544" a="1"/>
  <c r="J140" i="544" s="1"/>
  <c r="H140" i="544"/>
  <c r="V139" i="544"/>
  <c r="W139" i="544" s="1"/>
  <c r="N139" i="544"/>
  <c r="K139" i="544"/>
  <c r="M139" i="544" s="1"/>
  <c r="K139" i="544" a="1"/>
  <c r="J139" i="544" a="1"/>
  <c r="J139" i="544" s="1"/>
  <c r="H139" i="544"/>
  <c r="V138" i="544"/>
  <c r="V148" i="544" s="1"/>
  <c r="W148" i="544" s="1"/>
  <c r="N138" i="544"/>
  <c r="N148" i="544" s="1"/>
  <c r="K138" i="544" a="1"/>
  <c r="K138" i="544" s="1"/>
  <c r="M138" i="544" s="1"/>
  <c r="J138" i="544" a="1"/>
  <c r="J138" i="544" s="1"/>
  <c r="H138" i="544"/>
  <c r="AA137" i="544"/>
  <c r="Z137" i="544"/>
  <c r="Y137" i="544"/>
  <c r="X137" i="544"/>
  <c r="U137" i="544"/>
  <c r="T137" i="544"/>
  <c r="S137" i="544"/>
  <c r="Q137" i="544"/>
  <c r="P137" i="544"/>
  <c r="O137" i="544"/>
  <c r="R169" i="544" s="1"/>
  <c r="I137" i="544"/>
  <c r="G137" i="544"/>
  <c r="C527" i="544" s="1"/>
  <c r="V136" i="544"/>
  <c r="W136" i="544" s="1"/>
  <c r="N136" i="544"/>
  <c r="K136" i="544" a="1"/>
  <c r="K136" i="544" s="1"/>
  <c r="M136" i="544" s="1"/>
  <c r="J136" i="544" a="1"/>
  <c r="J136" i="544" s="1"/>
  <c r="H136" i="544"/>
  <c r="V135" i="544"/>
  <c r="W135" i="544" s="1"/>
  <c r="N135" i="544"/>
  <c r="K135" i="544"/>
  <c r="M135" i="544" s="1"/>
  <c r="K135" i="544" a="1"/>
  <c r="J135" i="544" a="1"/>
  <c r="J135" i="544" s="1"/>
  <c r="H135" i="544"/>
  <c r="V134" i="544"/>
  <c r="W134" i="544" s="1"/>
  <c r="N134" i="544"/>
  <c r="K134" i="544" a="1"/>
  <c r="K134" i="544" s="1"/>
  <c r="M134" i="544" s="1"/>
  <c r="J134" i="544" a="1"/>
  <c r="J134" i="544" s="1"/>
  <c r="H134" i="544"/>
  <c r="V133" i="544"/>
  <c r="W133" i="544" s="1"/>
  <c r="N133" i="544"/>
  <c r="K133" i="544"/>
  <c r="M133" i="544" s="1"/>
  <c r="K133" i="544" a="1"/>
  <c r="J133" i="544"/>
  <c r="J133" i="544" a="1"/>
  <c r="H133" i="544"/>
  <c r="V132" i="544"/>
  <c r="W132" i="544" s="1"/>
  <c r="N132" i="544"/>
  <c r="K132" i="544" a="1"/>
  <c r="K132" i="544" s="1"/>
  <c r="M132" i="544" s="1"/>
  <c r="J132" i="544" a="1"/>
  <c r="J132" i="544" s="1"/>
  <c r="H132" i="544"/>
  <c r="V131" i="544"/>
  <c r="W131" i="544" s="1"/>
  <c r="N131" i="544"/>
  <c r="K131" i="544" a="1"/>
  <c r="K131" i="544" s="1"/>
  <c r="M131" i="544" s="1"/>
  <c r="J131" i="544" a="1"/>
  <c r="J131" i="544" s="1"/>
  <c r="H131" i="544"/>
  <c r="V130" i="544"/>
  <c r="W130" i="544" s="1"/>
  <c r="N130" i="544"/>
  <c r="K130" i="544" a="1"/>
  <c r="K130" i="544" s="1"/>
  <c r="M130" i="544" s="1"/>
  <c r="J130" i="544" a="1"/>
  <c r="J130" i="544" s="1"/>
  <c r="H130" i="544"/>
  <c r="V129" i="544"/>
  <c r="W129" i="544" s="1"/>
  <c r="N129" i="544"/>
  <c r="K129" i="544"/>
  <c r="M129" i="544" s="1"/>
  <c r="K129" i="544" a="1"/>
  <c r="J129" i="544"/>
  <c r="J129" i="544" a="1"/>
  <c r="H129" i="544"/>
  <c r="V128" i="544"/>
  <c r="W128" i="544" s="1"/>
  <c r="N128" i="544"/>
  <c r="K128" i="544" a="1"/>
  <c r="K128" i="544" s="1"/>
  <c r="M128" i="544" s="1"/>
  <c r="J128" i="544" a="1"/>
  <c r="J128" i="544" s="1"/>
  <c r="H128" i="544"/>
  <c r="V127" i="544"/>
  <c r="W127" i="544" s="1"/>
  <c r="N127" i="544"/>
  <c r="K127" i="544" a="1"/>
  <c r="K127" i="544" s="1"/>
  <c r="M127" i="544" s="1"/>
  <c r="J127" i="544" a="1"/>
  <c r="J127" i="544" s="1"/>
  <c r="H127" i="544"/>
  <c r="V126" i="544"/>
  <c r="W126" i="544" s="1"/>
  <c r="N126" i="544"/>
  <c r="K126" i="544" a="1"/>
  <c r="K126" i="544" s="1"/>
  <c r="M126" i="544" s="1"/>
  <c r="J126" i="544" a="1"/>
  <c r="J126" i="544" s="1"/>
  <c r="H126" i="544"/>
  <c r="V125" i="544"/>
  <c r="W125" i="544" s="1"/>
  <c r="N125" i="544"/>
  <c r="K125" i="544"/>
  <c r="M125" i="544" s="1"/>
  <c r="K125" i="544" a="1"/>
  <c r="J125" i="544"/>
  <c r="J125" i="544" a="1"/>
  <c r="H125" i="544"/>
  <c r="V124" i="544"/>
  <c r="W124" i="544" s="1"/>
  <c r="N124" i="544"/>
  <c r="K124" i="544" a="1"/>
  <c r="K124" i="544" s="1"/>
  <c r="M124" i="544" s="1"/>
  <c r="J124" i="544" a="1"/>
  <c r="J124" i="544" s="1"/>
  <c r="H124" i="544"/>
  <c r="V123" i="544"/>
  <c r="W123" i="544" s="1"/>
  <c r="N123" i="544"/>
  <c r="K123" i="544" a="1"/>
  <c r="K123" i="544" s="1"/>
  <c r="M123" i="544" s="1"/>
  <c r="J123" i="544" a="1"/>
  <c r="J123" i="544" s="1"/>
  <c r="H123" i="544"/>
  <c r="V122" i="544"/>
  <c r="W122" i="544" s="1"/>
  <c r="N122" i="544"/>
  <c r="K122" i="544" a="1"/>
  <c r="K122" i="544" s="1"/>
  <c r="J122" i="544" a="1"/>
  <c r="J122" i="544" s="1"/>
  <c r="H122" i="544"/>
  <c r="AA121" i="544"/>
  <c r="Z121" i="544"/>
  <c r="Y121" i="544"/>
  <c r="X121" i="544"/>
  <c r="U121" i="544"/>
  <c r="T121" i="544"/>
  <c r="S121" i="544"/>
  <c r="R121" i="544"/>
  <c r="Q121" i="544"/>
  <c r="P121" i="544"/>
  <c r="O121" i="544"/>
  <c r="R168" i="544" s="1"/>
  <c r="I121" i="544"/>
  <c r="G121" i="544"/>
  <c r="C526" i="544" s="1"/>
  <c r="V120" i="544"/>
  <c r="W120" i="544" s="1"/>
  <c r="N120" i="544"/>
  <c r="K120" i="544" a="1"/>
  <c r="K120" i="544" s="1"/>
  <c r="M120" i="544" s="1"/>
  <c r="J120" i="544" a="1"/>
  <c r="J120" i="544" s="1"/>
  <c r="H120" i="544"/>
  <c r="V119" i="544"/>
  <c r="W119" i="544" s="1"/>
  <c r="N119" i="544"/>
  <c r="K119" i="544"/>
  <c r="M119" i="544" s="1"/>
  <c r="K119" i="544" a="1"/>
  <c r="J119" i="544"/>
  <c r="J119" i="544" a="1"/>
  <c r="H119" i="544"/>
  <c r="V118" i="544"/>
  <c r="W118" i="544" s="1"/>
  <c r="N118" i="544"/>
  <c r="K118" i="544" a="1"/>
  <c r="K118" i="544" s="1"/>
  <c r="M118" i="544" s="1"/>
  <c r="J118" i="544" a="1"/>
  <c r="J118" i="544" s="1"/>
  <c r="H118" i="544"/>
  <c r="K117" i="544" a="1"/>
  <c r="K117" i="544" s="1"/>
  <c r="H117" i="544"/>
  <c r="K116" i="544" a="1"/>
  <c r="K116" i="544" s="1"/>
  <c r="H116" i="544"/>
  <c r="K115" i="544"/>
  <c r="K115" i="544" a="1"/>
  <c r="H115" i="544"/>
  <c r="V114" i="544"/>
  <c r="W114" i="544" s="1"/>
  <c r="N114" i="544"/>
  <c r="K114" i="544" a="1"/>
  <c r="K114" i="544" s="1"/>
  <c r="M114" i="544" s="1"/>
  <c r="H114" i="544"/>
  <c r="V113" i="544"/>
  <c r="W113" i="544" s="1"/>
  <c r="N113" i="544"/>
  <c r="K113" i="544" a="1"/>
  <c r="K113" i="544" s="1"/>
  <c r="M113" i="544" s="1"/>
  <c r="H113" i="544"/>
  <c r="N112" i="544"/>
  <c r="K112" i="544" a="1"/>
  <c r="K112" i="544" s="1"/>
  <c r="M112" i="544" s="1"/>
  <c r="H112" i="544"/>
  <c r="N111" i="544"/>
  <c r="K111" i="544" a="1"/>
  <c r="K111" i="544" s="1"/>
  <c r="M111" i="544" s="1"/>
  <c r="H111" i="544"/>
  <c r="N110" i="544"/>
  <c r="K110" i="544" a="1"/>
  <c r="K110" i="544" s="1"/>
  <c r="M110" i="544" s="1"/>
  <c r="H110" i="544"/>
  <c r="N109" i="544"/>
  <c r="K109" i="544" a="1"/>
  <c r="K109" i="544" s="1"/>
  <c r="M109" i="544" s="1"/>
  <c r="H109" i="544"/>
  <c r="N108" i="544"/>
  <c r="K108" i="544" a="1"/>
  <c r="K108" i="544" s="1"/>
  <c r="M108" i="544" s="1"/>
  <c r="H108" i="544"/>
  <c r="N107" i="544"/>
  <c r="K107" i="544" a="1"/>
  <c r="K107" i="544" s="1"/>
  <c r="M107" i="544" s="1"/>
  <c r="H107" i="544"/>
  <c r="V106" i="544"/>
  <c r="W106" i="544" s="1"/>
  <c r="N106" i="544"/>
  <c r="K106" i="544" a="1"/>
  <c r="K106" i="544" s="1"/>
  <c r="M106" i="544" s="1"/>
  <c r="H106" i="544"/>
  <c r="V105" i="544"/>
  <c r="W105" i="544" s="1"/>
  <c r="N105" i="544"/>
  <c r="K105" i="544"/>
  <c r="M105" i="544" s="1"/>
  <c r="K105" i="544" a="1"/>
  <c r="H105" i="544"/>
  <c r="V104" i="544"/>
  <c r="W104" i="544" s="1"/>
  <c r="N104" i="544"/>
  <c r="K104" i="544" a="1"/>
  <c r="K104" i="544" s="1"/>
  <c r="M104" i="544" s="1"/>
  <c r="H104" i="544"/>
  <c r="V103" i="544"/>
  <c r="W103" i="544" s="1"/>
  <c r="N103" i="544"/>
  <c r="K103" i="544"/>
  <c r="M103" i="544" s="1"/>
  <c r="K103" i="544" a="1"/>
  <c r="H103" i="544"/>
  <c r="V102" i="544"/>
  <c r="W102" i="544" s="1"/>
  <c r="N102" i="544"/>
  <c r="K102" i="544" a="1"/>
  <c r="K102" i="544" s="1"/>
  <c r="M102" i="544" s="1"/>
  <c r="H102" i="544"/>
  <c r="V101" i="544"/>
  <c r="W101" i="544" s="1"/>
  <c r="N101" i="544"/>
  <c r="K101" i="544"/>
  <c r="M101" i="544" s="1"/>
  <c r="K101" i="544" a="1"/>
  <c r="H101" i="544"/>
  <c r="V100" i="544"/>
  <c r="W100" i="544" s="1"/>
  <c r="N100" i="544"/>
  <c r="K100" i="544" a="1"/>
  <c r="K100" i="544" s="1"/>
  <c r="M100" i="544" s="1"/>
  <c r="H100" i="544"/>
  <c r="V99" i="544"/>
  <c r="W99" i="544" s="1"/>
  <c r="N99" i="544"/>
  <c r="K99" i="544" a="1"/>
  <c r="K99" i="544" s="1"/>
  <c r="M99" i="544" s="1"/>
  <c r="H99" i="544"/>
  <c r="V98" i="544"/>
  <c r="W98" i="544" s="1"/>
  <c r="N98" i="544"/>
  <c r="K98" i="544" a="1"/>
  <c r="K98" i="544" s="1"/>
  <c r="M98" i="544" s="1"/>
  <c r="H98" i="544"/>
  <c r="V97" i="544"/>
  <c r="W97" i="544" s="1"/>
  <c r="N97" i="544"/>
  <c r="K97" i="544"/>
  <c r="M97" i="544" s="1"/>
  <c r="K97" i="544" a="1"/>
  <c r="H97" i="544"/>
  <c r="V96" i="544"/>
  <c r="W96" i="544" s="1"/>
  <c r="N96" i="544"/>
  <c r="K96" i="544" a="1"/>
  <c r="K96" i="544" s="1"/>
  <c r="M96" i="544" s="1"/>
  <c r="H96" i="544"/>
  <c r="V95" i="544"/>
  <c r="W95" i="544" s="1"/>
  <c r="N95" i="544"/>
  <c r="K95" i="544" a="1"/>
  <c r="K95" i="544" s="1"/>
  <c r="M95" i="544" s="1"/>
  <c r="H95" i="544"/>
  <c r="K94" i="544" a="1"/>
  <c r="K94" i="544" s="1"/>
  <c r="M94" i="544" s="1"/>
  <c r="H94" i="544"/>
  <c r="V93" i="544"/>
  <c r="W93" i="544" s="1"/>
  <c r="N93" i="544"/>
  <c r="K93" i="544" a="1"/>
  <c r="K93" i="544" s="1"/>
  <c r="M93" i="544" s="1"/>
  <c r="J93" i="544" a="1"/>
  <c r="J93" i="544" s="1"/>
  <c r="H93" i="544"/>
  <c r="V92" i="544"/>
  <c r="W92" i="544" s="1"/>
  <c r="N92" i="544"/>
  <c r="K92" i="544"/>
  <c r="M92" i="544" s="1"/>
  <c r="K92" i="544" a="1"/>
  <c r="J92" i="544"/>
  <c r="J92" i="544" a="1"/>
  <c r="H92" i="544"/>
  <c r="V91" i="544"/>
  <c r="W91" i="544" s="1"/>
  <c r="N91" i="544"/>
  <c r="K91" i="544" a="1"/>
  <c r="K91" i="544" s="1"/>
  <c r="M91" i="544" s="1"/>
  <c r="J91" i="544" a="1"/>
  <c r="J91" i="544" s="1"/>
  <c r="H91" i="544"/>
  <c r="V90" i="544"/>
  <c r="W90" i="544" s="1"/>
  <c r="N90" i="544"/>
  <c r="K90" i="544" a="1"/>
  <c r="K90" i="544" s="1"/>
  <c r="M90" i="544" s="1"/>
  <c r="J90" i="544" a="1"/>
  <c r="J90" i="544" s="1"/>
  <c r="H90" i="544"/>
  <c r="V89" i="544"/>
  <c r="W89" i="544" s="1"/>
  <c r="N89" i="544"/>
  <c r="K89" i="544" a="1"/>
  <c r="K89" i="544" s="1"/>
  <c r="M89" i="544" s="1"/>
  <c r="J89" i="544" a="1"/>
  <c r="J89" i="544" s="1"/>
  <c r="H89" i="544"/>
  <c r="V88" i="544"/>
  <c r="W88" i="544" s="1"/>
  <c r="N88" i="544"/>
  <c r="K88" i="544"/>
  <c r="M88" i="544" s="1"/>
  <c r="K88" i="544" a="1"/>
  <c r="J88" i="544"/>
  <c r="J88" i="544" a="1"/>
  <c r="H88" i="544"/>
  <c r="V87" i="544"/>
  <c r="N87" i="544"/>
  <c r="K87" i="544" a="1"/>
  <c r="K87" i="544" s="1"/>
  <c r="J87" i="544" a="1"/>
  <c r="J87" i="544" s="1"/>
  <c r="H87" i="544"/>
  <c r="AA86" i="544"/>
  <c r="Z86" i="544"/>
  <c r="Y86" i="544"/>
  <c r="X86" i="544"/>
  <c r="U86" i="544"/>
  <c r="T86" i="544"/>
  <c r="S86" i="544"/>
  <c r="R86" i="544"/>
  <c r="Q86" i="544"/>
  <c r="P86" i="544"/>
  <c r="O86" i="544"/>
  <c r="R167" i="544" s="1"/>
  <c r="I86" i="544"/>
  <c r="G86" i="544"/>
  <c r="C525" i="544" s="1"/>
  <c r="K85" i="544" a="1"/>
  <c r="K85" i="544" s="1"/>
  <c r="H85" i="544"/>
  <c r="K84" i="544" a="1"/>
  <c r="K84" i="544" s="1"/>
  <c r="H84" i="544"/>
  <c r="K83" i="544" a="1"/>
  <c r="K83" i="544" s="1"/>
  <c r="H83" i="544"/>
  <c r="K82" i="544" a="1"/>
  <c r="K82" i="544" s="1"/>
  <c r="H82" i="544"/>
  <c r="K81" i="544" a="1"/>
  <c r="K81" i="544" s="1"/>
  <c r="H81" i="544"/>
  <c r="K80" i="544"/>
  <c r="K80" i="544" a="1"/>
  <c r="H80" i="544"/>
  <c r="K79" i="544" a="1"/>
  <c r="K79" i="544" s="1"/>
  <c r="M79" i="544" s="1"/>
  <c r="H79" i="544"/>
  <c r="K78" i="544" a="1"/>
  <c r="K78" i="544" s="1"/>
  <c r="M78" i="544" s="1"/>
  <c r="H78" i="544"/>
  <c r="K77" i="544" a="1"/>
  <c r="K77" i="544" s="1"/>
  <c r="M77" i="544" s="1"/>
  <c r="H77" i="544"/>
  <c r="K76" i="544" a="1"/>
  <c r="K76" i="544" s="1"/>
  <c r="M76" i="544" s="1"/>
  <c r="H76" i="544"/>
  <c r="V75" i="544"/>
  <c r="W75" i="544" s="1"/>
  <c r="N75" i="544"/>
  <c r="K75" i="544" a="1"/>
  <c r="K75" i="544" s="1"/>
  <c r="M75" i="544" s="1"/>
  <c r="J75" i="544" a="1"/>
  <c r="J75" i="544" s="1"/>
  <c r="H75" i="544"/>
  <c r="V74" i="544"/>
  <c r="W74" i="544" s="1"/>
  <c r="N74" i="544"/>
  <c r="K74" i="544"/>
  <c r="M74" i="544" s="1"/>
  <c r="K74" i="544" a="1"/>
  <c r="J74" i="544" a="1"/>
  <c r="J74" i="544" s="1"/>
  <c r="H74" i="544"/>
  <c r="V73" i="544"/>
  <c r="W73" i="544" s="1"/>
  <c r="N73" i="544"/>
  <c r="K73" i="544" a="1"/>
  <c r="K73" i="544" s="1"/>
  <c r="M73" i="544" s="1"/>
  <c r="J73" i="544" a="1"/>
  <c r="J73" i="544" s="1"/>
  <c r="H73" i="544"/>
  <c r="V72" i="544"/>
  <c r="W72" i="544" s="1"/>
  <c r="N72" i="544"/>
  <c r="K72" i="544"/>
  <c r="M72" i="544" s="1"/>
  <c r="K72" i="544" a="1"/>
  <c r="J72" i="544" a="1"/>
  <c r="J72" i="544" s="1"/>
  <c r="H72" i="544"/>
  <c r="H71" i="544"/>
  <c r="V70" i="544"/>
  <c r="W70" i="544" s="1"/>
  <c r="N70" i="544"/>
  <c r="K70" i="544" a="1"/>
  <c r="K70" i="544" s="1"/>
  <c r="M70" i="544" s="1"/>
  <c r="J70" i="544" a="1"/>
  <c r="J70" i="544" s="1"/>
  <c r="H70" i="544"/>
  <c r="V69" i="544"/>
  <c r="W69" i="544" s="1"/>
  <c r="N69" i="544"/>
  <c r="K69" i="544" a="1"/>
  <c r="K69" i="544" s="1"/>
  <c r="M69" i="544" s="1"/>
  <c r="J69" i="544" a="1"/>
  <c r="J69" i="544" s="1"/>
  <c r="H69" i="544"/>
  <c r="K68" i="544" a="1"/>
  <c r="K68" i="544" s="1"/>
  <c r="H68" i="544"/>
  <c r="K67" i="544"/>
  <c r="K67" i="544" a="1"/>
  <c r="H67" i="544"/>
  <c r="V66" i="544"/>
  <c r="W66" i="544" s="1"/>
  <c r="N66" i="544"/>
  <c r="K66" i="544" a="1"/>
  <c r="K66" i="544" s="1"/>
  <c r="M66" i="544" s="1"/>
  <c r="J66" i="544" a="1"/>
  <c r="J66" i="544" s="1"/>
  <c r="H66" i="544"/>
  <c r="V65" i="544"/>
  <c r="W65" i="544" s="1"/>
  <c r="N65" i="544"/>
  <c r="K65" i="544" a="1"/>
  <c r="K65" i="544" s="1"/>
  <c r="M65" i="544" s="1"/>
  <c r="J65" i="544" a="1"/>
  <c r="J65" i="544" s="1"/>
  <c r="H65" i="544"/>
  <c r="V64" i="544"/>
  <c r="W64" i="544" s="1"/>
  <c r="N64" i="544"/>
  <c r="K64" i="544" a="1"/>
  <c r="K64" i="544" s="1"/>
  <c r="M64" i="544" s="1"/>
  <c r="J64" i="544" a="1"/>
  <c r="J64" i="544" s="1"/>
  <c r="H64" i="544"/>
  <c r="V63" i="544"/>
  <c r="W63" i="544" s="1"/>
  <c r="N63" i="544"/>
  <c r="K63" i="544"/>
  <c r="M63" i="544" s="1"/>
  <c r="K63" i="544" a="1"/>
  <c r="J63" i="544"/>
  <c r="J63" i="544" a="1"/>
  <c r="H63" i="544"/>
  <c r="V62" i="544"/>
  <c r="W62" i="544" s="1"/>
  <c r="N62" i="544"/>
  <c r="K62" i="544" a="1"/>
  <c r="K62" i="544" s="1"/>
  <c r="M62" i="544" s="1"/>
  <c r="J62" i="544" a="1"/>
  <c r="J62" i="544" s="1"/>
  <c r="H62" i="544"/>
  <c r="V61" i="544"/>
  <c r="W61" i="544" s="1"/>
  <c r="N61" i="544"/>
  <c r="K61" i="544" a="1"/>
  <c r="K61" i="544" s="1"/>
  <c r="M61" i="544" s="1"/>
  <c r="J61" i="544" a="1"/>
  <c r="J61" i="544" s="1"/>
  <c r="H61" i="544"/>
  <c r="V60" i="544"/>
  <c r="W60" i="544" s="1"/>
  <c r="N60" i="544"/>
  <c r="K60" i="544" a="1"/>
  <c r="K60" i="544" s="1"/>
  <c r="M60" i="544" s="1"/>
  <c r="J60" i="544" a="1"/>
  <c r="J60" i="544" s="1"/>
  <c r="H60" i="544"/>
  <c r="V59" i="544"/>
  <c r="W59" i="544" s="1"/>
  <c r="N59" i="544"/>
  <c r="K59" i="544"/>
  <c r="M59" i="544" s="1"/>
  <c r="K59" i="544" a="1"/>
  <c r="J59" i="544"/>
  <c r="J59" i="544" a="1"/>
  <c r="H59" i="544"/>
  <c r="V58" i="544"/>
  <c r="W58" i="544" s="1"/>
  <c r="N58" i="544"/>
  <c r="K58" i="544" a="1"/>
  <c r="K58" i="544" s="1"/>
  <c r="M58" i="544" s="1"/>
  <c r="J58" i="544" a="1"/>
  <c r="J58" i="544" s="1"/>
  <c r="H58" i="544"/>
  <c r="V57" i="544"/>
  <c r="W57" i="544" s="1"/>
  <c r="N57" i="544"/>
  <c r="K57" i="544" a="1"/>
  <c r="K57" i="544" s="1"/>
  <c r="M57" i="544" s="1"/>
  <c r="J57" i="544" a="1"/>
  <c r="J57" i="544" s="1"/>
  <c r="H57" i="544"/>
  <c r="K56" i="544" a="1"/>
  <c r="K56" i="544" s="1"/>
  <c r="M56" i="544" s="1"/>
  <c r="H56" i="544"/>
  <c r="K55" i="544" a="1"/>
  <c r="K55" i="544" s="1"/>
  <c r="M55" i="544" s="1"/>
  <c r="H55" i="544"/>
  <c r="K54" i="544" a="1"/>
  <c r="K54" i="544" s="1"/>
  <c r="M54" i="544" s="1"/>
  <c r="H54" i="544"/>
  <c r="K53" i="544" a="1"/>
  <c r="K53" i="544" s="1"/>
  <c r="M53" i="544" s="1"/>
  <c r="H53" i="544"/>
  <c r="N52" i="544"/>
  <c r="K52" i="544" a="1"/>
  <c r="K52" i="544" s="1"/>
  <c r="M52" i="544" s="1"/>
  <c r="H52" i="544"/>
  <c r="N51" i="544"/>
  <c r="K51" i="544" a="1"/>
  <c r="K51" i="544" s="1"/>
  <c r="M51" i="544" s="1"/>
  <c r="H51" i="544"/>
  <c r="N50" i="544"/>
  <c r="K50" i="544"/>
  <c r="M50" i="544" s="1"/>
  <c r="K50" i="544" a="1"/>
  <c r="H50" i="544"/>
  <c r="N49" i="544"/>
  <c r="K49" i="544" a="1"/>
  <c r="K49" i="544" s="1"/>
  <c r="M49" i="544" s="1"/>
  <c r="H49" i="544"/>
  <c r="V48" i="544"/>
  <c r="W48" i="544" s="1"/>
  <c r="N48" i="544"/>
  <c r="K48" i="544" a="1"/>
  <c r="K48" i="544" s="1"/>
  <c r="M48" i="544" s="1"/>
  <c r="J48" i="544" a="1"/>
  <c r="J48" i="544" s="1"/>
  <c r="H48" i="544"/>
  <c r="V47" i="544"/>
  <c r="W47" i="544" s="1"/>
  <c r="N47" i="544"/>
  <c r="K47" i="544" a="1"/>
  <c r="K47" i="544" s="1"/>
  <c r="M47" i="544" s="1"/>
  <c r="J47" i="544" a="1"/>
  <c r="J47" i="544" s="1"/>
  <c r="H47" i="544"/>
  <c r="V46" i="544"/>
  <c r="W46" i="544" s="1"/>
  <c r="N46" i="544"/>
  <c r="K46" i="544" a="1"/>
  <c r="K46" i="544" s="1"/>
  <c r="M46" i="544" s="1"/>
  <c r="J46" i="544" a="1"/>
  <c r="J46" i="544" s="1"/>
  <c r="H46" i="544"/>
  <c r="V45" i="544"/>
  <c r="W45" i="544" s="1"/>
  <c r="N45" i="544"/>
  <c r="K45" i="544" a="1"/>
  <c r="K45" i="544" s="1"/>
  <c r="M45" i="544" s="1"/>
  <c r="J45" i="544" a="1"/>
  <c r="J45" i="544" s="1"/>
  <c r="H45" i="544"/>
  <c r="V44" i="544"/>
  <c r="W44" i="544" s="1"/>
  <c r="N44" i="544"/>
  <c r="K44" i="544"/>
  <c r="M44" i="544" s="1"/>
  <c r="K44" i="544" a="1"/>
  <c r="J44" i="544"/>
  <c r="J44" i="544" a="1"/>
  <c r="H44" i="544"/>
  <c r="V43" i="544"/>
  <c r="W43" i="544" s="1"/>
  <c r="N43" i="544"/>
  <c r="K43" i="544" a="1"/>
  <c r="K43" i="544" s="1"/>
  <c r="M43" i="544" s="1"/>
  <c r="J43" i="544" a="1"/>
  <c r="J43" i="544" s="1"/>
  <c r="H43" i="544"/>
  <c r="V42" i="544"/>
  <c r="W42" i="544" s="1"/>
  <c r="N42" i="544"/>
  <c r="K42" i="544" a="1"/>
  <c r="K42" i="544" s="1"/>
  <c r="M42" i="544" s="1"/>
  <c r="J42" i="544" a="1"/>
  <c r="J42" i="544" s="1"/>
  <c r="H42" i="544"/>
  <c r="V41" i="544"/>
  <c r="W41" i="544" s="1"/>
  <c r="N41" i="544"/>
  <c r="K41" i="544" a="1"/>
  <c r="K41" i="544" s="1"/>
  <c r="M41" i="544" s="1"/>
  <c r="J41" i="544" a="1"/>
  <c r="J41" i="544" s="1"/>
  <c r="H41" i="544"/>
  <c r="V40" i="544"/>
  <c r="W40" i="544" s="1"/>
  <c r="N40" i="544"/>
  <c r="K40" i="544"/>
  <c r="M40" i="544" s="1"/>
  <c r="K40" i="544" a="1"/>
  <c r="J40" i="544"/>
  <c r="J40" i="544" a="1"/>
  <c r="H40" i="544"/>
  <c r="V39" i="544"/>
  <c r="W39" i="544" s="1"/>
  <c r="N39" i="544"/>
  <c r="K39" i="544" a="1"/>
  <c r="K39" i="544" s="1"/>
  <c r="M39" i="544" s="1"/>
  <c r="J39" i="544" a="1"/>
  <c r="J39" i="544" s="1"/>
  <c r="H39" i="544"/>
  <c r="V38" i="544"/>
  <c r="W38" i="544" s="1"/>
  <c r="N38" i="544"/>
  <c r="K38" i="544" a="1"/>
  <c r="K38" i="544" s="1"/>
  <c r="M38" i="544" s="1"/>
  <c r="J38" i="544" a="1"/>
  <c r="J38" i="544" s="1"/>
  <c r="H38" i="544"/>
  <c r="V37" i="544"/>
  <c r="W37" i="544" s="1"/>
  <c r="N37" i="544"/>
  <c r="K37" i="544" a="1"/>
  <c r="K37" i="544" s="1"/>
  <c r="M37" i="544" s="1"/>
  <c r="J37" i="544" a="1"/>
  <c r="J37" i="544" s="1"/>
  <c r="H37" i="544"/>
  <c r="H36" i="544"/>
  <c r="H35" i="544"/>
  <c r="H34" i="544"/>
  <c r="V33" i="544"/>
  <c r="W33" i="544" s="1"/>
  <c r="N33" i="544"/>
  <c r="K33" i="544" a="1"/>
  <c r="K33" i="544" s="1"/>
  <c r="M33" i="544" s="1"/>
  <c r="J33" i="544" a="1"/>
  <c r="J33" i="544" s="1"/>
  <c r="H33" i="544"/>
  <c r="V32" i="544"/>
  <c r="W32" i="544" s="1"/>
  <c r="N32" i="544"/>
  <c r="K32" i="544"/>
  <c r="M32" i="544" s="1"/>
  <c r="K32" i="544" a="1"/>
  <c r="J32" i="544"/>
  <c r="J32" i="544" a="1"/>
  <c r="H32" i="544"/>
  <c r="V31" i="544"/>
  <c r="W31" i="544" s="1"/>
  <c r="N31" i="544"/>
  <c r="K31" i="544" a="1"/>
  <c r="K31" i="544" s="1"/>
  <c r="M31" i="544" s="1"/>
  <c r="J31" i="544" a="1"/>
  <c r="J31" i="544" s="1"/>
  <c r="H31" i="544"/>
  <c r="K30" i="544" a="1"/>
  <c r="K30" i="544" s="1"/>
  <c r="H30" i="544"/>
  <c r="V29" i="544"/>
  <c r="N29" i="544"/>
  <c r="N86" i="544" s="1"/>
  <c r="K29" i="544" a="1"/>
  <c r="K29" i="544" s="1"/>
  <c r="J29" i="544" a="1"/>
  <c r="J29" i="544" s="1"/>
  <c r="H29" i="544"/>
  <c r="AA28" i="544"/>
  <c r="AA164" i="544" s="1"/>
  <c r="Z28" i="544"/>
  <c r="Z164" i="544" s="1"/>
  <c r="Y28" i="544"/>
  <c r="Y164" i="544" s="1"/>
  <c r="X28" i="544"/>
  <c r="X164" i="544" s="1"/>
  <c r="U28" i="544"/>
  <c r="U164" i="544" s="1"/>
  <c r="T28" i="544"/>
  <c r="T164" i="544" s="1"/>
  <c r="S28" i="544"/>
  <c r="S164" i="544" s="1"/>
  <c r="R28" i="544"/>
  <c r="R164" i="544" s="1"/>
  <c r="Q28" i="544"/>
  <c r="Q164" i="544" s="1"/>
  <c r="P28" i="544"/>
  <c r="X167" i="544" s="1"/>
  <c r="O28" i="544"/>
  <c r="O164" i="544" s="1"/>
  <c r="I28" i="544"/>
  <c r="I164" i="544" s="1"/>
  <c r="B172" i="544" s="1"/>
  <c r="G28" i="544"/>
  <c r="C524" i="544" s="1"/>
  <c r="V27" i="544"/>
  <c r="W27" i="544" s="1"/>
  <c r="N27" i="544"/>
  <c r="K27" i="544" a="1"/>
  <c r="K27" i="544" s="1"/>
  <c r="M27" i="544" s="1"/>
  <c r="J27" i="544" a="1"/>
  <c r="J27" i="544" s="1"/>
  <c r="H27" i="544"/>
  <c r="V26" i="544"/>
  <c r="W26" i="544" s="1"/>
  <c r="N26" i="544"/>
  <c r="K26" i="544"/>
  <c r="M26" i="544" s="1"/>
  <c r="K26" i="544" a="1"/>
  <c r="J26" i="544"/>
  <c r="J26" i="544" a="1"/>
  <c r="H26" i="544"/>
  <c r="K25" i="544" a="1"/>
  <c r="K25" i="544" s="1"/>
  <c r="M25" i="544" s="1"/>
  <c r="J25" i="544" a="1"/>
  <c r="J25" i="544" s="1"/>
  <c r="H25" i="544"/>
  <c r="K24" i="544"/>
  <c r="M24" i="544" s="1"/>
  <c r="K24" i="544" a="1"/>
  <c r="J24" i="544"/>
  <c r="J24" i="544" a="1"/>
  <c r="H24" i="544"/>
  <c r="K23" i="544" a="1"/>
  <c r="K23" i="544" s="1"/>
  <c r="M23" i="544" s="1"/>
  <c r="J23" i="544" a="1"/>
  <c r="J23" i="544" s="1"/>
  <c r="H23" i="544"/>
  <c r="K22" i="544" a="1"/>
  <c r="K22" i="544" s="1"/>
  <c r="M22" i="544" s="1"/>
  <c r="J22" i="544" a="1"/>
  <c r="J22" i="544" s="1"/>
  <c r="H22" i="544"/>
  <c r="V21" i="544"/>
  <c r="W21" i="544" s="1"/>
  <c r="N21" i="544"/>
  <c r="K21" i="544"/>
  <c r="M21" i="544" s="1"/>
  <c r="K21" i="544" a="1"/>
  <c r="J21" i="544"/>
  <c r="J21" i="544" a="1"/>
  <c r="H21" i="544"/>
  <c r="V20" i="544"/>
  <c r="W20" i="544" s="1"/>
  <c r="N20" i="544"/>
  <c r="K20" i="544" a="1"/>
  <c r="K20" i="544" s="1"/>
  <c r="M20" i="544" s="1"/>
  <c r="J20" i="544" a="1"/>
  <c r="J20" i="544" s="1"/>
  <c r="H20" i="544"/>
  <c r="V19" i="544"/>
  <c r="W19" i="544" s="1"/>
  <c r="N19" i="544"/>
  <c r="K19" i="544" a="1"/>
  <c r="K19" i="544" s="1"/>
  <c r="M19" i="544" s="1"/>
  <c r="J19" i="544" a="1"/>
  <c r="J19" i="544" s="1"/>
  <c r="H19" i="544"/>
  <c r="N18" i="544"/>
  <c r="K18" i="544" a="1"/>
  <c r="K18" i="544" s="1"/>
  <c r="M18" i="544" s="1"/>
  <c r="J18" i="544" a="1"/>
  <c r="J18" i="544" s="1"/>
  <c r="H18" i="544"/>
  <c r="N17" i="544"/>
  <c r="K17" i="544" a="1"/>
  <c r="K17" i="544" s="1"/>
  <c r="M17" i="544" s="1"/>
  <c r="J17" i="544" a="1"/>
  <c r="J17" i="544" s="1"/>
  <c r="H17" i="544"/>
  <c r="V16" i="544"/>
  <c r="W16" i="544" s="1"/>
  <c r="N16" i="544"/>
  <c r="K16" i="544" a="1"/>
  <c r="K16" i="544" s="1"/>
  <c r="M16" i="544" s="1"/>
  <c r="J16" i="544" a="1"/>
  <c r="J16" i="544" s="1"/>
  <c r="H16" i="544"/>
  <c r="V15" i="544"/>
  <c r="W15" i="544" s="1"/>
  <c r="N15" i="544"/>
  <c r="K15" i="544"/>
  <c r="M15" i="544" s="1"/>
  <c r="K15" i="544" a="1"/>
  <c r="J15" i="544"/>
  <c r="J15" i="544" a="1"/>
  <c r="H15" i="544"/>
  <c r="N14" i="544"/>
  <c r="K14" i="544" a="1"/>
  <c r="K14" i="544" s="1"/>
  <c r="M14" i="544" s="1"/>
  <c r="H14" i="544"/>
  <c r="N13" i="544"/>
  <c r="K13" i="544" a="1"/>
  <c r="K13" i="544" s="1"/>
  <c r="M13" i="544" s="1"/>
  <c r="H13" i="544"/>
  <c r="V12" i="544"/>
  <c r="W12" i="544" s="1"/>
  <c r="N12" i="544"/>
  <c r="K12" i="544" a="1"/>
  <c r="K12" i="544" s="1"/>
  <c r="M12" i="544" s="1"/>
  <c r="J12" i="544" a="1"/>
  <c r="J12" i="544" s="1"/>
  <c r="H12" i="544"/>
  <c r="V11" i="544"/>
  <c r="W11" i="544" s="1"/>
  <c r="N11" i="544"/>
  <c r="K11" i="544" a="1"/>
  <c r="K11" i="544" s="1"/>
  <c r="M11" i="544" s="1"/>
  <c r="J11" i="544" a="1"/>
  <c r="J11" i="544" s="1"/>
  <c r="H11" i="544"/>
  <c r="V10" i="544"/>
  <c r="W10" i="544" s="1"/>
  <c r="N10" i="544"/>
  <c r="K10" i="544" a="1"/>
  <c r="K10" i="544" s="1"/>
  <c r="M10" i="544" s="1"/>
  <c r="J10" i="544" a="1"/>
  <c r="J10" i="544" s="1"/>
  <c r="H10" i="544"/>
  <c r="V9" i="544"/>
  <c r="W9" i="544" s="1"/>
  <c r="N9" i="544"/>
  <c r="K9" i="544"/>
  <c r="M9" i="544" s="1"/>
  <c r="K9" i="544" a="1"/>
  <c r="J9" i="544"/>
  <c r="J9" i="544" a="1"/>
  <c r="H9" i="544"/>
  <c r="V8" i="544"/>
  <c r="W8" i="544" s="1"/>
  <c r="N8" i="544"/>
  <c r="K8" i="544" a="1"/>
  <c r="K8" i="544" s="1"/>
  <c r="M8" i="544" s="1"/>
  <c r="J8" i="544" a="1"/>
  <c r="J8" i="544" s="1"/>
  <c r="H8" i="544"/>
  <c r="V7" i="544"/>
  <c r="V28" i="544" s="1"/>
  <c r="N7" i="544"/>
  <c r="K7" i="544" a="1"/>
  <c r="K7" i="544" s="1"/>
  <c r="J7" i="544" a="1"/>
  <c r="J7" i="544" s="1"/>
  <c r="H7" i="544"/>
  <c r="H28" i="544" s="1"/>
  <c r="H257" i="544" l="1"/>
  <c r="V257" i="544"/>
  <c r="W257" i="544" s="1"/>
  <c r="H292" i="544"/>
  <c r="V292" i="544"/>
  <c r="W292" i="544" s="1"/>
  <c r="M319" i="544"/>
  <c r="V319" i="544"/>
  <c r="V370" i="544"/>
  <c r="W138" i="544"/>
  <c r="H137" i="544"/>
  <c r="H308" i="544"/>
  <c r="N319" i="544"/>
  <c r="W309" i="544"/>
  <c r="J308" i="544" a="1"/>
  <c r="J308" i="544" s="1"/>
  <c r="J319" i="544" a="1"/>
  <c r="J319" i="544" s="1"/>
  <c r="J292" i="544" a="1"/>
  <c r="J292" i="544" s="1"/>
  <c r="J257" i="544" a="1"/>
  <c r="J257" i="544" s="1"/>
  <c r="H370" i="544"/>
  <c r="N370" i="544"/>
  <c r="H428" i="544"/>
  <c r="V428" i="544"/>
  <c r="W428" i="544" s="1"/>
  <c r="H463" i="544"/>
  <c r="V463" i="544"/>
  <c r="W463" i="544" s="1"/>
  <c r="J463" i="544" a="1"/>
  <c r="J463" i="544" s="1"/>
  <c r="R511" i="544"/>
  <c r="N479" i="544"/>
  <c r="R512" i="544"/>
  <c r="H490" i="544"/>
  <c r="K506" i="544"/>
  <c r="R341" i="544"/>
  <c r="R340" i="544"/>
  <c r="N308" i="544"/>
  <c r="N292" i="544"/>
  <c r="W258" i="544"/>
  <c r="N257" i="544"/>
  <c r="N335" i="544" s="1"/>
  <c r="B344" i="544" s="1"/>
  <c r="H199" i="544"/>
  <c r="V199" i="544"/>
  <c r="H319" i="544"/>
  <c r="W319" i="544"/>
  <c r="H335" i="544"/>
  <c r="E342" i="544" s="1"/>
  <c r="H163" i="544"/>
  <c r="J163" i="544" a="1"/>
  <c r="J163" i="544" s="1"/>
  <c r="R170" i="544"/>
  <c r="M148" i="544"/>
  <c r="N137" i="544"/>
  <c r="N121" i="544"/>
  <c r="V121" i="544"/>
  <c r="W121" i="544" s="1"/>
  <c r="H86" i="544"/>
  <c r="V86" i="544"/>
  <c r="W86" i="544" s="1"/>
  <c r="N28" i="544"/>
  <c r="N164" i="544" s="1"/>
  <c r="B173" i="544" s="1"/>
  <c r="E173" i="544" s="1"/>
  <c r="W7" i="544"/>
  <c r="K28" i="544"/>
  <c r="J148" i="544" a="1"/>
  <c r="J148" i="544" s="1"/>
  <c r="H148" i="544"/>
  <c r="H121" i="544"/>
  <c r="K121" i="544"/>
  <c r="M87" i="544"/>
  <c r="M121" i="544" s="1"/>
  <c r="K137" i="544"/>
  <c r="M122" i="544"/>
  <c r="M137" i="544" s="1"/>
  <c r="K527" i="544"/>
  <c r="K199" i="544"/>
  <c r="M178" i="544"/>
  <c r="M199" i="544" s="1"/>
  <c r="K292" i="544"/>
  <c r="M258" i="544"/>
  <c r="M292" i="544" s="1"/>
  <c r="W28" i="544"/>
  <c r="C520" i="544"/>
  <c r="Q525" i="544"/>
  <c r="K86" i="544"/>
  <c r="M29" i="544"/>
  <c r="M86" i="544" s="1"/>
  <c r="K525" i="544"/>
  <c r="K526" i="544"/>
  <c r="K528" i="544"/>
  <c r="K163" i="544"/>
  <c r="M149" i="544"/>
  <c r="M163" i="544" s="1"/>
  <c r="K529" i="544"/>
  <c r="K257" i="544"/>
  <c r="M200" i="544"/>
  <c r="M257" i="544" s="1"/>
  <c r="M7" i="544"/>
  <c r="M28" i="544" s="1"/>
  <c r="C530" i="544"/>
  <c r="E524" i="544" s="1"/>
  <c r="V137" i="544"/>
  <c r="W137" i="544" s="1"/>
  <c r="K148" i="544"/>
  <c r="V163" i="544"/>
  <c r="W163" i="544" s="1"/>
  <c r="P164" i="544"/>
  <c r="X168" i="544" s="1"/>
  <c r="X173" i="544" s="1"/>
  <c r="K166" i="544"/>
  <c r="R166" i="544"/>
  <c r="J335" i="544" a="1"/>
  <c r="J335" i="544" s="1"/>
  <c r="M342" i="544" s="1"/>
  <c r="B342" i="544"/>
  <c r="O335" i="544"/>
  <c r="R337" i="544"/>
  <c r="K308" i="544"/>
  <c r="M293" i="544"/>
  <c r="M308" i="544" s="1"/>
  <c r="K334" i="544"/>
  <c r="M320" i="544"/>
  <c r="M334" i="544" s="1"/>
  <c r="W334" i="544"/>
  <c r="J28" i="544" a="1"/>
  <c r="J28" i="544" s="1"/>
  <c r="W29" i="544"/>
  <c r="J86" i="544" a="1"/>
  <c r="J86" i="544" s="1"/>
  <c r="W87" i="544"/>
  <c r="J121" i="544" a="1"/>
  <c r="J121" i="544" s="1"/>
  <c r="J137" i="544" a="1"/>
  <c r="J137" i="544" s="1"/>
  <c r="W178" i="544"/>
  <c r="W199" i="544" s="1"/>
  <c r="J199" i="544" a="1"/>
  <c r="J199" i="544" s="1"/>
  <c r="X338" i="544"/>
  <c r="P335" i="544"/>
  <c r="X339" i="544" s="1"/>
  <c r="X344" i="544" s="1"/>
  <c r="W200" i="544"/>
  <c r="V308" i="544"/>
  <c r="W308" i="544" s="1"/>
  <c r="K319" i="544"/>
  <c r="V334" i="544"/>
  <c r="K337" i="544"/>
  <c r="K370" i="544"/>
  <c r="W349" i="544"/>
  <c r="W370" i="544" s="1"/>
  <c r="M464" i="544"/>
  <c r="M479" i="544" s="1"/>
  <c r="K479" i="544"/>
  <c r="M349" i="544"/>
  <c r="M370" i="544" s="1"/>
  <c r="K428" i="544"/>
  <c r="M429" i="544"/>
  <c r="M463" i="544" s="1"/>
  <c r="K463" i="544"/>
  <c r="J507" i="544" a="1"/>
  <c r="J507" i="544" s="1"/>
  <c r="M514" i="544" s="1"/>
  <c r="B514" i="544"/>
  <c r="X509" i="544"/>
  <c r="O507" i="544"/>
  <c r="X510" i="544" s="1"/>
  <c r="R509" i="544"/>
  <c r="M371" i="544"/>
  <c r="M428" i="544" s="1"/>
  <c r="W429" i="544"/>
  <c r="V479" i="544"/>
  <c r="W479" i="544" s="1"/>
  <c r="J370" i="544" a="1"/>
  <c r="J370" i="544" s="1"/>
  <c r="K490" i="544"/>
  <c r="M480" i="544"/>
  <c r="M490" i="544" s="1"/>
  <c r="V490" i="544"/>
  <c r="W490" i="544" s="1"/>
  <c r="W506" i="544"/>
  <c r="V506" i="544"/>
  <c r="K509" i="544"/>
  <c r="M491" i="544"/>
  <c r="M506" i="544" s="1"/>
  <c r="J115" i="542" a="1"/>
  <c r="J115" i="542" s="1"/>
  <c r="M115" i="542"/>
  <c r="M68" i="542"/>
  <c r="J68" i="542" a="1"/>
  <c r="J68" i="542" s="1"/>
  <c r="I19" i="542"/>
  <c r="I135" i="542"/>
  <c r="I45" i="542"/>
  <c r="I48" i="542"/>
  <c r="I37" i="542"/>
  <c r="I115" i="542"/>
  <c r="I92" i="542"/>
  <c r="I21" i="542"/>
  <c r="I11" i="542"/>
  <c r="J286" i="542" a="1"/>
  <c r="J286" i="542" s="1"/>
  <c r="J316" i="542" a="1"/>
  <c r="J316" i="542" s="1"/>
  <c r="J315" i="542" a="1"/>
  <c r="J315" i="542" s="1"/>
  <c r="J314" i="542" a="1"/>
  <c r="J314" i="542" s="1"/>
  <c r="M316" i="542"/>
  <c r="M315" i="542"/>
  <c r="M314" i="542"/>
  <c r="M286" i="542"/>
  <c r="K316" i="542" a="1"/>
  <c r="K316" i="542" s="1"/>
  <c r="K315" i="542" a="1"/>
  <c r="K315" i="542" s="1"/>
  <c r="K314" i="542" a="1"/>
  <c r="K314" i="542" s="1"/>
  <c r="I286" i="542"/>
  <c r="K286" i="542" a="1"/>
  <c r="K286" i="542" s="1"/>
  <c r="I217" i="542"/>
  <c r="I216" i="542"/>
  <c r="I209" i="542"/>
  <c r="I208" i="542"/>
  <c r="I181" i="542"/>
  <c r="I182" i="542"/>
  <c r="I306" i="542"/>
  <c r="I263" i="542"/>
  <c r="I192" i="542"/>
  <c r="I190" i="542"/>
  <c r="I429" i="542"/>
  <c r="I434" i="542"/>
  <c r="N507" i="544" l="1"/>
  <c r="B516" i="544" s="1"/>
  <c r="E516" i="544" s="1"/>
  <c r="H507" i="544"/>
  <c r="E514" i="544" s="1"/>
  <c r="E344" i="544"/>
  <c r="C521" i="544"/>
  <c r="E529" i="544"/>
  <c r="E528" i="544"/>
  <c r="K164" i="544"/>
  <c r="E172" i="544" s="1"/>
  <c r="I172" i="544" s="1"/>
  <c r="M172" i="544" s="1"/>
  <c r="Z167" i="544"/>
  <c r="Z169" i="544"/>
  <c r="Z171" i="544"/>
  <c r="Z170" i="544"/>
  <c r="H164" i="544"/>
  <c r="E171" i="544" s="1"/>
  <c r="G519" i="544" s="1"/>
  <c r="E526" i="544"/>
  <c r="M164" i="544"/>
  <c r="E527" i="544"/>
  <c r="E525" i="544"/>
  <c r="Z337" i="544" a="1"/>
  <c r="Z337" i="544" s="1"/>
  <c r="Z340" i="544"/>
  <c r="Z341" i="544"/>
  <c r="Z342" i="544"/>
  <c r="Z343" i="544"/>
  <c r="T509" i="544" a="1"/>
  <c r="T509" i="544" s="1"/>
  <c r="R516" i="544"/>
  <c r="X516" i="544"/>
  <c r="Z509" i="544" s="1" a="1"/>
  <c r="Z509" i="544" s="1"/>
  <c r="V507" i="544"/>
  <c r="M337" i="544"/>
  <c r="K341" i="544"/>
  <c r="M341" i="544" s="1"/>
  <c r="Z338" i="544"/>
  <c r="W335" i="544"/>
  <c r="M166" i="544"/>
  <c r="K170" i="544"/>
  <c r="M170" i="544" s="1"/>
  <c r="J164" i="544" a="1"/>
  <c r="J164" i="544" s="1"/>
  <c r="M171" i="544" s="1"/>
  <c r="B171" i="544"/>
  <c r="C519" i="544" s="1"/>
  <c r="W164" i="544"/>
  <c r="V335" i="544"/>
  <c r="I344" i="544" s="1"/>
  <c r="M344" i="544" s="1" a="1"/>
  <c r="M344" i="544" s="1"/>
  <c r="K335" i="544"/>
  <c r="G521" i="544"/>
  <c r="M509" i="544"/>
  <c r="K513" i="544"/>
  <c r="M513" i="544" s="1"/>
  <c r="M507" i="544"/>
  <c r="K507" i="544"/>
  <c r="Z339" i="544"/>
  <c r="R344" i="544"/>
  <c r="T337" i="544" s="1" a="1"/>
  <c r="T337" i="544" s="1"/>
  <c r="Z172" i="544"/>
  <c r="Z166" i="544" a="1"/>
  <c r="Z166" i="544" s="1"/>
  <c r="K524" i="544"/>
  <c r="R173" i="544"/>
  <c r="T166" i="544" s="1" a="1"/>
  <c r="T166" i="544" s="1"/>
  <c r="Q526" i="544"/>
  <c r="Z168" i="544"/>
  <c r="V164" i="544"/>
  <c r="I173" i="544" s="1"/>
  <c r="M335" i="544"/>
  <c r="J19" i="542" a="1"/>
  <c r="J19" i="542" s="1"/>
  <c r="M286" i="543"/>
  <c r="K286" i="543" a="1"/>
  <c r="K286" i="543" s="1"/>
  <c r="J239" i="543" a="1"/>
  <c r="J239" i="543" s="1"/>
  <c r="J286" i="543" a="1"/>
  <c r="J286" i="543" s="1"/>
  <c r="I286" i="543"/>
  <c r="I197" i="543"/>
  <c r="I208" i="543"/>
  <c r="I239" i="543"/>
  <c r="I190" i="543"/>
  <c r="G209" i="542"/>
  <c r="L164" i="544" l="1"/>
  <c r="I171" i="544" s="1"/>
  <c r="Z510" i="544"/>
  <c r="E530" i="544"/>
  <c r="M173" i="544" a="1"/>
  <c r="M173" i="544" s="1"/>
  <c r="E515" i="544"/>
  <c r="I515" i="544" s="1"/>
  <c r="M515" i="544" s="1"/>
  <c r="L507" i="544"/>
  <c r="I514" i="544" s="1"/>
  <c r="T515" i="544"/>
  <c r="T511" i="544"/>
  <c r="T514" i="544"/>
  <c r="T513" i="544"/>
  <c r="T510" i="544"/>
  <c r="T512" i="544"/>
  <c r="Q530" i="544"/>
  <c r="S526" i="544" s="1"/>
  <c r="K530" i="544"/>
  <c r="T172" i="544"/>
  <c r="T169" i="544"/>
  <c r="T167" i="544"/>
  <c r="T168" i="544"/>
  <c r="T170" i="544"/>
  <c r="T171" i="544"/>
  <c r="T343" i="544"/>
  <c r="T340" i="544"/>
  <c r="T339" i="544"/>
  <c r="T338" i="544"/>
  <c r="T341" i="544"/>
  <c r="T342" i="544"/>
  <c r="E343" i="544"/>
  <c r="L335" i="544"/>
  <c r="I342" i="544" s="1"/>
  <c r="O519" i="544" a="1"/>
  <c r="O519" i="544" s="1"/>
  <c r="I516" i="544"/>
  <c r="M516" i="544" s="1" a="1"/>
  <c r="M516" i="544" s="1"/>
  <c r="W507" i="544"/>
  <c r="Z515" i="544"/>
  <c r="Z513" i="544"/>
  <c r="Z512" i="544"/>
  <c r="Z511" i="544"/>
  <c r="Z514" i="544"/>
  <c r="G37" i="542"/>
  <c r="G208" i="542"/>
  <c r="G219" i="543"/>
  <c r="G197" i="543"/>
  <c r="D535" i="542"/>
  <c r="D533" i="542"/>
  <c r="M528" i="544" l="1"/>
  <c r="M525" i="544"/>
  <c r="M527" i="544"/>
  <c r="M529" i="544"/>
  <c r="M526" i="544"/>
  <c r="I343" i="544"/>
  <c r="M343" i="544" s="1"/>
  <c r="G520" i="544"/>
  <c r="S528" i="544"/>
  <c r="S524" i="544" a="1"/>
  <c r="S524" i="544" s="1"/>
  <c r="S527" i="544"/>
  <c r="S529" i="544"/>
  <c r="S525" i="544"/>
  <c r="M524" i="544" a="1"/>
  <c r="M524" i="544" s="1"/>
  <c r="K521" i="544"/>
  <c r="O521" i="544" s="1" a="1"/>
  <c r="O521" i="544" s="1"/>
  <c r="G306" i="542"/>
  <c r="G286" i="542"/>
  <c r="G190" i="542"/>
  <c r="G182" i="542"/>
  <c r="G216" i="542"/>
  <c r="G181" i="542"/>
  <c r="G197" i="542"/>
  <c r="G192" i="542"/>
  <c r="G429" i="542"/>
  <c r="G434" i="542"/>
  <c r="G45" i="542"/>
  <c r="G115" i="542"/>
  <c r="G92" i="542"/>
  <c r="G11" i="542"/>
  <c r="G48" i="542"/>
  <c r="G135" i="542"/>
  <c r="G68" i="542"/>
  <c r="G19" i="542"/>
  <c r="G21" i="542"/>
  <c r="P536" i="543"/>
  <c r="O536" i="543"/>
  <c r="N536" i="543"/>
  <c r="M536" i="543"/>
  <c r="L536" i="543"/>
  <c r="K536" i="543"/>
  <c r="I536" i="543"/>
  <c r="H536" i="543"/>
  <c r="G536" i="543"/>
  <c r="F536" i="543"/>
  <c r="E536" i="543"/>
  <c r="D536" i="543"/>
  <c r="C535" i="543"/>
  <c r="J535" i="543" s="1"/>
  <c r="Q535" i="543" s="1"/>
  <c r="C534" i="543"/>
  <c r="C533" i="543"/>
  <c r="J533" i="543" s="1"/>
  <c r="G517" i="543"/>
  <c r="N517" i="543" s="1"/>
  <c r="X515" i="543"/>
  <c r="X514" i="543"/>
  <c r="X513" i="543"/>
  <c r="G513" i="543"/>
  <c r="C513" i="543"/>
  <c r="X512" i="543"/>
  <c r="I512" i="543"/>
  <c r="E512" i="543"/>
  <c r="K512" i="543" s="1"/>
  <c r="M512" i="543" s="1"/>
  <c r="X511" i="543"/>
  <c r="I511" i="543"/>
  <c r="E511" i="543"/>
  <c r="K511" i="543" s="1"/>
  <c r="M511" i="543" s="1"/>
  <c r="I510" i="543"/>
  <c r="E510" i="543"/>
  <c r="K510" i="543" s="1"/>
  <c r="M510" i="543" s="1"/>
  <c r="I509" i="543"/>
  <c r="I513" i="543" s="1"/>
  <c r="E509" i="543"/>
  <c r="E513" i="543" s="1"/>
  <c r="AA506" i="543"/>
  <c r="Z506" i="543"/>
  <c r="Y506" i="543"/>
  <c r="X506" i="543"/>
  <c r="U506" i="543"/>
  <c r="T506" i="543"/>
  <c r="S506" i="543"/>
  <c r="R506" i="543"/>
  <c r="Q506" i="543"/>
  <c r="P506" i="543"/>
  <c r="O506" i="543"/>
  <c r="R514" i="543" s="1"/>
  <c r="I506" i="543"/>
  <c r="G506" i="543"/>
  <c r="J506" i="543" s="1" a="1"/>
  <c r="J506" i="543" s="1"/>
  <c r="H505" i="543"/>
  <c r="H504" i="543"/>
  <c r="H503" i="543"/>
  <c r="D502" i="543"/>
  <c r="H502" i="543" s="1"/>
  <c r="V501" i="543"/>
  <c r="W501" i="543" s="1"/>
  <c r="N501" i="543"/>
  <c r="K501" i="543" a="1"/>
  <c r="K501" i="543" s="1"/>
  <c r="M501" i="543" s="1"/>
  <c r="J501" i="543" a="1"/>
  <c r="J501" i="543" s="1"/>
  <c r="H501" i="543"/>
  <c r="H500" i="543"/>
  <c r="H499" i="543"/>
  <c r="V498" i="543"/>
  <c r="W498" i="543" s="1"/>
  <c r="N498" i="543"/>
  <c r="K498" i="543"/>
  <c r="M498" i="543" s="1"/>
  <c r="K498" i="543" a="1"/>
  <c r="J498" i="543"/>
  <c r="J498" i="543" a="1"/>
  <c r="H498" i="543"/>
  <c r="V497" i="543"/>
  <c r="W497" i="543" s="1"/>
  <c r="N497" i="543"/>
  <c r="K497" i="543" a="1"/>
  <c r="K497" i="543" s="1"/>
  <c r="M497" i="543" s="1"/>
  <c r="J497" i="543" a="1"/>
  <c r="J497" i="543" s="1"/>
  <c r="H497" i="543"/>
  <c r="H496" i="543"/>
  <c r="H495" i="543"/>
  <c r="V494" i="543"/>
  <c r="W494" i="543" s="1"/>
  <c r="N494" i="543"/>
  <c r="K494" i="543" a="1"/>
  <c r="K494" i="543" s="1"/>
  <c r="M494" i="543" s="1"/>
  <c r="J494" i="543" a="1"/>
  <c r="J494" i="543" s="1"/>
  <c r="H494" i="543"/>
  <c r="V493" i="543"/>
  <c r="W493" i="543" s="1"/>
  <c r="N493" i="543"/>
  <c r="K493" i="543" a="1"/>
  <c r="K493" i="543" s="1"/>
  <c r="M493" i="543" s="1"/>
  <c r="J493" i="543" a="1"/>
  <c r="J493" i="543" s="1"/>
  <c r="H493" i="543"/>
  <c r="V492" i="543"/>
  <c r="W492" i="543" s="1"/>
  <c r="N492" i="543"/>
  <c r="K492" i="543"/>
  <c r="M492" i="543" s="1"/>
  <c r="K492" i="543" a="1"/>
  <c r="J492" i="543"/>
  <c r="J492" i="543" a="1"/>
  <c r="H492" i="543"/>
  <c r="V491" i="543"/>
  <c r="V506" i="543" s="1"/>
  <c r="N491" i="543"/>
  <c r="N506" i="543" s="1"/>
  <c r="K491" i="543" a="1"/>
  <c r="K491" i="543" s="1"/>
  <c r="J491" i="543" a="1"/>
  <c r="J491" i="543" s="1"/>
  <c r="H491" i="543"/>
  <c r="H506" i="543" s="1"/>
  <c r="AA490" i="543"/>
  <c r="Z490" i="543"/>
  <c r="Y490" i="543"/>
  <c r="X490" i="543"/>
  <c r="U490" i="543"/>
  <c r="T490" i="543"/>
  <c r="S490" i="543"/>
  <c r="Q490" i="543"/>
  <c r="P490" i="543"/>
  <c r="O490" i="543"/>
  <c r="I490" i="543"/>
  <c r="G490" i="543"/>
  <c r="J490" i="543" s="1" a="1"/>
  <c r="J490" i="543" s="1"/>
  <c r="V489" i="543"/>
  <c r="W489" i="543" s="1"/>
  <c r="N489" i="543"/>
  <c r="K489" i="543" a="1"/>
  <c r="K489" i="543" s="1"/>
  <c r="M489" i="543" s="1"/>
  <c r="J489" i="543" a="1"/>
  <c r="J489" i="543" s="1"/>
  <c r="H489" i="543"/>
  <c r="H487" i="543"/>
  <c r="H486" i="543"/>
  <c r="H485" i="543"/>
  <c r="V484" i="543"/>
  <c r="W484" i="543" s="1"/>
  <c r="N484" i="543"/>
  <c r="K484" i="543"/>
  <c r="M484" i="543" s="1"/>
  <c r="K484" i="543" a="1"/>
  <c r="J484" i="543"/>
  <c r="J484" i="543" a="1"/>
  <c r="H484" i="543"/>
  <c r="V483" i="543"/>
  <c r="W483" i="543" s="1"/>
  <c r="N483" i="543"/>
  <c r="K483" i="543" a="1"/>
  <c r="K483" i="543" s="1"/>
  <c r="M483" i="543" s="1"/>
  <c r="J483" i="543" a="1"/>
  <c r="J483" i="543" s="1"/>
  <c r="H483" i="543"/>
  <c r="V482" i="543"/>
  <c r="W482" i="543" s="1"/>
  <c r="N482" i="543"/>
  <c r="K482" i="543" a="1"/>
  <c r="K482" i="543" s="1"/>
  <c r="M482" i="543" s="1"/>
  <c r="J482" i="543" a="1"/>
  <c r="J482" i="543" s="1"/>
  <c r="H482" i="543"/>
  <c r="V481" i="543"/>
  <c r="W481" i="543" s="1"/>
  <c r="N481" i="543"/>
  <c r="K481" i="543" a="1"/>
  <c r="K481" i="543" s="1"/>
  <c r="M481" i="543" s="1"/>
  <c r="J481" i="543" a="1"/>
  <c r="J481" i="543" s="1"/>
  <c r="H481" i="543"/>
  <c r="V480" i="543"/>
  <c r="V490" i="543" s="1"/>
  <c r="W490" i="543" s="1"/>
  <c r="N480" i="543"/>
  <c r="N490" i="543" s="1"/>
  <c r="K480" i="543"/>
  <c r="M480" i="543" s="1"/>
  <c r="K480" i="543" a="1"/>
  <c r="J480" i="543"/>
  <c r="J480" i="543" a="1"/>
  <c r="H480" i="543"/>
  <c r="H490" i="543" s="1"/>
  <c r="AA479" i="543"/>
  <c r="Z479" i="543"/>
  <c r="Y479" i="543"/>
  <c r="X479" i="543"/>
  <c r="U479" i="543"/>
  <c r="T479" i="543"/>
  <c r="S479" i="543"/>
  <c r="Q479" i="543"/>
  <c r="P479" i="543"/>
  <c r="O479" i="543"/>
  <c r="R512" i="543" s="1"/>
  <c r="I479" i="543"/>
  <c r="G479" i="543"/>
  <c r="J479" i="543" s="1" a="1"/>
  <c r="J479" i="543" s="1"/>
  <c r="V478" i="543"/>
  <c r="W478" i="543" s="1"/>
  <c r="N478" i="543"/>
  <c r="K478" i="543" a="1"/>
  <c r="K478" i="543" s="1"/>
  <c r="M478" i="543" s="1"/>
  <c r="J478" i="543" a="1"/>
  <c r="J478" i="543" s="1"/>
  <c r="H478" i="543"/>
  <c r="W477" i="543"/>
  <c r="V477" i="543"/>
  <c r="N477" i="543"/>
  <c r="K477" i="543" a="1"/>
  <c r="K477" i="543" s="1"/>
  <c r="M477" i="543" s="1"/>
  <c r="J477" i="543" a="1"/>
  <c r="J477" i="543" s="1"/>
  <c r="H477" i="543"/>
  <c r="V476" i="543"/>
  <c r="W476" i="543" s="1"/>
  <c r="N476" i="543"/>
  <c r="K476" i="543" a="1"/>
  <c r="K476" i="543" s="1"/>
  <c r="M476" i="543" s="1"/>
  <c r="J476" i="543" a="1"/>
  <c r="J476" i="543" s="1"/>
  <c r="H476" i="543"/>
  <c r="V475" i="543"/>
  <c r="W475" i="543" s="1"/>
  <c r="N475" i="543"/>
  <c r="K475" i="543"/>
  <c r="M475" i="543" s="1"/>
  <c r="K475" i="543" a="1"/>
  <c r="J475" i="543"/>
  <c r="J475" i="543" a="1"/>
  <c r="H475" i="543"/>
  <c r="V474" i="543"/>
  <c r="W474" i="543" s="1"/>
  <c r="N474" i="543"/>
  <c r="K474" i="543" a="1"/>
  <c r="K474" i="543" s="1"/>
  <c r="M474" i="543" s="1"/>
  <c r="J474" i="543" a="1"/>
  <c r="J474" i="543" s="1"/>
  <c r="H474" i="543"/>
  <c r="V473" i="543"/>
  <c r="W473" i="543" s="1"/>
  <c r="N473" i="543"/>
  <c r="K473" i="543" a="1"/>
  <c r="K473" i="543" s="1"/>
  <c r="M473" i="543" s="1"/>
  <c r="J473" i="543" a="1"/>
  <c r="J473" i="543" s="1"/>
  <c r="H473" i="543"/>
  <c r="V472" i="543"/>
  <c r="W472" i="543" s="1"/>
  <c r="N472" i="543"/>
  <c r="K472" i="543" a="1"/>
  <c r="K472" i="543" s="1"/>
  <c r="M472" i="543" s="1"/>
  <c r="J472" i="543" a="1"/>
  <c r="J472" i="543" s="1"/>
  <c r="H472" i="543"/>
  <c r="V471" i="543"/>
  <c r="W471" i="543" s="1"/>
  <c r="N471" i="543"/>
  <c r="K471" i="543"/>
  <c r="M471" i="543" s="1"/>
  <c r="K471" i="543" a="1"/>
  <c r="J471" i="543"/>
  <c r="J471" i="543" a="1"/>
  <c r="H471" i="543"/>
  <c r="V470" i="543"/>
  <c r="W470" i="543" s="1"/>
  <c r="N470" i="543"/>
  <c r="K470" i="543" a="1"/>
  <c r="K470" i="543" s="1"/>
  <c r="M470" i="543" s="1"/>
  <c r="J470" i="543" a="1"/>
  <c r="J470" i="543" s="1"/>
  <c r="H470" i="543"/>
  <c r="W469" i="543"/>
  <c r="V469" i="543"/>
  <c r="N469" i="543"/>
  <c r="K469" i="543" a="1"/>
  <c r="K469" i="543" s="1"/>
  <c r="M469" i="543" s="1"/>
  <c r="J469" i="543" a="1"/>
  <c r="J469" i="543" s="1"/>
  <c r="H469" i="543"/>
  <c r="V468" i="543"/>
  <c r="W468" i="543" s="1"/>
  <c r="N468" i="543"/>
  <c r="M468" i="543"/>
  <c r="K468" i="543" a="1"/>
  <c r="K468" i="543" s="1"/>
  <c r="J468" i="543" a="1"/>
  <c r="J468" i="543" s="1"/>
  <c r="H468" i="543"/>
  <c r="W467" i="543"/>
  <c r="V467" i="543"/>
  <c r="N467" i="543"/>
  <c r="K467" i="543" a="1"/>
  <c r="K467" i="543" s="1"/>
  <c r="M467" i="543" s="1"/>
  <c r="J467" i="543" a="1"/>
  <c r="J467" i="543" s="1"/>
  <c r="H467" i="543"/>
  <c r="V466" i="543"/>
  <c r="W466" i="543" s="1"/>
  <c r="N466" i="543"/>
  <c r="M466" i="543"/>
  <c r="K466" i="543" a="1"/>
  <c r="K466" i="543" s="1"/>
  <c r="J466" i="543" a="1"/>
  <c r="J466" i="543" s="1"/>
  <c r="H466" i="543"/>
  <c r="W465" i="543"/>
  <c r="V465" i="543"/>
  <c r="N465" i="543"/>
  <c r="K465" i="543" a="1"/>
  <c r="K465" i="543" s="1"/>
  <c r="M465" i="543" s="1"/>
  <c r="J465" i="543" a="1"/>
  <c r="J465" i="543" s="1"/>
  <c r="H465" i="543"/>
  <c r="V464" i="543"/>
  <c r="N464" i="543"/>
  <c r="M464" i="543"/>
  <c r="K464" i="543" a="1"/>
  <c r="K464" i="543" s="1"/>
  <c r="J464" i="543" a="1"/>
  <c r="J464" i="543" s="1"/>
  <c r="H464" i="543"/>
  <c r="AA463" i="543"/>
  <c r="Z463" i="543"/>
  <c r="Y463" i="543"/>
  <c r="X463" i="543"/>
  <c r="U463" i="543"/>
  <c r="T463" i="543"/>
  <c r="S463" i="543"/>
  <c r="R463" i="543"/>
  <c r="Q463" i="543"/>
  <c r="P463" i="543"/>
  <c r="O463" i="543"/>
  <c r="R511" i="543" s="1"/>
  <c r="I463" i="543"/>
  <c r="G463" i="543"/>
  <c r="V462" i="543"/>
  <c r="W462" i="543" s="1"/>
  <c r="N462" i="543"/>
  <c r="K462" i="543" a="1"/>
  <c r="K462" i="543" s="1"/>
  <c r="M462" i="543" s="1"/>
  <c r="J462" i="543" a="1"/>
  <c r="J462" i="543" s="1"/>
  <c r="H462" i="543"/>
  <c r="V461" i="543"/>
  <c r="W461" i="543" s="1"/>
  <c r="N461" i="543"/>
  <c r="K461" i="543" a="1"/>
  <c r="K461" i="543" s="1"/>
  <c r="M461" i="543" s="1"/>
  <c r="J461" i="543" a="1"/>
  <c r="J461" i="543" s="1"/>
  <c r="H461" i="543"/>
  <c r="V460" i="543"/>
  <c r="W460" i="543" s="1"/>
  <c r="N460" i="543"/>
  <c r="K460" i="543" a="1"/>
  <c r="K460" i="543" s="1"/>
  <c r="M460" i="543" s="1"/>
  <c r="J460" i="543" a="1"/>
  <c r="J460" i="543" s="1"/>
  <c r="H460" i="543"/>
  <c r="K459" i="543" a="1"/>
  <c r="K459" i="543" s="1"/>
  <c r="M459" i="543" s="1"/>
  <c r="H459" i="543"/>
  <c r="K458" i="543" a="1"/>
  <c r="K458" i="543" s="1"/>
  <c r="M458" i="543" s="1"/>
  <c r="H458" i="543"/>
  <c r="K457" i="543" a="1"/>
  <c r="K457" i="543" s="1"/>
  <c r="M457" i="543" s="1"/>
  <c r="H457" i="543"/>
  <c r="V456" i="543"/>
  <c r="W456" i="543" s="1"/>
  <c r="N456" i="543"/>
  <c r="K456" i="543"/>
  <c r="M456" i="543" s="1"/>
  <c r="K456" i="543" a="1"/>
  <c r="J456" i="543"/>
  <c r="J456" i="543" a="1"/>
  <c r="H456" i="543"/>
  <c r="V455" i="543"/>
  <c r="W455" i="543" s="1"/>
  <c r="N455" i="543"/>
  <c r="K455" i="543" a="1"/>
  <c r="K455" i="543" s="1"/>
  <c r="M455" i="543" s="1"/>
  <c r="J455" i="543" a="1"/>
  <c r="J455" i="543" s="1"/>
  <c r="H455" i="543"/>
  <c r="N454" i="543"/>
  <c r="K454" i="543" a="1"/>
  <c r="K454" i="543" s="1"/>
  <c r="M454" i="543" s="1"/>
  <c r="H454" i="543"/>
  <c r="N453" i="543"/>
  <c r="K453" i="543" a="1"/>
  <c r="K453" i="543" s="1"/>
  <c r="M453" i="543" s="1"/>
  <c r="H453" i="543"/>
  <c r="N452" i="543"/>
  <c r="K452" i="543"/>
  <c r="M452" i="543" s="1"/>
  <c r="K452" i="543" a="1"/>
  <c r="H452" i="543"/>
  <c r="N451" i="543"/>
  <c r="K451" i="543" a="1"/>
  <c r="K451" i="543" s="1"/>
  <c r="M451" i="543" s="1"/>
  <c r="H451" i="543"/>
  <c r="N450" i="543"/>
  <c r="K450" i="543" a="1"/>
  <c r="K450" i="543" s="1"/>
  <c r="M450" i="543" s="1"/>
  <c r="H450" i="543"/>
  <c r="N449" i="543"/>
  <c r="K449" i="543" a="1"/>
  <c r="K449" i="543" s="1"/>
  <c r="M449" i="543" s="1"/>
  <c r="H449" i="543"/>
  <c r="V448" i="543"/>
  <c r="W448" i="543" s="1"/>
  <c r="N448" i="543"/>
  <c r="K448" i="543"/>
  <c r="M448" i="543" s="1"/>
  <c r="K448" i="543" a="1"/>
  <c r="J448" i="543"/>
  <c r="J448" i="543" a="1"/>
  <c r="H448" i="543"/>
  <c r="V447" i="543"/>
  <c r="W447" i="543" s="1"/>
  <c r="N447" i="543"/>
  <c r="K447" i="543" a="1"/>
  <c r="K447" i="543" s="1"/>
  <c r="M447" i="543" s="1"/>
  <c r="J447" i="543" a="1"/>
  <c r="J447" i="543" s="1"/>
  <c r="H447" i="543"/>
  <c r="V446" i="543"/>
  <c r="W446" i="543" s="1"/>
  <c r="N446" i="543"/>
  <c r="K446" i="543" a="1"/>
  <c r="K446" i="543" s="1"/>
  <c r="M446" i="543" s="1"/>
  <c r="J446" i="543" a="1"/>
  <c r="J446" i="543" s="1"/>
  <c r="H446" i="543"/>
  <c r="V445" i="543"/>
  <c r="W445" i="543" s="1"/>
  <c r="N445" i="543"/>
  <c r="K445" i="543" a="1"/>
  <c r="K445" i="543" s="1"/>
  <c r="M445" i="543" s="1"/>
  <c r="J445" i="543" a="1"/>
  <c r="J445" i="543" s="1"/>
  <c r="H445" i="543"/>
  <c r="V444" i="543"/>
  <c r="W444" i="543" s="1"/>
  <c r="N444" i="543"/>
  <c r="K444" i="543"/>
  <c r="M444" i="543" s="1"/>
  <c r="K444" i="543" a="1"/>
  <c r="J444" i="543"/>
  <c r="J444" i="543" a="1"/>
  <c r="H444" i="543"/>
  <c r="V443" i="543"/>
  <c r="W443" i="543" s="1"/>
  <c r="N443" i="543"/>
  <c r="K443" i="543" a="1"/>
  <c r="K443" i="543" s="1"/>
  <c r="M443" i="543" s="1"/>
  <c r="J443" i="543" a="1"/>
  <c r="J443" i="543" s="1"/>
  <c r="H443" i="543"/>
  <c r="V442" i="543"/>
  <c r="W442" i="543" s="1"/>
  <c r="N442" i="543"/>
  <c r="K442" i="543" a="1"/>
  <c r="K442" i="543" s="1"/>
  <c r="M442" i="543" s="1"/>
  <c r="J442" i="543" a="1"/>
  <c r="J442" i="543" s="1"/>
  <c r="H442" i="543"/>
  <c r="V441" i="543"/>
  <c r="W441" i="543" s="1"/>
  <c r="N441" i="543"/>
  <c r="K441" i="543" a="1"/>
  <c r="K441" i="543" s="1"/>
  <c r="M441" i="543" s="1"/>
  <c r="J441" i="543" a="1"/>
  <c r="J441" i="543" s="1"/>
  <c r="H441" i="543"/>
  <c r="V440" i="543"/>
  <c r="W440" i="543" s="1"/>
  <c r="N440" i="543"/>
  <c r="K440" i="543"/>
  <c r="M440" i="543" s="1"/>
  <c r="K440" i="543" a="1"/>
  <c r="J440" i="543"/>
  <c r="J440" i="543" a="1"/>
  <c r="H440" i="543"/>
  <c r="V439" i="543"/>
  <c r="W439" i="543" s="1"/>
  <c r="N439" i="543"/>
  <c r="K439" i="543" a="1"/>
  <c r="K439" i="543" s="1"/>
  <c r="M439" i="543" s="1"/>
  <c r="J439" i="543" a="1"/>
  <c r="J439" i="543" s="1"/>
  <c r="H439" i="543"/>
  <c r="W438" i="543"/>
  <c r="V438" i="543"/>
  <c r="N438" i="543"/>
  <c r="K438" i="543" a="1"/>
  <c r="K438" i="543" s="1"/>
  <c r="M438" i="543" s="1"/>
  <c r="J438" i="543" a="1"/>
  <c r="J438" i="543" s="1"/>
  <c r="H438" i="543"/>
  <c r="V437" i="543"/>
  <c r="W437" i="543" s="1"/>
  <c r="N437" i="543"/>
  <c r="K437" i="543" a="1"/>
  <c r="K437" i="543" s="1"/>
  <c r="M437" i="543" s="1"/>
  <c r="J437" i="543" a="1"/>
  <c r="J437" i="543" s="1"/>
  <c r="H437" i="543"/>
  <c r="N436" i="543"/>
  <c r="K436" i="543"/>
  <c r="M436" i="543" s="1"/>
  <c r="K436" i="543" a="1"/>
  <c r="H436" i="543"/>
  <c r="V435" i="543"/>
  <c r="W435" i="543" s="1"/>
  <c r="N435" i="543"/>
  <c r="K435" i="543" a="1"/>
  <c r="K435" i="543" s="1"/>
  <c r="M435" i="543" s="1"/>
  <c r="J435" i="543" a="1"/>
  <c r="J435" i="543" s="1"/>
  <c r="H435" i="543"/>
  <c r="V434" i="543"/>
  <c r="W434" i="543" s="1"/>
  <c r="N434" i="543"/>
  <c r="K434" i="543" a="1"/>
  <c r="K434" i="543" s="1"/>
  <c r="M434" i="543" s="1"/>
  <c r="J434" i="543" a="1"/>
  <c r="J434" i="543" s="1"/>
  <c r="H434" i="543"/>
  <c r="V433" i="543"/>
  <c r="W433" i="543" s="1"/>
  <c r="N433" i="543"/>
  <c r="K433" i="543" a="1"/>
  <c r="K433" i="543" s="1"/>
  <c r="M433" i="543" s="1"/>
  <c r="J433" i="543" a="1"/>
  <c r="J433" i="543" s="1"/>
  <c r="H433" i="543"/>
  <c r="V432" i="543"/>
  <c r="W432" i="543" s="1"/>
  <c r="N432" i="543"/>
  <c r="K432" i="543"/>
  <c r="M432" i="543" s="1"/>
  <c r="K432" i="543" a="1"/>
  <c r="J432" i="543"/>
  <c r="J432" i="543" a="1"/>
  <c r="H432" i="543"/>
  <c r="V431" i="543"/>
  <c r="W431" i="543" s="1"/>
  <c r="N431" i="543"/>
  <c r="K431" i="543" a="1"/>
  <c r="K431" i="543" s="1"/>
  <c r="M431" i="543" s="1"/>
  <c r="J431" i="543" a="1"/>
  <c r="J431" i="543" s="1"/>
  <c r="H431" i="543"/>
  <c r="V430" i="543"/>
  <c r="W430" i="543" s="1"/>
  <c r="N430" i="543"/>
  <c r="K430" i="543" a="1"/>
  <c r="K430" i="543" s="1"/>
  <c r="M430" i="543" s="1"/>
  <c r="J430" i="543" a="1"/>
  <c r="J430" i="543" s="1"/>
  <c r="H430" i="543"/>
  <c r="V429" i="543"/>
  <c r="N429" i="543"/>
  <c r="K429" i="543" a="1"/>
  <c r="K429" i="543" s="1"/>
  <c r="J429" i="543" a="1"/>
  <c r="J429" i="543" s="1"/>
  <c r="H429" i="543"/>
  <c r="AA428" i="543"/>
  <c r="Z428" i="543"/>
  <c r="Y428" i="543"/>
  <c r="X428" i="543"/>
  <c r="U428" i="543"/>
  <c r="T428" i="543"/>
  <c r="S428" i="543"/>
  <c r="R428" i="543"/>
  <c r="Q428" i="543"/>
  <c r="P428" i="543"/>
  <c r="O428" i="543"/>
  <c r="I428" i="543"/>
  <c r="G428" i="543"/>
  <c r="K427" i="543"/>
  <c r="M427" i="543" s="1"/>
  <c r="K427" i="543" a="1"/>
  <c r="H427" i="543"/>
  <c r="K426" i="543" a="1"/>
  <c r="K426" i="543" s="1"/>
  <c r="M426" i="543" s="1"/>
  <c r="H426" i="543"/>
  <c r="K425" i="543"/>
  <c r="M425" i="543" s="1"/>
  <c r="K425" i="543" a="1"/>
  <c r="H425" i="543"/>
  <c r="K424" i="543" a="1"/>
  <c r="K424" i="543" s="1"/>
  <c r="M424" i="543" s="1"/>
  <c r="H424" i="543"/>
  <c r="K423" i="543"/>
  <c r="M423" i="543" s="1"/>
  <c r="K423" i="543" a="1"/>
  <c r="H423" i="543"/>
  <c r="K422" i="543" a="1"/>
  <c r="K422" i="543" s="1"/>
  <c r="M422" i="543" s="1"/>
  <c r="H422" i="543"/>
  <c r="K421" i="543"/>
  <c r="M421" i="543" s="1"/>
  <c r="K421" i="543" a="1"/>
  <c r="H421" i="543"/>
  <c r="K420" i="543" a="1"/>
  <c r="K420" i="543" s="1"/>
  <c r="M420" i="543" s="1"/>
  <c r="H420" i="543"/>
  <c r="K419" i="543"/>
  <c r="M419" i="543" s="1"/>
  <c r="K419" i="543" a="1"/>
  <c r="H419" i="543"/>
  <c r="K418" i="543" a="1"/>
  <c r="K418" i="543" s="1"/>
  <c r="M418" i="543" s="1"/>
  <c r="H418" i="543"/>
  <c r="V417" i="543"/>
  <c r="W417" i="543" s="1"/>
  <c r="N417" i="543"/>
  <c r="K417" i="543"/>
  <c r="M417" i="543" s="1"/>
  <c r="K417" i="543" a="1"/>
  <c r="J417" i="543" a="1"/>
  <c r="J417" i="543" s="1"/>
  <c r="H417" i="543"/>
  <c r="W416" i="543"/>
  <c r="V416" i="543"/>
  <c r="N416" i="543"/>
  <c r="K416" i="543" a="1"/>
  <c r="K416" i="543" s="1"/>
  <c r="M416" i="543" s="1"/>
  <c r="J416" i="543" a="1"/>
  <c r="J416" i="543" s="1"/>
  <c r="H416" i="543"/>
  <c r="V415" i="543"/>
  <c r="W415" i="543" s="1"/>
  <c r="N415" i="543"/>
  <c r="K415" i="543"/>
  <c r="M415" i="543" s="1"/>
  <c r="K415" i="543" a="1"/>
  <c r="J415" i="543" a="1"/>
  <c r="J415" i="543" s="1"/>
  <c r="H415" i="543"/>
  <c r="W414" i="543"/>
  <c r="V414" i="543"/>
  <c r="N414" i="543"/>
  <c r="K414" i="543" a="1"/>
  <c r="K414" i="543" s="1"/>
  <c r="M414" i="543" s="1"/>
  <c r="J414" i="543" a="1"/>
  <c r="J414" i="543" s="1"/>
  <c r="H414" i="543"/>
  <c r="H413" i="543"/>
  <c r="V412" i="543"/>
  <c r="W412" i="543" s="1"/>
  <c r="N412" i="543"/>
  <c r="K412" i="543" a="1"/>
  <c r="K412" i="543" s="1"/>
  <c r="M412" i="543" s="1"/>
  <c r="J412" i="543" a="1"/>
  <c r="J412" i="543" s="1"/>
  <c r="H412" i="543"/>
  <c r="V411" i="543"/>
  <c r="W411" i="543" s="1"/>
  <c r="N411" i="543"/>
  <c r="K411" i="543"/>
  <c r="M411" i="543" s="1"/>
  <c r="K411" i="543" a="1"/>
  <c r="J411" i="543"/>
  <c r="J411" i="543" a="1"/>
  <c r="H411" i="543"/>
  <c r="H410" i="543"/>
  <c r="K409" i="543" a="1"/>
  <c r="K409" i="543" s="1"/>
  <c r="H409" i="543"/>
  <c r="V408" i="543"/>
  <c r="W408" i="543" s="1"/>
  <c r="N408" i="543"/>
  <c r="K408" i="543" a="1"/>
  <c r="K408" i="543" s="1"/>
  <c r="M408" i="543" s="1"/>
  <c r="J408" i="543" a="1"/>
  <c r="J408" i="543" s="1"/>
  <c r="H408" i="543"/>
  <c r="V407" i="543"/>
  <c r="W407" i="543" s="1"/>
  <c r="N407" i="543"/>
  <c r="K407" i="543"/>
  <c r="M407" i="543" s="1"/>
  <c r="K407" i="543" a="1"/>
  <c r="J407" i="543"/>
  <c r="J407" i="543" a="1"/>
  <c r="H407" i="543"/>
  <c r="V406" i="543"/>
  <c r="W406" i="543" s="1"/>
  <c r="N406" i="543"/>
  <c r="K406" i="543" a="1"/>
  <c r="K406" i="543" s="1"/>
  <c r="M406" i="543" s="1"/>
  <c r="J406" i="543" a="1"/>
  <c r="J406" i="543" s="1"/>
  <c r="H406" i="543"/>
  <c r="V405" i="543"/>
  <c r="W405" i="543" s="1"/>
  <c r="N405" i="543"/>
  <c r="K405" i="543" a="1"/>
  <c r="K405" i="543" s="1"/>
  <c r="M405" i="543" s="1"/>
  <c r="J405" i="543" a="1"/>
  <c r="J405" i="543" s="1"/>
  <c r="H405" i="543"/>
  <c r="V404" i="543"/>
  <c r="W404" i="543" s="1"/>
  <c r="N404" i="543"/>
  <c r="K404" i="543" a="1"/>
  <c r="K404" i="543" s="1"/>
  <c r="M404" i="543" s="1"/>
  <c r="J404" i="543" a="1"/>
  <c r="J404" i="543" s="1"/>
  <c r="H404" i="543"/>
  <c r="V403" i="543"/>
  <c r="W403" i="543" s="1"/>
  <c r="N403" i="543"/>
  <c r="K403" i="543"/>
  <c r="M403" i="543" s="1"/>
  <c r="K403" i="543" a="1"/>
  <c r="J403" i="543"/>
  <c r="J403" i="543" a="1"/>
  <c r="H403" i="543"/>
  <c r="V402" i="543"/>
  <c r="W402" i="543" s="1"/>
  <c r="N402" i="543"/>
  <c r="K402" i="543" a="1"/>
  <c r="K402" i="543" s="1"/>
  <c r="M402" i="543" s="1"/>
  <c r="J402" i="543" a="1"/>
  <c r="J402" i="543" s="1"/>
  <c r="H402" i="543"/>
  <c r="V401" i="543"/>
  <c r="W401" i="543" s="1"/>
  <c r="N401" i="543"/>
  <c r="K401" i="543" a="1"/>
  <c r="K401" i="543" s="1"/>
  <c r="M401" i="543" s="1"/>
  <c r="J401" i="543" a="1"/>
  <c r="J401" i="543" s="1"/>
  <c r="H401" i="543"/>
  <c r="V400" i="543"/>
  <c r="W400" i="543" s="1"/>
  <c r="N400" i="543"/>
  <c r="K400" i="543" a="1"/>
  <c r="K400" i="543" s="1"/>
  <c r="M400" i="543" s="1"/>
  <c r="J400" i="543" a="1"/>
  <c r="J400" i="543" s="1"/>
  <c r="H400" i="543"/>
  <c r="V399" i="543"/>
  <c r="W399" i="543" s="1"/>
  <c r="N399" i="543"/>
  <c r="K399" i="543"/>
  <c r="M399" i="543" s="1"/>
  <c r="K399" i="543" a="1"/>
  <c r="J399" i="543"/>
  <c r="J399" i="543" a="1"/>
  <c r="H399" i="543"/>
  <c r="K398" i="543" a="1"/>
  <c r="K398" i="543" s="1"/>
  <c r="M398" i="543" s="1"/>
  <c r="H398" i="543"/>
  <c r="K397" i="543" a="1"/>
  <c r="K397" i="543" s="1"/>
  <c r="M397" i="543" s="1"/>
  <c r="H397" i="543"/>
  <c r="K396" i="543" a="1"/>
  <c r="K396" i="543" s="1"/>
  <c r="M396" i="543" s="1"/>
  <c r="H396" i="543"/>
  <c r="K395" i="543" a="1"/>
  <c r="K395" i="543" s="1"/>
  <c r="M395" i="543" s="1"/>
  <c r="H395" i="543"/>
  <c r="N394" i="543"/>
  <c r="K394" i="543" a="1"/>
  <c r="K394" i="543" s="1"/>
  <c r="M394" i="543" s="1"/>
  <c r="H394" i="543"/>
  <c r="N393" i="543"/>
  <c r="K393" i="543" a="1"/>
  <c r="K393" i="543" s="1"/>
  <c r="M393" i="543" s="1"/>
  <c r="H393" i="543"/>
  <c r="N392" i="543"/>
  <c r="K392" i="543"/>
  <c r="M392" i="543" s="1"/>
  <c r="K392" i="543" a="1"/>
  <c r="H392" i="543"/>
  <c r="N391" i="543"/>
  <c r="K391" i="543" a="1"/>
  <c r="K391" i="543" s="1"/>
  <c r="M391" i="543" s="1"/>
  <c r="H391" i="543"/>
  <c r="W390" i="543"/>
  <c r="V390" i="543"/>
  <c r="N390" i="543"/>
  <c r="K390" i="543" a="1"/>
  <c r="K390" i="543" s="1"/>
  <c r="M390" i="543" s="1"/>
  <c r="J390" i="543" a="1"/>
  <c r="J390" i="543" s="1"/>
  <c r="H390" i="543"/>
  <c r="V389" i="543"/>
  <c r="W389" i="543" s="1"/>
  <c r="N389" i="543"/>
  <c r="K389" i="543" a="1"/>
  <c r="K389" i="543" s="1"/>
  <c r="M389" i="543" s="1"/>
  <c r="J389" i="543" a="1"/>
  <c r="J389" i="543" s="1"/>
  <c r="H389" i="543"/>
  <c r="V388" i="543"/>
  <c r="W388" i="543" s="1"/>
  <c r="N388" i="543"/>
  <c r="K388" i="543"/>
  <c r="M388" i="543" s="1"/>
  <c r="K388" i="543" a="1"/>
  <c r="J388" i="543"/>
  <c r="J388" i="543" a="1"/>
  <c r="H388" i="543"/>
  <c r="V387" i="543"/>
  <c r="W387" i="543" s="1"/>
  <c r="N387" i="543"/>
  <c r="K387" i="543" a="1"/>
  <c r="K387" i="543" s="1"/>
  <c r="M387" i="543" s="1"/>
  <c r="J387" i="543" a="1"/>
  <c r="J387" i="543" s="1"/>
  <c r="H387" i="543"/>
  <c r="V386" i="543"/>
  <c r="W386" i="543" s="1"/>
  <c r="N386" i="543"/>
  <c r="K386" i="543" a="1"/>
  <c r="K386" i="543" s="1"/>
  <c r="M386" i="543" s="1"/>
  <c r="J386" i="543" a="1"/>
  <c r="J386" i="543" s="1"/>
  <c r="H386" i="543"/>
  <c r="V385" i="543"/>
  <c r="W385" i="543" s="1"/>
  <c r="N385" i="543"/>
  <c r="K385" i="543" a="1"/>
  <c r="K385" i="543" s="1"/>
  <c r="M385" i="543" s="1"/>
  <c r="J385" i="543" a="1"/>
  <c r="J385" i="543" s="1"/>
  <c r="H385" i="543"/>
  <c r="V384" i="543"/>
  <c r="W384" i="543" s="1"/>
  <c r="N384" i="543"/>
  <c r="K384" i="543"/>
  <c r="M384" i="543" s="1"/>
  <c r="K384" i="543" a="1"/>
  <c r="J384" i="543"/>
  <c r="J384" i="543" a="1"/>
  <c r="H384" i="543"/>
  <c r="V383" i="543"/>
  <c r="W383" i="543" s="1"/>
  <c r="N383" i="543"/>
  <c r="K383" i="543" a="1"/>
  <c r="K383" i="543" s="1"/>
  <c r="M383" i="543" s="1"/>
  <c r="J383" i="543" a="1"/>
  <c r="J383" i="543" s="1"/>
  <c r="H383" i="543"/>
  <c r="V382" i="543"/>
  <c r="W382" i="543" s="1"/>
  <c r="N382" i="543"/>
  <c r="K382" i="543" a="1"/>
  <c r="K382" i="543" s="1"/>
  <c r="M382" i="543" s="1"/>
  <c r="J382" i="543" a="1"/>
  <c r="J382" i="543" s="1"/>
  <c r="H382" i="543"/>
  <c r="V381" i="543"/>
  <c r="W381" i="543" s="1"/>
  <c r="N381" i="543"/>
  <c r="K381" i="543" a="1"/>
  <c r="K381" i="543" s="1"/>
  <c r="M381" i="543" s="1"/>
  <c r="J381" i="543" a="1"/>
  <c r="J381" i="543" s="1"/>
  <c r="H381" i="543"/>
  <c r="V380" i="543"/>
  <c r="W380" i="543" s="1"/>
  <c r="N380" i="543"/>
  <c r="K380" i="543"/>
  <c r="M380" i="543" s="1"/>
  <c r="K380" i="543" a="1"/>
  <c r="J380" i="543"/>
  <c r="J380" i="543" a="1"/>
  <c r="H380" i="543"/>
  <c r="V379" i="543"/>
  <c r="W379" i="543" s="1"/>
  <c r="N379" i="543"/>
  <c r="K379" i="543" a="1"/>
  <c r="K379" i="543" s="1"/>
  <c r="M379" i="543" s="1"/>
  <c r="J379" i="543" a="1"/>
  <c r="J379" i="543" s="1"/>
  <c r="H379" i="543"/>
  <c r="K378" i="543" a="1"/>
  <c r="K378" i="543" s="1"/>
  <c r="M378" i="543" s="1"/>
  <c r="H378" i="543"/>
  <c r="K377" i="543" a="1"/>
  <c r="K377" i="543" s="1"/>
  <c r="M377" i="543" s="1"/>
  <c r="H377" i="543"/>
  <c r="K376" i="543" a="1"/>
  <c r="K376" i="543" s="1"/>
  <c r="M376" i="543" s="1"/>
  <c r="H376" i="543"/>
  <c r="V375" i="543"/>
  <c r="W375" i="543" s="1"/>
  <c r="N375" i="543"/>
  <c r="K375" i="543" a="1"/>
  <c r="K375" i="543" s="1"/>
  <c r="M375" i="543" s="1"/>
  <c r="J375" i="543" a="1"/>
  <c r="J375" i="543" s="1"/>
  <c r="H375" i="543"/>
  <c r="V374" i="543"/>
  <c r="W374" i="543" s="1"/>
  <c r="N374" i="543"/>
  <c r="K374" i="543" a="1"/>
  <c r="K374" i="543" s="1"/>
  <c r="M374" i="543" s="1"/>
  <c r="J374" i="543" a="1"/>
  <c r="J374" i="543" s="1"/>
  <c r="H374" i="543"/>
  <c r="V373" i="543"/>
  <c r="W373" i="543" s="1"/>
  <c r="N373" i="543"/>
  <c r="K373" i="543"/>
  <c r="M373" i="543" s="1"/>
  <c r="K373" i="543" a="1"/>
  <c r="J373" i="543"/>
  <c r="J373" i="543" a="1"/>
  <c r="H373" i="543"/>
  <c r="K372" i="543" a="1"/>
  <c r="K372" i="543" s="1"/>
  <c r="H372" i="543"/>
  <c r="V371" i="543"/>
  <c r="V428" i="543" s="1"/>
  <c r="W428" i="543" s="1"/>
  <c r="N371" i="543"/>
  <c r="K371" i="543"/>
  <c r="K371" i="543" a="1"/>
  <c r="J371" i="543"/>
  <c r="J371" i="543" a="1"/>
  <c r="H371" i="543"/>
  <c r="H428" i="543" s="1"/>
  <c r="AA370" i="543"/>
  <c r="AA507" i="543" s="1"/>
  <c r="Z370" i="543"/>
  <c r="Z507" i="543" s="1"/>
  <c r="Y370" i="543"/>
  <c r="Y507" i="543" s="1"/>
  <c r="X370" i="543"/>
  <c r="X507" i="543" s="1"/>
  <c r="U370" i="543"/>
  <c r="U507" i="543" s="1"/>
  <c r="T370" i="543"/>
  <c r="T507" i="543" s="1"/>
  <c r="S370" i="543"/>
  <c r="S507" i="543" s="1"/>
  <c r="R370" i="543"/>
  <c r="R507" i="543" s="1"/>
  <c r="Q370" i="543"/>
  <c r="Q507" i="543" s="1"/>
  <c r="P370" i="543"/>
  <c r="P507" i="543" s="1"/>
  <c r="O370" i="543"/>
  <c r="I370" i="543"/>
  <c r="I507" i="543" s="1"/>
  <c r="B515" i="543" s="1"/>
  <c r="G370" i="543"/>
  <c r="G507" i="543" s="1"/>
  <c r="V369" i="543"/>
  <c r="W369" i="543" s="1"/>
  <c r="N369" i="543"/>
  <c r="K369" i="543" a="1"/>
  <c r="K369" i="543" s="1"/>
  <c r="M369" i="543" s="1"/>
  <c r="J369" i="543" a="1"/>
  <c r="J369" i="543" s="1"/>
  <c r="H369" i="543"/>
  <c r="V368" i="543"/>
  <c r="W368" i="543" s="1"/>
  <c r="N368" i="543"/>
  <c r="K368" i="543"/>
  <c r="M368" i="543" s="1"/>
  <c r="K368" i="543" a="1"/>
  <c r="J368" i="543"/>
  <c r="J368" i="543" a="1"/>
  <c r="H368" i="543"/>
  <c r="K367" i="543" a="1"/>
  <c r="K367" i="543" s="1"/>
  <c r="M367" i="543" s="1"/>
  <c r="H367" i="543"/>
  <c r="K366" i="543"/>
  <c r="M366" i="543" s="1"/>
  <c r="K366" i="543" a="1"/>
  <c r="H366" i="543"/>
  <c r="K365" i="543" a="1"/>
  <c r="K365" i="543" s="1"/>
  <c r="M365" i="543" s="1"/>
  <c r="H365" i="543"/>
  <c r="K364" i="543" a="1"/>
  <c r="K364" i="543" s="1"/>
  <c r="M364" i="543" s="1"/>
  <c r="H364" i="543"/>
  <c r="V363" i="543"/>
  <c r="W363" i="543" s="1"/>
  <c r="N363" i="543"/>
  <c r="K363" i="543" a="1"/>
  <c r="K363" i="543" s="1"/>
  <c r="M363" i="543" s="1"/>
  <c r="J363" i="543" a="1"/>
  <c r="J363" i="543" s="1"/>
  <c r="H363" i="543"/>
  <c r="V362" i="543"/>
  <c r="W362" i="543" s="1"/>
  <c r="N362" i="543"/>
  <c r="K362" i="543"/>
  <c r="M362" i="543" s="1"/>
  <c r="K362" i="543" a="1"/>
  <c r="J362" i="543"/>
  <c r="J362" i="543" a="1"/>
  <c r="H362" i="543"/>
  <c r="V361" i="543"/>
  <c r="W361" i="543" s="1"/>
  <c r="N361" i="543"/>
  <c r="K361" i="543" a="1"/>
  <c r="K361" i="543" s="1"/>
  <c r="M361" i="543" s="1"/>
  <c r="J361" i="543" a="1"/>
  <c r="J361" i="543" s="1"/>
  <c r="H361" i="543"/>
  <c r="H360" i="543"/>
  <c r="H359" i="543"/>
  <c r="W358" i="543"/>
  <c r="V358" i="543"/>
  <c r="N358" i="543"/>
  <c r="K358" i="543" a="1"/>
  <c r="K358" i="543" s="1"/>
  <c r="M358" i="543" s="1"/>
  <c r="J358" i="543" a="1"/>
  <c r="J358" i="543" s="1"/>
  <c r="H358" i="543"/>
  <c r="V357" i="543"/>
  <c r="W357" i="543" s="1"/>
  <c r="N357" i="543"/>
  <c r="K357" i="543" a="1"/>
  <c r="K357" i="543" s="1"/>
  <c r="M357" i="543" s="1"/>
  <c r="J357" i="543" a="1"/>
  <c r="J357" i="543" s="1"/>
  <c r="H357" i="543"/>
  <c r="K356" i="543" a="1"/>
  <c r="K356" i="543" s="1"/>
  <c r="M356" i="543" s="1"/>
  <c r="H356" i="543"/>
  <c r="K355" i="543" a="1"/>
  <c r="K355" i="543" s="1"/>
  <c r="M355" i="543" s="1"/>
  <c r="H355" i="543"/>
  <c r="V354" i="543"/>
  <c r="W354" i="543" s="1"/>
  <c r="N354" i="543"/>
  <c r="K354" i="543"/>
  <c r="M354" i="543" s="1"/>
  <c r="K354" i="543" a="1"/>
  <c r="J354" i="543"/>
  <c r="J354" i="543" a="1"/>
  <c r="H354" i="543"/>
  <c r="V353" i="543"/>
  <c r="W353" i="543" s="1"/>
  <c r="N353" i="543"/>
  <c r="K353" i="543" a="1"/>
  <c r="K353" i="543" s="1"/>
  <c r="M353" i="543" s="1"/>
  <c r="J353" i="543" a="1"/>
  <c r="J353" i="543" s="1"/>
  <c r="H353" i="543"/>
  <c r="W352" i="543"/>
  <c r="V352" i="543"/>
  <c r="N352" i="543"/>
  <c r="K352" i="543" a="1"/>
  <c r="K352" i="543" s="1"/>
  <c r="M352" i="543" s="1"/>
  <c r="J352" i="543" a="1"/>
  <c r="J352" i="543" s="1"/>
  <c r="H352" i="543"/>
  <c r="V351" i="543"/>
  <c r="W351" i="543" s="1"/>
  <c r="N351" i="543"/>
  <c r="K351" i="543" a="1"/>
  <c r="K351" i="543" s="1"/>
  <c r="M351" i="543" s="1"/>
  <c r="J351" i="543" a="1"/>
  <c r="J351" i="543" s="1"/>
  <c r="H351" i="543"/>
  <c r="V350" i="543"/>
  <c r="W350" i="543" s="1"/>
  <c r="N350" i="543"/>
  <c r="K350" i="543"/>
  <c r="M350" i="543" s="1"/>
  <c r="K350" i="543" a="1"/>
  <c r="J350" i="543"/>
  <c r="J350" i="543" a="1"/>
  <c r="H350" i="543"/>
  <c r="V349" i="543"/>
  <c r="V370" i="543" s="1"/>
  <c r="N349" i="543"/>
  <c r="N370" i="543" s="1"/>
  <c r="K349" i="543" a="1"/>
  <c r="K349" i="543" s="1"/>
  <c r="J349" i="543" a="1"/>
  <c r="J349" i="543" s="1"/>
  <c r="H349" i="543"/>
  <c r="H370" i="543" s="1"/>
  <c r="X343" i="543"/>
  <c r="X342" i="543"/>
  <c r="X341" i="543"/>
  <c r="G341" i="543"/>
  <c r="C341" i="543"/>
  <c r="X340" i="543"/>
  <c r="I340" i="543"/>
  <c r="E340" i="543"/>
  <c r="K340" i="543" s="1"/>
  <c r="M340" i="543" s="1"/>
  <c r="I339" i="543"/>
  <c r="E339" i="543"/>
  <c r="K339" i="543" s="1"/>
  <c r="M339" i="543" s="1"/>
  <c r="I338" i="543"/>
  <c r="E338" i="543"/>
  <c r="K338" i="543" s="1"/>
  <c r="M338" i="543" s="1"/>
  <c r="X337" i="543"/>
  <c r="I337" i="543"/>
  <c r="I341" i="543" s="1"/>
  <c r="E337" i="543"/>
  <c r="AA334" i="543"/>
  <c r="Z334" i="543"/>
  <c r="Y334" i="543"/>
  <c r="X334" i="543"/>
  <c r="U334" i="543"/>
  <c r="T334" i="543"/>
  <c r="S334" i="543"/>
  <c r="R334" i="543"/>
  <c r="Q334" i="543"/>
  <c r="P334" i="543"/>
  <c r="O334" i="543"/>
  <c r="R342" i="543" s="1"/>
  <c r="I334" i="543"/>
  <c r="G334" i="543"/>
  <c r="K333" i="543" a="1"/>
  <c r="K333" i="543" s="1"/>
  <c r="H333" i="543"/>
  <c r="K332" i="543"/>
  <c r="K332" i="543" a="1"/>
  <c r="H332" i="543"/>
  <c r="K331" i="543" a="1"/>
  <c r="K331" i="543" s="1"/>
  <c r="H331" i="543"/>
  <c r="V330" i="543"/>
  <c r="W330" i="543" s="1"/>
  <c r="N330" i="543"/>
  <c r="K330" i="543" a="1"/>
  <c r="K330" i="543" s="1"/>
  <c r="D330" i="543"/>
  <c r="H330" i="543" s="1"/>
  <c r="H329" i="543"/>
  <c r="K328" i="543" a="1"/>
  <c r="K328" i="543" s="1"/>
  <c r="H328" i="543"/>
  <c r="H327" i="543"/>
  <c r="V326" i="543"/>
  <c r="W326" i="543" s="1"/>
  <c r="N326" i="543"/>
  <c r="K326" i="543" a="1"/>
  <c r="K326" i="543" s="1"/>
  <c r="M326" i="543" s="1"/>
  <c r="J326" i="543" a="1"/>
  <c r="J326" i="543" s="1"/>
  <c r="H326" i="543"/>
  <c r="V325" i="543"/>
  <c r="W325" i="543" s="1"/>
  <c r="N325" i="543"/>
  <c r="K325" i="543" a="1"/>
  <c r="K325" i="543" s="1"/>
  <c r="M325" i="543" s="1"/>
  <c r="J325" i="543" a="1"/>
  <c r="J325" i="543" s="1"/>
  <c r="H325" i="543"/>
  <c r="H324" i="543"/>
  <c r="V323" i="543"/>
  <c r="W323" i="543" s="1"/>
  <c r="N323" i="543"/>
  <c r="K323" i="543" a="1"/>
  <c r="K323" i="543" s="1"/>
  <c r="M323" i="543" s="1"/>
  <c r="J323" i="543" a="1"/>
  <c r="J323" i="543" s="1"/>
  <c r="H323" i="543"/>
  <c r="V322" i="543"/>
  <c r="W322" i="543" s="1"/>
  <c r="N322" i="543"/>
  <c r="K322" i="543"/>
  <c r="M322" i="543" s="1"/>
  <c r="K322" i="543" a="1"/>
  <c r="J322" i="543"/>
  <c r="J322" i="543" a="1"/>
  <c r="H322" i="543"/>
  <c r="V321" i="543"/>
  <c r="W321" i="543" s="1"/>
  <c r="N321" i="543"/>
  <c r="K321" i="543" a="1"/>
  <c r="K321" i="543" s="1"/>
  <c r="M321" i="543" s="1"/>
  <c r="J321" i="543" a="1"/>
  <c r="J321" i="543" s="1"/>
  <c r="H321" i="543"/>
  <c r="V320" i="543"/>
  <c r="V334" i="543" s="1"/>
  <c r="N320" i="543"/>
  <c r="N334" i="543" s="1"/>
  <c r="K320" i="543" a="1"/>
  <c r="K320" i="543" s="1"/>
  <c r="J320" i="543" a="1"/>
  <c r="J320" i="543" s="1"/>
  <c r="H320" i="543"/>
  <c r="H334" i="543" s="1"/>
  <c r="AA319" i="543"/>
  <c r="Z319" i="543"/>
  <c r="Y319" i="543"/>
  <c r="X319" i="543"/>
  <c r="U319" i="543"/>
  <c r="T319" i="543"/>
  <c r="S319" i="543"/>
  <c r="Q319" i="543"/>
  <c r="P319" i="543"/>
  <c r="O319" i="543"/>
  <c r="R341" i="543" s="1"/>
  <c r="I319" i="543"/>
  <c r="G319" i="543"/>
  <c r="J319" i="543" s="1" a="1"/>
  <c r="J319" i="543" s="1"/>
  <c r="V318" i="543"/>
  <c r="W318" i="543" s="1"/>
  <c r="N318" i="543"/>
  <c r="K318" i="543" a="1"/>
  <c r="K318" i="543" s="1"/>
  <c r="M318" i="543" s="1"/>
  <c r="J318" i="543" a="1"/>
  <c r="J318" i="543" s="1"/>
  <c r="H318" i="543"/>
  <c r="H316" i="543"/>
  <c r="H315" i="543"/>
  <c r="H314" i="543"/>
  <c r="V313" i="543"/>
  <c r="W313" i="543" s="1"/>
  <c r="N313" i="543"/>
  <c r="K313" i="543" a="1"/>
  <c r="K313" i="543" s="1"/>
  <c r="M313" i="543" s="1"/>
  <c r="J313" i="543" a="1"/>
  <c r="J313" i="543" s="1"/>
  <c r="H313" i="543"/>
  <c r="V312" i="543"/>
  <c r="W312" i="543" s="1"/>
  <c r="N312" i="543"/>
  <c r="K312" i="543"/>
  <c r="M312" i="543" s="1"/>
  <c r="K312" i="543" a="1"/>
  <c r="J312" i="543"/>
  <c r="J312" i="543" a="1"/>
  <c r="H312" i="543"/>
  <c r="V311" i="543"/>
  <c r="W311" i="543" s="1"/>
  <c r="N311" i="543"/>
  <c r="K311" i="543" a="1"/>
  <c r="K311" i="543" s="1"/>
  <c r="M311" i="543" s="1"/>
  <c r="J311" i="543" a="1"/>
  <c r="J311" i="543" s="1"/>
  <c r="H311" i="543"/>
  <c r="V310" i="543"/>
  <c r="W310" i="543" s="1"/>
  <c r="N310" i="543"/>
  <c r="K310" i="543" a="1"/>
  <c r="K310" i="543" s="1"/>
  <c r="M310" i="543" s="1"/>
  <c r="J310" i="543" a="1"/>
  <c r="J310" i="543" s="1"/>
  <c r="H310" i="543"/>
  <c r="V309" i="543"/>
  <c r="V319" i="543" s="1"/>
  <c r="W319" i="543" s="1"/>
  <c r="N309" i="543"/>
  <c r="N319" i="543" s="1"/>
  <c r="K309" i="543" a="1"/>
  <c r="K309" i="543" s="1"/>
  <c r="J309" i="543" a="1"/>
  <c r="J309" i="543" s="1"/>
  <c r="H309" i="543"/>
  <c r="H319" i="543" s="1"/>
  <c r="AA308" i="543"/>
  <c r="Z308" i="543"/>
  <c r="Y308" i="543"/>
  <c r="X308" i="543"/>
  <c r="U308" i="543"/>
  <c r="T308" i="543"/>
  <c r="S308" i="543"/>
  <c r="Q308" i="543"/>
  <c r="P308" i="543"/>
  <c r="O308" i="543"/>
  <c r="I308" i="543"/>
  <c r="V307" i="543"/>
  <c r="W307" i="543" s="1"/>
  <c r="N307" i="543"/>
  <c r="K307" i="543" a="1"/>
  <c r="K307" i="543" s="1"/>
  <c r="M307" i="543" s="1"/>
  <c r="J307" i="543" a="1"/>
  <c r="J307" i="543" s="1"/>
  <c r="H307" i="543"/>
  <c r="V306" i="543"/>
  <c r="W306" i="543" s="1"/>
  <c r="N306" i="543"/>
  <c r="G306" i="543"/>
  <c r="K306" i="543" s="1" a="1"/>
  <c r="K306" i="543" s="1"/>
  <c r="M306" i="543" s="1"/>
  <c r="V305" i="543"/>
  <c r="W305" i="543" s="1"/>
  <c r="N305" i="543"/>
  <c r="K305" i="543" a="1"/>
  <c r="K305" i="543" s="1"/>
  <c r="M305" i="543" s="1"/>
  <c r="J305" i="543" a="1"/>
  <c r="J305" i="543" s="1"/>
  <c r="H305" i="543"/>
  <c r="V304" i="543"/>
  <c r="W304" i="543" s="1"/>
  <c r="N304" i="543"/>
  <c r="K304" i="543"/>
  <c r="M304" i="543" s="1"/>
  <c r="K304" i="543" a="1"/>
  <c r="J304" i="543"/>
  <c r="J304" i="543" a="1"/>
  <c r="H304" i="543"/>
  <c r="V303" i="543"/>
  <c r="W303" i="543" s="1"/>
  <c r="N303" i="543"/>
  <c r="K303" i="543" a="1"/>
  <c r="K303" i="543" s="1"/>
  <c r="M303" i="543" s="1"/>
  <c r="J303" i="543" a="1"/>
  <c r="J303" i="543" s="1"/>
  <c r="H303" i="543"/>
  <c r="V302" i="543"/>
  <c r="W302" i="543" s="1"/>
  <c r="N302" i="543"/>
  <c r="K302" i="543" a="1"/>
  <c r="K302" i="543" s="1"/>
  <c r="M302" i="543" s="1"/>
  <c r="J302" i="543" a="1"/>
  <c r="J302" i="543" s="1"/>
  <c r="H302" i="543"/>
  <c r="V301" i="543"/>
  <c r="W301" i="543" s="1"/>
  <c r="N301" i="543"/>
  <c r="K301" i="543" a="1"/>
  <c r="K301" i="543" s="1"/>
  <c r="M301" i="543" s="1"/>
  <c r="J301" i="543" a="1"/>
  <c r="J301" i="543" s="1"/>
  <c r="H301" i="543"/>
  <c r="V300" i="543"/>
  <c r="W300" i="543" s="1"/>
  <c r="N300" i="543"/>
  <c r="K300" i="543"/>
  <c r="M300" i="543" s="1"/>
  <c r="K300" i="543" a="1"/>
  <c r="J300" i="543"/>
  <c r="J300" i="543" a="1"/>
  <c r="H300" i="543"/>
  <c r="V299" i="543"/>
  <c r="W299" i="543" s="1"/>
  <c r="N299" i="543"/>
  <c r="K299" i="543" a="1"/>
  <c r="K299" i="543" s="1"/>
  <c r="M299" i="543" s="1"/>
  <c r="J299" i="543" a="1"/>
  <c r="J299" i="543" s="1"/>
  <c r="H299" i="543"/>
  <c r="V298" i="543"/>
  <c r="W298" i="543" s="1"/>
  <c r="N298" i="543"/>
  <c r="K298" i="543" a="1"/>
  <c r="K298" i="543" s="1"/>
  <c r="M298" i="543" s="1"/>
  <c r="J298" i="543" a="1"/>
  <c r="J298" i="543" s="1"/>
  <c r="H298" i="543"/>
  <c r="V297" i="543"/>
  <c r="W297" i="543" s="1"/>
  <c r="N297" i="543"/>
  <c r="K297" i="543" a="1"/>
  <c r="K297" i="543" s="1"/>
  <c r="M297" i="543" s="1"/>
  <c r="J297" i="543" a="1"/>
  <c r="J297" i="543" s="1"/>
  <c r="H297" i="543"/>
  <c r="V296" i="543"/>
  <c r="W296" i="543" s="1"/>
  <c r="N296" i="543"/>
  <c r="K296" i="543"/>
  <c r="M296" i="543" s="1"/>
  <c r="K296" i="543" a="1"/>
  <c r="J296" i="543"/>
  <c r="J296" i="543" a="1"/>
  <c r="H296" i="543"/>
  <c r="V295" i="543"/>
  <c r="W295" i="543" s="1"/>
  <c r="N295" i="543"/>
  <c r="K295" i="543" a="1"/>
  <c r="K295" i="543" s="1"/>
  <c r="M295" i="543" s="1"/>
  <c r="J295" i="543" a="1"/>
  <c r="J295" i="543" s="1"/>
  <c r="H295" i="543"/>
  <c r="V294" i="543"/>
  <c r="W294" i="543" s="1"/>
  <c r="N294" i="543"/>
  <c r="K294" i="543" a="1"/>
  <c r="K294" i="543" s="1"/>
  <c r="M294" i="543" s="1"/>
  <c r="J294" i="543" a="1"/>
  <c r="J294" i="543" s="1"/>
  <c r="H294" i="543"/>
  <c r="V293" i="543"/>
  <c r="N293" i="543"/>
  <c r="K293" i="543" a="1"/>
  <c r="K293" i="543" s="1"/>
  <c r="J293" i="543" a="1"/>
  <c r="J293" i="543" s="1"/>
  <c r="H293" i="543"/>
  <c r="AA292" i="543"/>
  <c r="Z292" i="543"/>
  <c r="Y292" i="543"/>
  <c r="X292" i="543"/>
  <c r="U292" i="543"/>
  <c r="T292" i="543"/>
  <c r="S292" i="543"/>
  <c r="R292" i="543"/>
  <c r="Q292" i="543"/>
  <c r="P292" i="543"/>
  <c r="O292" i="543"/>
  <c r="R339" i="543" s="1"/>
  <c r="I292" i="543"/>
  <c r="G292" i="543"/>
  <c r="V291" i="543"/>
  <c r="W291" i="543" s="1"/>
  <c r="N291" i="543"/>
  <c r="K291" i="543" a="1"/>
  <c r="K291" i="543" s="1"/>
  <c r="M291" i="543" s="1"/>
  <c r="J291" i="543" a="1"/>
  <c r="J291" i="543" s="1"/>
  <c r="H291" i="543"/>
  <c r="V290" i="543"/>
  <c r="W290" i="543" s="1"/>
  <c r="N290" i="543"/>
  <c r="K290" i="543" a="1"/>
  <c r="K290" i="543" s="1"/>
  <c r="M290" i="543" s="1"/>
  <c r="J290" i="543" a="1"/>
  <c r="J290" i="543" s="1"/>
  <c r="H290" i="543"/>
  <c r="V289" i="543"/>
  <c r="W289" i="543" s="1"/>
  <c r="N289" i="543"/>
  <c r="K289" i="543" a="1"/>
  <c r="K289" i="543" s="1"/>
  <c r="M289" i="543" s="1"/>
  <c r="J289" i="543" a="1"/>
  <c r="J289" i="543" s="1"/>
  <c r="H289" i="543"/>
  <c r="H288" i="543"/>
  <c r="H287" i="543"/>
  <c r="H286" i="543"/>
  <c r="G286" i="543"/>
  <c r="V285" i="543"/>
  <c r="W285" i="543" s="1"/>
  <c r="N285" i="543"/>
  <c r="K285" i="543"/>
  <c r="M285" i="543" s="1"/>
  <c r="K285" i="543" a="1"/>
  <c r="J285" i="543"/>
  <c r="J285" i="543" a="1"/>
  <c r="H285" i="543"/>
  <c r="V284" i="543"/>
  <c r="W284" i="543" s="1"/>
  <c r="N284" i="543"/>
  <c r="K284" i="543" a="1"/>
  <c r="K284" i="543" s="1"/>
  <c r="M284" i="543" s="1"/>
  <c r="J284" i="543" a="1"/>
  <c r="J284" i="543" s="1"/>
  <c r="H284" i="543"/>
  <c r="N283" i="543"/>
  <c r="K283" i="543" a="1"/>
  <c r="K283" i="543" s="1"/>
  <c r="M283" i="543" s="1"/>
  <c r="H283" i="543"/>
  <c r="N282" i="543"/>
  <c r="K282" i="543" a="1"/>
  <c r="K282" i="543" s="1"/>
  <c r="M282" i="543" s="1"/>
  <c r="H282" i="543"/>
  <c r="N281" i="543"/>
  <c r="K281" i="543"/>
  <c r="M281" i="543" s="1"/>
  <c r="K281" i="543" a="1"/>
  <c r="H281" i="543"/>
  <c r="N280" i="543"/>
  <c r="K280" i="543" a="1"/>
  <c r="K280" i="543" s="1"/>
  <c r="M280" i="543" s="1"/>
  <c r="H280" i="543"/>
  <c r="N279" i="543"/>
  <c r="K279" i="543" a="1"/>
  <c r="K279" i="543" s="1"/>
  <c r="M279" i="543" s="1"/>
  <c r="H279" i="543"/>
  <c r="N278" i="543"/>
  <c r="K278" i="543" a="1"/>
  <c r="K278" i="543" s="1"/>
  <c r="M278" i="543" s="1"/>
  <c r="H278" i="543"/>
  <c r="V277" i="543"/>
  <c r="W277" i="543" s="1"/>
  <c r="N277" i="543"/>
  <c r="K277" i="543"/>
  <c r="M277" i="543" s="1"/>
  <c r="K277" i="543" a="1"/>
  <c r="J277" i="543"/>
  <c r="J277" i="543" a="1"/>
  <c r="H277" i="543"/>
  <c r="V276" i="543"/>
  <c r="W276" i="543" s="1"/>
  <c r="N276" i="543"/>
  <c r="K276" i="543" a="1"/>
  <c r="K276" i="543" s="1"/>
  <c r="M276" i="543" s="1"/>
  <c r="J276" i="543" a="1"/>
  <c r="J276" i="543" s="1"/>
  <c r="H276" i="543"/>
  <c r="V275" i="543"/>
  <c r="W275" i="543" s="1"/>
  <c r="N275" i="543"/>
  <c r="K275" i="543" a="1"/>
  <c r="K275" i="543" s="1"/>
  <c r="M275" i="543" s="1"/>
  <c r="J275" i="543" a="1"/>
  <c r="J275" i="543" s="1"/>
  <c r="H275" i="543"/>
  <c r="V274" i="543"/>
  <c r="W274" i="543" s="1"/>
  <c r="N274" i="543"/>
  <c r="K274" i="543" a="1"/>
  <c r="K274" i="543" s="1"/>
  <c r="M274" i="543" s="1"/>
  <c r="J274" i="543" a="1"/>
  <c r="J274" i="543" s="1"/>
  <c r="H274" i="543"/>
  <c r="V273" i="543"/>
  <c r="W273" i="543" s="1"/>
  <c r="N273" i="543"/>
  <c r="K273" i="543"/>
  <c r="M273" i="543" s="1"/>
  <c r="K273" i="543" a="1"/>
  <c r="J273" i="543"/>
  <c r="J273" i="543" a="1"/>
  <c r="H273" i="543"/>
  <c r="V272" i="543"/>
  <c r="W272" i="543" s="1"/>
  <c r="N272" i="543"/>
  <c r="K272" i="543" a="1"/>
  <c r="K272" i="543" s="1"/>
  <c r="M272" i="543" s="1"/>
  <c r="J272" i="543" a="1"/>
  <c r="J272" i="543" s="1"/>
  <c r="H272" i="543"/>
  <c r="V271" i="543"/>
  <c r="W271" i="543" s="1"/>
  <c r="N271" i="543"/>
  <c r="K271" i="543" a="1"/>
  <c r="K271" i="543" s="1"/>
  <c r="M271" i="543" s="1"/>
  <c r="J271" i="543" a="1"/>
  <c r="J271" i="543" s="1"/>
  <c r="H271" i="543"/>
  <c r="V270" i="543"/>
  <c r="W270" i="543" s="1"/>
  <c r="N270" i="543"/>
  <c r="K270" i="543" a="1"/>
  <c r="K270" i="543" s="1"/>
  <c r="M270" i="543" s="1"/>
  <c r="J270" i="543" a="1"/>
  <c r="J270" i="543" s="1"/>
  <c r="H270" i="543"/>
  <c r="V269" i="543"/>
  <c r="W269" i="543" s="1"/>
  <c r="N269" i="543"/>
  <c r="K269" i="543"/>
  <c r="M269" i="543" s="1"/>
  <c r="K269" i="543" a="1"/>
  <c r="J269" i="543"/>
  <c r="J269" i="543" a="1"/>
  <c r="H269" i="543"/>
  <c r="V268" i="543"/>
  <c r="W268" i="543" s="1"/>
  <c r="N268" i="543"/>
  <c r="K268" i="543" a="1"/>
  <c r="K268" i="543" s="1"/>
  <c r="M268" i="543" s="1"/>
  <c r="J268" i="543" a="1"/>
  <c r="J268" i="543" s="1"/>
  <c r="H268" i="543"/>
  <c r="W267" i="543"/>
  <c r="V267" i="543"/>
  <c r="N267" i="543"/>
  <c r="K267" i="543" a="1"/>
  <c r="K267" i="543" s="1"/>
  <c r="M267" i="543" s="1"/>
  <c r="J267" i="543" a="1"/>
  <c r="J267" i="543" s="1"/>
  <c r="H267" i="543"/>
  <c r="V266" i="543"/>
  <c r="W266" i="543" s="1"/>
  <c r="N266" i="543"/>
  <c r="K266" i="543" a="1"/>
  <c r="K266" i="543" s="1"/>
  <c r="M266" i="543" s="1"/>
  <c r="J266" i="543" a="1"/>
  <c r="J266" i="543" s="1"/>
  <c r="H266" i="543"/>
  <c r="N265" i="543"/>
  <c r="K265" i="543"/>
  <c r="M265" i="543" s="1"/>
  <c r="K265" i="543" a="1"/>
  <c r="H265" i="543"/>
  <c r="V264" i="543"/>
  <c r="W264" i="543" s="1"/>
  <c r="N264" i="543"/>
  <c r="K264" i="543" a="1"/>
  <c r="K264" i="543" s="1"/>
  <c r="M264" i="543" s="1"/>
  <c r="J264" i="543" a="1"/>
  <c r="J264" i="543" s="1"/>
  <c r="H264" i="543"/>
  <c r="V263" i="543"/>
  <c r="W263" i="543" s="1"/>
  <c r="N263" i="543"/>
  <c r="K263" i="543" a="1"/>
  <c r="K263" i="543" s="1"/>
  <c r="M263" i="543" s="1"/>
  <c r="J263" i="543" a="1"/>
  <c r="J263" i="543" s="1"/>
  <c r="H263" i="543"/>
  <c r="V262" i="543"/>
  <c r="W262" i="543" s="1"/>
  <c r="N262" i="543"/>
  <c r="K262" i="543" a="1"/>
  <c r="K262" i="543" s="1"/>
  <c r="M262" i="543" s="1"/>
  <c r="J262" i="543" a="1"/>
  <c r="J262" i="543" s="1"/>
  <c r="H262" i="543"/>
  <c r="V261" i="543"/>
  <c r="W261" i="543" s="1"/>
  <c r="N261" i="543"/>
  <c r="K261" i="543"/>
  <c r="M261" i="543" s="1"/>
  <c r="K261" i="543" a="1"/>
  <c r="J261" i="543" a="1"/>
  <c r="J261" i="543" s="1"/>
  <c r="H261" i="543"/>
  <c r="V260" i="543"/>
  <c r="W260" i="543" s="1"/>
  <c r="N260" i="543"/>
  <c r="K260" i="543" a="1"/>
  <c r="K260" i="543" s="1"/>
  <c r="M260" i="543" s="1"/>
  <c r="J260" i="543" a="1"/>
  <c r="J260" i="543" s="1"/>
  <c r="H260" i="543"/>
  <c r="V259" i="543"/>
  <c r="W259" i="543" s="1"/>
  <c r="N259" i="543"/>
  <c r="K259" i="543" a="1"/>
  <c r="K259" i="543" s="1"/>
  <c r="M259" i="543" s="1"/>
  <c r="J259" i="543" a="1"/>
  <c r="J259" i="543" s="1"/>
  <c r="H259" i="543"/>
  <c r="V258" i="543"/>
  <c r="V292" i="543" s="1"/>
  <c r="W292" i="543" s="1"/>
  <c r="N258" i="543"/>
  <c r="N292" i="543" s="1"/>
  <c r="K258" i="543" a="1"/>
  <c r="K258" i="543" s="1"/>
  <c r="J258" i="543" a="1"/>
  <c r="J258" i="543" s="1"/>
  <c r="H258" i="543"/>
  <c r="H292" i="543" s="1"/>
  <c r="AA257" i="543"/>
  <c r="Z257" i="543"/>
  <c r="Y257" i="543"/>
  <c r="X257" i="543"/>
  <c r="U257" i="543"/>
  <c r="T257" i="543"/>
  <c r="S257" i="543"/>
  <c r="R257" i="543"/>
  <c r="Q257" i="543"/>
  <c r="P257" i="543"/>
  <c r="O257" i="543"/>
  <c r="R338" i="543" s="1"/>
  <c r="I257" i="543"/>
  <c r="H256" i="543"/>
  <c r="H255" i="543"/>
  <c r="H254" i="543"/>
  <c r="H253" i="543"/>
  <c r="H252" i="543"/>
  <c r="H251" i="543"/>
  <c r="K250" i="543" a="1"/>
  <c r="K250" i="543" s="1"/>
  <c r="M250" i="543" s="1"/>
  <c r="H250" i="543"/>
  <c r="K249" i="543"/>
  <c r="M249" i="543" s="1"/>
  <c r="K249" i="543" a="1"/>
  <c r="H249" i="543"/>
  <c r="K248" i="543" a="1"/>
  <c r="K248" i="543" s="1"/>
  <c r="M248" i="543" s="1"/>
  <c r="H248" i="543"/>
  <c r="K247" i="543"/>
  <c r="M247" i="543" s="1"/>
  <c r="K247" i="543" a="1"/>
  <c r="H247" i="543"/>
  <c r="V246" i="543"/>
  <c r="W246" i="543" s="1"/>
  <c r="N246" i="543"/>
  <c r="K246" i="543" a="1"/>
  <c r="K246" i="543" s="1"/>
  <c r="M246" i="543" s="1"/>
  <c r="J246" i="543" a="1"/>
  <c r="J246" i="543" s="1"/>
  <c r="H246" i="543"/>
  <c r="V245" i="543"/>
  <c r="W245" i="543" s="1"/>
  <c r="N245" i="543"/>
  <c r="K245" i="543"/>
  <c r="M245" i="543" s="1"/>
  <c r="K245" i="543" a="1"/>
  <c r="J245" i="543"/>
  <c r="J245" i="543" a="1"/>
  <c r="H245" i="543"/>
  <c r="V244" i="543"/>
  <c r="W244" i="543" s="1"/>
  <c r="N244" i="543"/>
  <c r="K244" i="543" a="1"/>
  <c r="K244" i="543" s="1"/>
  <c r="M244" i="543" s="1"/>
  <c r="J244" i="543" a="1"/>
  <c r="J244" i="543" s="1"/>
  <c r="H244" i="543"/>
  <c r="V243" i="543"/>
  <c r="W243" i="543" s="1"/>
  <c r="N243" i="543"/>
  <c r="K243" i="543" a="1"/>
  <c r="K243" i="543" s="1"/>
  <c r="M243" i="543" s="1"/>
  <c r="J243" i="543" a="1"/>
  <c r="J243" i="543" s="1"/>
  <c r="H243" i="543"/>
  <c r="M242" i="543"/>
  <c r="H242" i="543"/>
  <c r="V241" i="543"/>
  <c r="W241" i="543" s="1"/>
  <c r="N241" i="543"/>
  <c r="K241" i="543" a="1"/>
  <c r="K241" i="543" s="1"/>
  <c r="M241" i="543" s="1"/>
  <c r="J241" i="543" a="1"/>
  <c r="J241" i="543" s="1"/>
  <c r="H241" i="543"/>
  <c r="V240" i="543"/>
  <c r="W240" i="543" s="1"/>
  <c r="N240" i="543"/>
  <c r="K240" i="543"/>
  <c r="M240" i="543" s="1"/>
  <c r="K240" i="543" a="1"/>
  <c r="J240" i="543"/>
  <c r="J240" i="543" a="1"/>
  <c r="H240" i="543"/>
  <c r="H239" i="543"/>
  <c r="G239" i="543"/>
  <c r="K239" i="543" s="1" a="1"/>
  <c r="K239" i="543" s="1"/>
  <c r="M239" i="543" s="1"/>
  <c r="H238" i="543"/>
  <c r="V237" i="543"/>
  <c r="W237" i="543" s="1"/>
  <c r="N237" i="543"/>
  <c r="K237" i="543" a="1"/>
  <c r="K237" i="543" s="1"/>
  <c r="M237" i="543" s="1"/>
  <c r="J237" i="543" a="1"/>
  <c r="J237" i="543" s="1"/>
  <c r="H237" i="543"/>
  <c r="V236" i="543"/>
  <c r="W236" i="543" s="1"/>
  <c r="N236" i="543"/>
  <c r="K236" i="543"/>
  <c r="M236" i="543" s="1"/>
  <c r="K236" i="543" a="1"/>
  <c r="J236" i="543" a="1"/>
  <c r="J236" i="543" s="1"/>
  <c r="H236" i="543"/>
  <c r="V235" i="543"/>
  <c r="W235" i="543" s="1"/>
  <c r="N235" i="543"/>
  <c r="K235" i="543" a="1"/>
  <c r="K235" i="543" s="1"/>
  <c r="M235" i="543" s="1"/>
  <c r="J235" i="543" a="1"/>
  <c r="J235" i="543" s="1"/>
  <c r="H235" i="543"/>
  <c r="V234" i="543"/>
  <c r="W234" i="543" s="1"/>
  <c r="N234" i="543"/>
  <c r="K234" i="543" a="1"/>
  <c r="K234" i="543" s="1"/>
  <c r="M234" i="543" s="1"/>
  <c r="J234" i="543" a="1"/>
  <c r="J234" i="543" s="1"/>
  <c r="H234" i="543"/>
  <c r="V233" i="543"/>
  <c r="W233" i="543" s="1"/>
  <c r="N233" i="543"/>
  <c r="K233" i="543" a="1"/>
  <c r="K233" i="543" s="1"/>
  <c r="M233" i="543" s="1"/>
  <c r="J233" i="543" a="1"/>
  <c r="J233" i="543" s="1"/>
  <c r="H233" i="543"/>
  <c r="V232" i="543"/>
  <c r="W232" i="543" s="1"/>
  <c r="N232" i="543"/>
  <c r="K232" i="543"/>
  <c r="M232" i="543" s="1"/>
  <c r="K232" i="543" a="1"/>
  <c r="J232" i="543"/>
  <c r="J232" i="543" a="1"/>
  <c r="H232" i="543"/>
  <c r="V231" i="543"/>
  <c r="W231" i="543" s="1"/>
  <c r="N231" i="543"/>
  <c r="K231" i="543" a="1"/>
  <c r="K231" i="543" s="1"/>
  <c r="M231" i="543" s="1"/>
  <c r="J231" i="543" a="1"/>
  <c r="J231" i="543" s="1"/>
  <c r="H231" i="543"/>
  <c r="V230" i="543"/>
  <c r="W230" i="543" s="1"/>
  <c r="N230" i="543"/>
  <c r="K230" i="543" a="1"/>
  <c r="K230" i="543" s="1"/>
  <c r="M230" i="543" s="1"/>
  <c r="J230" i="543" a="1"/>
  <c r="J230" i="543" s="1"/>
  <c r="H230" i="543"/>
  <c r="V229" i="543"/>
  <c r="W229" i="543" s="1"/>
  <c r="N229" i="543"/>
  <c r="K229" i="543" a="1"/>
  <c r="K229" i="543" s="1"/>
  <c r="M229" i="543" s="1"/>
  <c r="J229" i="543" a="1"/>
  <c r="J229" i="543" s="1"/>
  <c r="H229" i="543"/>
  <c r="V228" i="543"/>
  <c r="W228" i="543" s="1"/>
  <c r="N228" i="543"/>
  <c r="K228" i="543"/>
  <c r="M228" i="543" s="1"/>
  <c r="K228" i="543" a="1"/>
  <c r="J228" i="543"/>
  <c r="J228" i="543" a="1"/>
  <c r="H228" i="543"/>
  <c r="N227" i="543"/>
  <c r="K227" i="543" a="1"/>
  <c r="K227" i="543" s="1"/>
  <c r="M227" i="543" s="1"/>
  <c r="H227" i="543"/>
  <c r="N226" i="543"/>
  <c r="K226" i="543" a="1"/>
  <c r="K226" i="543" s="1"/>
  <c r="M226" i="543" s="1"/>
  <c r="H226" i="543"/>
  <c r="N225" i="543"/>
  <c r="K225" i="543" a="1"/>
  <c r="K225" i="543" s="1"/>
  <c r="M225" i="543" s="1"/>
  <c r="H225" i="543"/>
  <c r="N224" i="543"/>
  <c r="K224" i="543" a="1"/>
  <c r="K224" i="543" s="1"/>
  <c r="M224" i="543" s="1"/>
  <c r="H224" i="543"/>
  <c r="N223" i="543"/>
  <c r="K223" i="543" a="1"/>
  <c r="K223" i="543" s="1"/>
  <c r="M223" i="543" s="1"/>
  <c r="H223" i="543"/>
  <c r="N222" i="543"/>
  <c r="K222" i="543" a="1"/>
  <c r="K222" i="543" s="1"/>
  <c r="M222" i="543" s="1"/>
  <c r="H222" i="543"/>
  <c r="N221" i="543"/>
  <c r="K221" i="543" a="1"/>
  <c r="K221" i="543" s="1"/>
  <c r="M221" i="543" s="1"/>
  <c r="H221" i="543"/>
  <c r="N220" i="543"/>
  <c r="K220" i="543" a="1"/>
  <c r="K220" i="543" s="1"/>
  <c r="M220" i="543" s="1"/>
  <c r="H220" i="543"/>
  <c r="V219" i="543"/>
  <c r="W219" i="543" s="1"/>
  <c r="N219" i="543"/>
  <c r="H219" i="543"/>
  <c r="V218" i="543"/>
  <c r="W218" i="543" s="1"/>
  <c r="N218" i="543"/>
  <c r="K218" i="543" a="1"/>
  <c r="K218" i="543" s="1"/>
  <c r="M218" i="543" s="1"/>
  <c r="J218" i="543" a="1"/>
  <c r="J218" i="543" s="1"/>
  <c r="H218" i="543"/>
  <c r="V217" i="543"/>
  <c r="W217" i="543" s="1"/>
  <c r="N217" i="543"/>
  <c r="K217" i="543" a="1"/>
  <c r="K217" i="543" s="1"/>
  <c r="M217" i="543" s="1"/>
  <c r="J217" i="543" a="1"/>
  <c r="J217" i="543" s="1"/>
  <c r="H217" i="543"/>
  <c r="V216" i="543"/>
  <c r="W216" i="543" s="1"/>
  <c r="N216" i="543"/>
  <c r="K216" i="543" a="1"/>
  <c r="K216" i="543" s="1"/>
  <c r="M216" i="543" s="1"/>
  <c r="J216" i="543" a="1"/>
  <c r="J216" i="543" s="1"/>
  <c r="H216" i="543"/>
  <c r="V215" i="543"/>
  <c r="W215" i="543" s="1"/>
  <c r="N215" i="543"/>
  <c r="K215" i="543"/>
  <c r="M215" i="543" s="1"/>
  <c r="K215" i="543" a="1"/>
  <c r="J215" i="543"/>
  <c r="J215" i="543" a="1"/>
  <c r="H215" i="543"/>
  <c r="V214" i="543"/>
  <c r="W214" i="543" s="1"/>
  <c r="N214" i="543"/>
  <c r="K214" i="543" a="1"/>
  <c r="K214" i="543" s="1"/>
  <c r="M214" i="543" s="1"/>
  <c r="J214" i="543" a="1"/>
  <c r="J214" i="543" s="1"/>
  <c r="H214" i="543"/>
  <c r="V213" i="543"/>
  <c r="W213" i="543" s="1"/>
  <c r="N213" i="543"/>
  <c r="K213" i="543" a="1"/>
  <c r="K213" i="543" s="1"/>
  <c r="M213" i="543" s="1"/>
  <c r="J213" i="543" a="1"/>
  <c r="J213" i="543" s="1"/>
  <c r="H213" i="543"/>
  <c r="V212" i="543"/>
  <c r="W212" i="543" s="1"/>
  <c r="N212" i="543"/>
  <c r="K212" i="543" a="1"/>
  <c r="K212" i="543" s="1"/>
  <c r="M212" i="543" s="1"/>
  <c r="J212" i="543" a="1"/>
  <c r="J212" i="543" s="1"/>
  <c r="H212" i="543"/>
  <c r="V211" i="543"/>
  <c r="W211" i="543" s="1"/>
  <c r="N211" i="543"/>
  <c r="K211" i="543"/>
  <c r="M211" i="543" s="1"/>
  <c r="K211" i="543" a="1"/>
  <c r="J211" i="543"/>
  <c r="J211" i="543" a="1"/>
  <c r="H211" i="543"/>
  <c r="V210" i="543"/>
  <c r="W210" i="543" s="1"/>
  <c r="N210" i="543"/>
  <c r="K210" i="543" a="1"/>
  <c r="K210" i="543" s="1"/>
  <c r="M210" i="543" s="1"/>
  <c r="J210" i="543" a="1"/>
  <c r="J210" i="543" s="1"/>
  <c r="H210" i="543"/>
  <c r="V209" i="543"/>
  <c r="W209" i="543" s="1"/>
  <c r="N209" i="543"/>
  <c r="K209" i="543" a="1"/>
  <c r="K209" i="543" s="1"/>
  <c r="M209" i="543" s="1"/>
  <c r="J209" i="543" a="1"/>
  <c r="J209" i="543" s="1"/>
  <c r="H209" i="543"/>
  <c r="V208" i="543"/>
  <c r="W208" i="543" s="1"/>
  <c r="N208" i="543"/>
  <c r="G208" i="543"/>
  <c r="G257" i="543" s="1"/>
  <c r="J257" i="543" s="1" a="1"/>
  <c r="J257" i="543" s="1"/>
  <c r="H207" i="543"/>
  <c r="H206" i="543"/>
  <c r="H205" i="543"/>
  <c r="V204" i="543"/>
  <c r="W204" i="543" s="1"/>
  <c r="N204" i="543"/>
  <c r="K204" i="543" a="1"/>
  <c r="K204" i="543" s="1"/>
  <c r="M204" i="543" s="1"/>
  <c r="J204" i="543" a="1"/>
  <c r="J204" i="543" s="1"/>
  <c r="H204" i="543"/>
  <c r="V203" i="543"/>
  <c r="W203" i="543" s="1"/>
  <c r="N203" i="543"/>
  <c r="K203" i="543" a="1"/>
  <c r="K203" i="543" s="1"/>
  <c r="M203" i="543" s="1"/>
  <c r="J203" i="543" a="1"/>
  <c r="J203" i="543" s="1"/>
  <c r="H203" i="543"/>
  <c r="V202" i="543"/>
  <c r="W202" i="543" s="1"/>
  <c r="N202" i="543"/>
  <c r="K202" i="543"/>
  <c r="M202" i="543" s="1"/>
  <c r="K202" i="543" a="1"/>
  <c r="J202" i="543"/>
  <c r="J202" i="543" a="1"/>
  <c r="H202" i="543"/>
  <c r="H201" i="543"/>
  <c r="W200" i="543"/>
  <c r="V200" i="543"/>
  <c r="N200" i="543"/>
  <c r="N257" i="543" s="1"/>
  <c r="K200" i="543" a="1"/>
  <c r="K200" i="543" s="1"/>
  <c r="J200" i="543" a="1"/>
  <c r="J200" i="543" s="1"/>
  <c r="H200" i="543"/>
  <c r="AA199" i="543"/>
  <c r="AA335" i="543" s="1"/>
  <c r="Z199" i="543"/>
  <c r="Z335" i="543" s="1"/>
  <c r="Y199" i="543"/>
  <c r="Y335" i="543" s="1"/>
  <c r="X199" i="543"/>
  <c r="X335" i="543" s="1"/>
  <c r="U199" i="543"/>
  <c r="U335" i="543" s="1"/>
  <c r="T199" i="543"/>
  <c r="T335" i="543" s="1"/>
  <c r="S199" i="543"/>
  <c r="S335" i="543" s="1"/>
  <c r="R199" i="543"/>
  <c r="R335" i="543" s="1"/>
  <c r="Q199" i="543"/>
  <c r="Q335" i="543" s="1"/>
  <c r="P199" i="543"/>
  <c r="O199" i="543"/>
  <c r="I199" i="543"/>
  <c r="I335" i="543" s="1"/>
  <c r="B343" i="543" s="1"/>
  <c r="V198" i="543"/>
  <c r="N198" i="543"/>
  <c r="H198" i="543"/>
  <c r="K198" i="543" a="1"/>
  <c r="K198" i="543" s="1"/>
  <c r="M198" i="543" s="1"/>
  <c r="V197" i="543"/>
  <c r="W197" i="543" s="1"/>
  <c r="N197" i="543"/>
  <c r="K197" i="543" a="1"/>
  <c r="K197" i="543" s="1"/>
  <c r="M197" i="543" s="1"/>
  <c r="J197" i="543" a="1"/>
  <c r="J197" i="543" s="1"/>
  <c r="H197" i="543"/>
  <c r="K196" i="543" a="1"/>
  <c r="K196" i="543" s="1"/>
  <c r="M196" i="543" s="1"/>
  <c r="H196" i="543"/>
  <c r="K195" i="543" a="1"/>
  <c r="K195" i="543" s="1"/>
  <c r="M195" i="543" s="1"/>
  <c r="H195" i="543"/>
  <c r="K194" i="543" a="1"/>
  <c r="K194" i="543" s="1"/>
  <c r="M194" i="543" s="1"/>
  <c r="H194" i="543"/>
  <c r="K193" i="543" a="1"/>
  <c r="K193" i="543" s="1"/>
  <c r="M193" i="543" s="1"/>
  <c r="H193" i="543"/>
  <c r="V192" i="543"/>
  <c r="W192" i="543" s="1"/>
  <c r="N192" i="543"/>
  <c r="K192" i="543" a="1"/>
  <c r="K192" i="543" s="1"/>
  <c r="M192" i="543" s="1"/>
  <c r="J192" i="543" a="1"/>
  <c r="J192" i="543" s="1"/>
  <c r="H192" i="543"/>
  <c r="V191" i="543"/>
  <c r="W191" i="543" s="1"/>
  <c r="N191" i="543"/>
  <c r="K191" i="543" a="1"/>
  <c r="K191" i="543" s="1"/>
  <c r="M191" i="543" s="1"/>
  <c r="J191" i="543" a="1"/>
  <c r="J191" i="543" s="1"/>
  <c r="H191" i="543"/>
  <c r="V190" i="543"/>
  <c r="N190" i="543"/>
  <c r="H190" i="543"/>
  <c r="G190" i="543"/>
  <c r="G199" i="543" s="1"/>
  <c r="N189" i="543"/>
  <c r="K189" i="543" a="1"/>
  <c r="K189" i="543" s="1"/>
  <c r="M189" i="543" s="1"/>
  <c r="J189" i="543" a="1"/>
  <c r="J189" i="543" s="1"/>
  <c r="H189" i="543"/>
  <c r="N188" i="543"/>
  <c r="K188" i="543" a="1"/>
  <c r="K188" i="543" s="1"/>
  <c r="M188" i="543" s="1"/>
  <c r="J188" i="543" a="1"/>
  <c r="J188" i="543" s="1"/>
  <c r="H188" i="543"/>
  <c r="V187" i="543"/>
  <c r="W187" i="543" s="1"/>
  <c r="N187" i="543"/>
  <c r="K187" i="543"/>
  <c r="M187" i="543" s="1"/>
  <c r="K187" i="543" a="1"/>
  <c r="J187" i="543" a="1"/>
  <c r="J187" i="543" s="1"/>
  <c r="H187" i="543"/>
  <c r="V186" i="543"/>
  <c r="W186" i="543" s="1"/>
  <c r="N186" i="543"/>
  <c r="K186" i="543" a="1"/>
  <c r="K186" i="543" s="1"/>
  <c r="M186" i="543" s="1"/>
  <c r="J186" i="543" a="1"/>
  <c r="J186" i="543" s="1"/>
  <c r="H186" i="543"/>
  <c r="N185" i="543"/>
  <c r="K185" i="543"/>
  <c r="M185" i="543" s="1"/>
  <c r="K185" i="543" a="1"/>
  <c r="H185" i="543"/>
  <c r="N184" i="543"/>
  <c r="K184" i="543" a="1"/>
  <c r="K184" i="543" s="1"/>
  <c r="M184" i="543" s="1"/>
  <c r="H184" i="543"/>
  <c r="V183" i="543"/>
  <c r="W183" i="543" s="1"/>
  <c r="N183" i="543"/>
  <c r="K183" i="543" a="1"/>
  <c r="K183" i="543" s="1"/>
  <c r="M183" i="543" s="1"/>
  <c r="J183" i="543" a="1"/>
  <c r="J183" i="543" s="1"/>
  <c r="H183" i="543"/>
  <c r="V182" i="543"/>
  <c r="W182" i="543" s="1"/>
  <c r="N182" i="543"/>
  <c r="K182" i="543" a="1"/>
  <c r="K182" i="543" s="1"/>
  <c r="M182" i="543" s="1"/>
  <c r="J182" i="543" a="1"/>
  <c r="J182" i="543" s="1"/>
  <c r="H182" i="543"/>
  <c r="V181" i="543"/>
  <c r="W181" i="543" s="1"/>
  <c r="N181" i="543"/>
  <c r="K181" i="543"/>
  <c r="M181" i="543" s="1"/>
  <c r="K181" i="543" a="1"/>
  <c r="J181" i="543"/>
  <c r="J181" i="543" a="1"/>
  <c r="H181" i="543"/>
  <c r="V180" i="543"/>
  <c r="W180" i="543" s="1"/>
  <c r="N180" i="543"/>
  <c r="K180" i="543" a="1"/>
  <c r="K180" i="543" s="1"/>
  <c r="M180" i="543" s="1"/>
  <c r="J180" i="543" a="1"/>
  <c r="J180" i="543" s="1"/>
  <c r="H180" i="543"/>
  <c r="V179" i="543"/>
  <c r="W179" i="543" s="1"/>
  <c r="N179" i="543"/>
  <c r="K179" i="543" a="1"/>
  <c r="K179" i="543" s="1"/>
  <c r="M179" i="543" s="1"/>
  <c r="J179" i="543" a="1"/>
  <c r="J179" i="543" s="1"/>
  <c r="H179" i="543"/>
  <c r="V178" i="543"/>
  <c r="V199" i="543" s="1"/>
  <c r="N178" i="543"/>
  <c r="K178" i="543" a="1"/>
  <c r="K178" i="543" s="1"/>
  <c r="J178" i="543" a="1"/>
  <c r="J178" i="543" s="1"/>
  <c r="H178" i="543"/>
  <c r="H199" i="543" s="1"/>
  <c r="X171" i="543"/>
  <c r="Q529" i="543" s="1"/>
  <c r="X170" i="543"/>
  <c r="Q528" i="543" s="1"/>
  <c r="G170" i="543"/>
  <c r="C170" i="543"/>
  <c r="X169" i="543"/>
  <c r="Q527" i="543" s="1"/>
  <c r="I169" i="543"/>
  <c r="E169" i="543"/>
  <c r="K169" i="543" s="1"/>
  <c r="M169" i="543" s="1"/>
  <c r="I168" i="543"/>
  <c r="E168" i="543"/>
  <c r="K168" i="543" s="1"/>
  <c r="M168" i="543" s="1"/>
  <c r="I167" i="543"/>
  <c r="E167" i="543"/>
  <c r="K167" i="543" s="1"/>
  <c r="M167" i="543" s="1"/>
  <c r="X166" i="543"/>
  <c r="Q524" i="543" s="1"/>
  <c r="I166" i="543"/>
  <c r="I170" i="543" s="1"/>
  <c r="E166" i="543"/>
  <c r="K166" i="543" s="1"/>
  <c r="AA163" i="543"/>
  <c r="Z163" i="543"/>
  <c r="Y163" i="543"/>
  <c r="X163" i="543"/>
  <c r="U163" i="543"/>
  <c r="T163" i="543"/>
  <c r="S163" i="543"/>
  <c r="R163" i="543"/>
  <c r="Q163" i="543"/>
  <c r="P163" i="543"/>
  <c r="O163" i="543"/>
  <c r="R171" i="543" s="1"/>
  <c r="I163" i="543"/>
  <c r="G163" i="543"/>
  <c r="C529" i="543" s="1"/>
  <c r="H162" i="543"/>
  <c r="H161" i="543"/>
  <c r="H160" i="543"/>
  <c r="V159" i="543"/>
  <c r="W159" i="543" s="1"/>
  <c r="N159" i="543"/>
  <c r="K159" i="543"/>
  <c r="K159" i="543" a="1"/>
  <c r="J159" i="543" a="1"/>
  <c r="J159" i="543" s="1"/>
  <c r="H159" i="543"/>
  <c r="D159" i="543"/>
  <c r="V158" i="543"/>
  <c r="W158" i="543" s="1"/>
  <c r="N158" i="543"/>
  <c r="K158" i="543" a="1"/>
  <c r="K158" i="543" s="1"/>
  <c r="M158" i="543" s="1"/>
  <c r="J158" i="543" a="1"/>
  <c r="J158" i="543" s="1"/>
  <c r="H158" i="543"/>
  <c r="H157" i="543"/>
  <c r="H156" i="543"/>
  <c r="V155" i="543"/>
  <c r="W155" i="543" s="1"/>
  <c r="N155" i="543"/>
  <c r="K155" i="543" a="1"/>
  <c r="K155" i="543" s="1"/>
  <c r="M155" i="543" s="1"/>
  <c r="J155" i="543" a="1"/>
  <c r="J155" i="543" s="1"/>
  <c r="H155" i="543"/>
  <c r="V154" i="543"/>
  <c r="W154" i="543" s="1"/>
  <c r="N154" i="543"/>
  <c r="K154" i="543"/>
  <c r="M154" i="543" s="1"/>
  <c r="K154" i="543" a="1"/>
  <c r="J154" i="543"/>
  <c r="J154" i="543" a="1"/>
  <c r="H154" i="543"/>
  <c r="H153" i="543"/>
  <c r="V152" i="543"/>
  <c r="W152" i="543" s="1"/>
  <c r="N152" i="543"/>
  <c r="K152" i="543" a="1"/>
  <c r="K152" i="543" s="1"/>
  <c r="M152" i="543" s="1"/>
  <c r="J152" i="543" a="1"/>
  <c r="J152" i="543" s="1"/>
  <c r="H152" i="543"/>
  <c r="V151" i="543"/>
  <c r="W151" i="543" s="1"/>
  <c r="N151" i="543"/>
  <c r="K151" i="543"/>
  <c r="M151" i="543" s="1"/>
  <c r="K151" i="543" a="1"/>
  <c r="J151" i="543"/>
  <c r="J151" i="543" a="1"/>
  <c r="H151" i="543"/>
  <c r="V150" i="543"/>
  <c r="W150" i="543" s="1"/>
  <c r="N150" i="543"/>
  <c r="K150" i="543" a="1"/>
  <c r="K150" i="543" s="1"/>
  <c r="M150" i="543" s="1"/>
  <c r="J150" i="543" a="1"/>
  <c r="J150" i="543" s="1"/>
  <c r="H150" i="543"/>
  <c r="V149" i="543"/>
  <c r="V163" i="543" s="1"/>
  <c r="W163" i="543" s="1"/>
  <c r="N149" i="543"/>
  <c r="K149" i="543"/>
  <c r="K149" i="543" a="1"/>
  <c r="J149" i="543"/>
  <c r="J149" i="543" a="1"/>
  <c r="H149" i="543"/>
  <c r="AA148" i="543"/>
  <c r="Z148" i="543"/>
  <c r="Y148" i="543"/>
  <c r="X148" i="543"/>
  <c r="U148" i="543"/>
  <c r="T148" i="543"/>
  <c r="S148" i="543"/>
  <c r="Q148" i="543"/>
  <c r="P148" i="543"/>
  <c r="O148" i="543"/>
  <c r="R170" i="543" s="1"/>
  <c r="I148" i="543"/>
  <c r="G148" i="543"/>
  <c r="C528" i="543" s="1"/>
  <c r="V147" i="543"/>
  <c r="W147" i="543" s="1"/>
  <c r="N147" i="543"/>
  <c r="K147" i="543" a="1"/>
  <c r="K147" i="543" s="1"/>
  <c r="M147" i="543" s="1"/>
  <c r="J147" i="543" a="1"/>
  <c r="J147" i="543" s="1"/>
  <c r="H147" i="543"/>
  <c r="K145" i="543"/>
  <c r="K145" i="543" a="1"/>
  <c r="H145" i="543"/>
  <c r="K144" i="543" a="1"/>
  <c r="K144" i="543" s="1"/>
  <c r="H144" i="543"/>
  <c r="K143" i="543" a="1"/>
  <c r="K143" i="543" s="1"/>
  <c r="H143" i="543"/>
  <c r="V142" i="543"/>
  <c r="W142" i="543" s="1"/>
  <c r="N142" i="543"/>
  <c r="K142" i="543" a="1"/>
  <c r="K142" i="543" s="1"/>
  <c r="M142" i="543" s="1"/>
  <c r="J142" i="543" a="1"/>
  <c r="J142" i="543" s="1"/>
  <c r="H142" i="543"/>
  <c r="V141" i="543"/>
  <c r="W141" i="543" s="1"/>
  <c r="N141" i="543"/>
  <c r="K141" i="543"/>
  <c r="M141" i="543" s="1"/>
  <c r="K141" i="543" a="1"/>
  <c r="J141" i="543"/>
  <c r="J141" i="543" a="1"/>
  <c r="H141" i="543"/>
  <c r="V140" i="543"/>
  <c r="W140" i="543" s="1"/>
  <c r="N140" i="543"/>
  <c r="K140" i="543" a="1"/>
  <c r="K140" i="543" s="1"/>
  <c r="M140" i="543" s="1"/>
  <c r="J140" i="543" a="1"/>
  <c r="J140" i="543" s="1"/>
  <c r="H140" i="543"/>
  <c r="V139" i="543"/>
  <c r="W139" i="543" s="1"/>
  <c r="N139" i="543"/>
  <c r="K139" i="543" a="1"/>
  <c r="K139" i="543" s="1"/>
  <c r="M139" i="543" s="1"/>
  <c r="J139" i="543" a="1"/>
  <c r="J139" i="543" s="1"/>
  <c r="H139" i="543"/>
  <c r="V138" i="543"/>
  <c r="W138" i="543" s="1"/>
  <c r="N138" i="543"/>
  <c r="K138" i="543" a="1"/>
  <c r="K138" i="543" s="1"/>
  <c r="J138" i="543" a="1"/>
  <c r="J138" i="543" s="1"/>
  <c r="H138" i="543"/>
  <c r="AA137" i="543"/>
  <c r="Z137" i="543"/>
  <c r="Y137" i="543"/>
  <c r="X137" i="543"/>
  <c r="U137" i="543"/>
  <c r="T137" i="543"/>
  <c r="S137" i="543"/>
  <c r="Q137" i="543"/>
  <c r="P137" i="543"/>
  <c r="O137" i="543"/>
  <c r="R169" i="543" s="1"/>
  <c r="I137" i="543"/>
  <c r="G137" i="543"/>
  <c r="J137" i="543" s="1" a="1"/>
  <c r="J137" i="543" s="1"/>
  <c r="V136" i="543"/>
  <c r="W136" i="543" s="1"/>
  <c r="N136" i="543"/>
  <c r="K136" i="543" a="1"/>
  <c r="K136" i="543" s="1"/>
  <c r="M136" i="543" s="1"/>
  <c r="J136" i="543" a="1"/>
  <c r="J136" i="543" s="1"/>
  <c r="H136" i="543"/>
  <c r="V135" i="543"/>
  <c r="W135" i="543" s="1"/>
  <c r="N135" i="543"/>
  <c r="K135" i="543" a="1"/>
  <c r="K135" i="543" s="1"/>
  <c r="M135" i="543" s="1"/>
  <c r="J135" i="543" a="1"/>
  <c r="J135" i="543" s="1"/>
  <c r="H135" i="543"/>
  <c r="V134" i="543"/>
  <c r="W134" i="543" s="1"/>
  <c r="N134" i="543"/>
  <c r="K134" i="543"/>
  <c r="M134" i="543" s="1"/>
  <c r="K134" i="543" a="1"/>
  <c r="J134" i="543"/>
  <c r="J134" i="543" a="1"/>
  <c r="H134" i="543"/>
  <c r="V133" i="543"/>
  <c r="W133" i="543" s="1"/>
  <c r="N133" i="543"/>
  <c r="K133" i="543" a="1"/>
  <c r="K133" i="543" s="1"/>
  <c r="M133" i="543" s="1"/>
  <c r="J133" i="543" a="1"/>
  <c r="J133" i="543" s="1"/>
  <c r="H133" i="543"/>
  <c r="V132" i="543"/>
  <c r="W132" i="543" s="1"/>
  <c r="N132" i="543"/>
  <c r="K132" i="543" a="1"/>
  <c r="K132" i="543" s="1"/>
  <c r="M132" i="543" s="1"/>
  <c r="J132" i="543" a="1"/>
  <c r="J132" i="543" s="1"/>
  <c r="H132" i="543"/>
  <c r="V131" i="543"/>
  <c r="W131" i="543" s="1"/>
  <c r="N131" i="543"/>
  <c r="K131" i="543" a="1"/>
  <c r="K131" i="543" s="1"/>
  <c r="M131" i="543" s="1"/>
  <c r="J131" i="543" a="1"/>
  <c r="J131" i="543" s="1"/>
  <c r="H131" i="543"/>
  <c r="V130" i="543"/>
  <c r="W130" i="543" s="1"/>
  <c r="N130" i="543"/>
  <c r="K130" i="543"/>
  <c r="M130" i="543" s="1"/>
  <c r="K130" i="543" a="1"/>
  <c r="J130" i="543"/>
  <c r="J130" i="543" a="1"/>
  <c r="H130" i="543"/>
  <c r="V129" i="543"/>
  <c r="W129" i="543" s="1"/>
  <c r="N129" i="543"/>
  <c r="K129" i="543" a="1"/>
  <c r="K129" i="543" s="1"/>
  <c r="M129" i="543" s="1"/>
  <c r="J129" i="543" a="1"/>
  <c r="J129" i="543" s="1"/>
  <c r="H129" i="543"/>
  <c r="W128" i="543"/>
  <c r="V128" i="543"/>
  <c r="N128" i="543"/>
  <c r="K128" i="543" a="1"/>
  <c r="K128" i="543" s="1"/>
  <c r="M128" i="543" s="1"/>
  <c r="J128" i="543" a="1"/>
  <c r="J128" i="543" s="1"/>
  <c r="H128" i="543"/>
  <c r="V127" i="543"/>
  <c r="W127" i="543" s="1"/>
  <c r="N127" i="543"/>
  <c r="K127" i="543" a="1"/>
  <c r="K127" i="543" s="1"/>
  <c r="M127" i="543" s="1"/>
  <c r="J127" i="543" a="1"/>
  <c r="J127" i="543" s="1"/>
  <c r="H127" i="543"/>
  <c r="V126" i="543"/>
  <c r="W126" i="543" s="1"/>
  <c r="N126" i="543"/>
  <c r="K126" i="543"/>
  <c r="M126" i="543" s="1"/>
  <c r="K126" i="543" a="1"/>
  <c r="J126" i="543"/>
  <c r="J126" i="543" a="1"/>
  <c r="H126" i="543"/>
  <c r="V125" i="543"/>
  <c r="W125" i="543" s="1"/>
  <c r="N125" i="543"/>
  <c r="K125" i="543" a="1"/>
  <c r="K125" i="543" s="1"/>
  <c r="M125" i="543" s="1"/>
  <c r="J125" i="543" a="1"/>
  <c r="J125" i="543" s="1"/>
  <c r="H125" i="543"/>
  <c r="V124" i="543"/>
  <c r="W124" i="543" s="1"/>
  <c r="N124" i="543"/>
  <c r="K124" i="543" a="1"/>
  <c r="K124" i="543" s="1"/>
  <c r="M124" i="543" s="1"/>
  <c r="J124" i="543" a="1"/>
  <c r="J124" i="543" s="1"/>
  <c r="H124" i="543"/>
  <c r="V123" i="543"/>
  <c r="W123" i="543" s="1"/>
  <c r="N123" i="543"/>
  <c r="K123" i="543" a="1"/>
  <c r="K123" i="543" s="1"/>
  <c r="M123" i="543" s="1"/>
  <c r="J123" i="543" a="1"/>
  <c r="J123" i="543" s="1"/>
  <c r="H123" i="543"/>
  <c r="V122" i="543"/>
  <c r="N122" i="543"/>
  <c r="K122" i="543"/>
  <c r="M122" i="543" s="1"/>
  <c r="K122" i="543" a="1"/>
  <c r="J122" i="543"/>
  <c r="J122" i="543" a="1"/>
  <c r="H122" i="543"/>
  <c r="AA121" i="543"/>
  <c r="Z121" i="543"/>
  <c r="Y121" i="543"/>
  <c r="X121" i="543"/>
  <c r="U121" i="543"/>
  <c r="T121" i="543"/>
  <c r="S121" i="543"/>
  <c r="R121" i="543"/>
  <c r="Q121" i="543"/>
  <c r="P121" i="543"/>
  <c r="O121" i="543"/>
  <c r="I121" i="543"/>
  <c r="G121" i="543"/>
  <c r="C526" i="543" s="1"/>
  <c r="V120" i="543"/>
  <c r="W120" i="543" s="1"/>
  <c r="N120" i="543"/>
  <c r="K120" i="543" a="1"/>
  <c r="K120" i="543" s="1"/>
  <c r="M120" i="543" s="1"/>
  <c r="J120" i="543" a="1"/>
  <c r="J120" i="543" s="1"/>
  <c r="H120" i="543"/>
  <c r="V119" i="543"/>
  <c r="W119" i="543" s="1"/>
  <c r="N119" i="543"/>
  <c r="K119" i="543"/>
  <c r="M119" i="543" s="1"/>
  <c r="K119" i="543" a="1"/>
  <c r="J119" i="543"/>
  <c r="J119" i="543" a="1"/>
  <c r="H119" i="543"/>
  <c r="V118" i="543"/>
  <c r="W118" i="543" s="1"/>
  <c r="N118" i="543"/>
  <c r="K118" i="543" a="1"/>
  <c r="K118" i="543" s="1"/>
  <c r="M118" i="543" s="1"/>
  <c r="J118" i="543" a="1"/>
  <c r="J118" i="543" s="1"/>
  <c r="H118" i="543"/>
  <c r="K117" i="543"/>
  <c r="K117" i="543" a="1"/>
  <c r="H117" i="543"/>
  <c r="K116" i="543" a="1"/>
  <c r="K116" i="543" s="1"/>
  <c r="H116" i="543"/>
  <c r="K115" i="543" a="1"/>
  <c r="K115" i="543" s="1"/>
  <c r="H115" i="543"/>
  <c r="V114" i="543"/>
  <c r="W114" i="543" s="1"/>
  <c r="N114" i="543"/>
  <c r="K114" i="543" a="1"/>
  <c r="K114" i="543" s="1"/>
  <c r="M114" i="543" s="1"/>
  <c r="J114" i="543" a="1"/>
  <c r="J114" i="543" s="1"/>
  <c r="H114" i="543"/>
  <c r="V113" i="543"/>
  <c r="W113" i="543" s="1"/>
  <c r="N113" i="543"/>
  <c r="K113" i="543"/>
  <c r="M113" i="543" s="1"/>
  <c r="K113" i="543" a="1"/>
  <c r="J113" i="543"/>
  <c r="J113" i="543" a="1"/>
  <c r="H113" i="543"/>
  <c r="N112" i="543"/>
  <c r="K112" i="543" a="1"/>
  <c r="K112" i="543" s="1"/>
  <c r="M112" i="543" s="1"/>
  <c r="H112" i="543"/>
  <c r="N111" i="543"/>
  <c r="K111" i="543" a="1"/>
  <c r="K111" i="543" s="1"/>
  <c r="M111" i="543" s="1"/>
  <c r="H111" i="543"/>
  <c r="N110" i="543"/>
  <c r="K110" i="543" a="1"/>
  <c r="K110" i="543" s="1"/>
  <c r="M110" i="543" s="1"/>
  <c r="H110" i="543"/>
  <c r="N109" i="543"/>
  <c r="K109" i="543"/>
  <c r="M109" i="543" s="1"/>
  <c r="K109" i="543" a="1"/>
  <c r="H109" i="543"/>
  <c r="N108" i="543"/>
  <c r="K108" i="543" a="1"/>
  <c r="K108" i="543" s="1"/>
  <c r="M108" i="543" s="1"/>
  <c r="H108" i="543"/>
  <c r="N107" i="543"/>
  <c r="K107" i="543" a="1"/>
  <c r="K107" i="543" s="1"/>
  <c r="M107" i="543" s="1"/>
  <c r="H107" i="543"/>
  <c r="V106" i="543"/>
  <c r="W106" i="543" s="1"/>
  <c r="N106" i="543"/>
  <c r="K106" i="543" a="1"/>
  <c r="K106" i="543" s="1"/>
  <c r="M106" i="543" s="1"/>
  <c r="J106" i="543" a="1"/>
  <c r="J106" i="543" s="1"/>
  <c r="H106" i="543"/>
  <c r="V105" i="543"/>
  <c r="W105" i="543" s="1"/>
  <c r="N105" i="543"/>
  <c r="K105" i="543"/>
  <c r="M105" i="543" s="1"/>
  <c r="K105" i="543" a="1"/>
  <c r="J105" i="543"/>
  <c r="J105" i="543" a="1"/>
  <c r="H105" i="543"/>
  <c r="V104" i="543"/>
  <c r="W104" i="543" s="1"/>
  <c r="N104" i="543"/>
  <c r="K104" i="543" a="1"/>
  <c r="K104" i="543" s="1"/>
  <c r="M104" i="543" s="1"/>
  <c r="J104" i="543" a="1"/>
  <c r="J104" i="543" s="1"/>
  <c r="H104" i="543"/>
  <c r="V103" i="543"/>
  <c r="W103" i="543" s="1"/>
  <c r="N103" i="543"/>
  <c r="K103" i="543" a="1"/>
  <c r="K103" i="543" s="1"/>
  <c r="M103" i="543" s="1"/>
  <c r="J103" i="543" a="1"/>
  <c r="J103" i="543" s="1"/>
  <c r="H103" i="543"/>
  <c r="V102" i="543"/>
  <c r="W102" i="543" s="1"/>
  <c r="N102" i="543"/>
  <c r="K102" i="543" a="1"/>
  <c r="K102" i="543" s="1"/>
  <c r="M102" i="543" s="1"/>
  <c r="J102" i="543" a="1"/>
  <c r="J102" i="543" s="1"/>
  <c r="H102" i="543"/>
  <c r="V101" i="543"/>
  <c r="W101" i="543" s="1"/>
  <c r="N101" i="543"/>
  <c r="K101" i="543"/>
  <c r="M101" i="543" s="1"/>
  <c r="K101" i="543" a="1"/>
  <c r="J101" i="543"/>
  <c r="J101" i="543" a="1"/>
  <c r="H101" i="543"/>
  <c r="V100" i="543"/>
  <c r="W100" i="543" s="1"/>
  <c r="N100" i="543"/>
  <c r="K100" i="543" a="1"/>
  <c r="K100" i="543" s="1"/>
  <c r="M100" i="543" s="1"/>
  <c r="J100" i="543" a="1"/>
  <c r="J100" i="543" s="1"/>
  <c r="H100" i="543"/>
  <c r="V99" i="543"/>
  <c r="W99" i="543" s="1"/>
  <c r="N99" i="543"/>
  <c r="K99" i="543" a="1"/>
  <c r="K99" i="543" s="1"/>
  <c r="M99" i="543" s="1"/>
  <c r="J99" i="543" a="1"/>
  <c r="J99" i="543" s="1"/>
  <c r="H99" i="543"/>
  <c r="V98" i="543"/>
  <c r="W98" i="543" s="1"/>
  <c r="N98" i="543"/>
  <c r="K98" i="543" a="1"/>
  <c r="K98" i="543" s="1"/>
  <c r="M98" i="543" s="1"/>
  <c r="J98" i="543" a="1"/>
  <c r="J98" i="543" s="1"/>
  <c r="H98" i="543"/>
  <c r="V97" i="543"/>
  <c r="W97" i="543" s="1"/>
  <c r="N97" i="543"/>
  <c r="K97" i="543"/>
  <c r="M97" i="543" s="1"/>
  <c r="K97" i="543" a="1"/>
  <c r="J97" i="543"/>
  <c r="J97" i="543" a="1"/>
  <c r="H97" i="543"/>
  <c r="V96" i="543"/>
  <c r="W96" i="543" s="1"/>
  <c r="N96" i="543"/>
  <c r="K96" i="543" a="1"/>
  <c r="K96" i="543" s="1"/>
  <c r="M96" i="543" s="1"/>
  <c r="J96" i="543" a="1"/>
  <c r="J96" i="543" s="1"/>
  <c r="H96" i="543"/>
  <c r="V95" i="543"/>
  <c r="W95" i="543" s="1"/>
  <c r="N95" i="543"/>
  <c r="K95" i="543" a="1"/>
  <c r="K95" i="543" s="1"/>
  <c r="M95" i="543" s="1"/>
  <c r="J95" i="543" a="1"/>
  <c r="J95" i="543" s="1"/>
  <c r="H95" i="543"/>
  <c r="K94" i="543"/>
  <c r="M94" i="543" s="1"/>
  <c r="K94" i="543" a="1"/>
  <c r="H94" i="543"/>
  <c r="V93" i="543"/>
  <c r="W93" i="543" s="1"/>
  <c r="N93" i="543"/>
  <c r="K93" i="543" a="1"/>
  <c r="K93" i="543" s="1"/>
  <c r="M93" i="543" s="1"/>
  <c r="J93" i="543" a="1"/>
  <c r="J93" i="543" s="1"/>
  <c r="H93" i="543"/>
  <c r="V92" i="543"/>
  <c r="W92" i="543" s="1"/>
  <c r="N92" i="543"/>
  <c r="K92" i="543" a="1"/>
  <c r="K92" i="543" s="1"/>
  <c r="M92" i="543" s="1"/>
  <c r="J92" i="543" a="1"/>
  <c r="J92" i="543" s="1"/>
  <c r="H92" i="543"/>
  <c r="V91" i="543"/>
  <c r="W91" i="543" s="1"/>
  <c r="N91" i="543"/>
  <c r="K91" i="543" a="1"/>
  <c r="K91" i="543" s="1"/>
  <c r="M91" i="543" s="1"/>
  <c r="J91" i="543" a="1"/>
  <c r="J91" i="543" s="1"/>
  <c r="H91" i="543"/>
  <c r="V90" i="543"/>
  <c r="W90" i="543" s="1"/>
  <c r="N90" i="543"/>
  <c r="K90" i="543"/>
  <c r="M90" i="543" s="1"/>
  <c r="K90" i="543" a="1"/>
  <c r="J90" i="543" a="1"/>
  <c r="J90" i="543" s="1"/>
  <c r="H90" i="543"/>
  <c r="V89" i="543"/>
  <c r="W89" i="543" s="1"/>
  <c r="N89" i="543"/>
  <c r="K89" i="543" a="1"/>
  <c r="K89" i="543" s="1"/>
  <c r="M89" i="543" s="1"/>
  <c r="J89" i="543" a="1"/>
  <c r="J89" i="543" s="1"/>
  <c r="H89" i="543"/>
  <c r="V88" i="543"/>
  <c r="W88" i="543" s="1"/>
  <c r="N88" i="543"/>
  <c r="K88" i="543"/>
  <c r="M88" i="543" s="1"/>
  <c r="K88" i="543" a="1"/>
  <c r="J88" i="543"/>
  <c r="J88" i="543" a="1"/>
  <c r="H88" i="543"/>
  <c r="V87" i="543"/>
  <c r="N87" i="543"/>
  <c r="K87" i="543" a="1"/>
  <c r="K87" i="543" s="1"/>
  <c r="J87" i="543" a="1"/>
  <c r="J87" i="543" s="1"/>
  <c r="H87" i="543"/>
  <c r="AA86" i="543"/>
  <c r="Z86" i="543"/>
  <c r="Y86" i="543"/>
  <c r="X86" i="543"/>
  <c r="U86" i="543"/>
  <c r="T86" i="543"/>
  <c r="S86" i="543"/>
  <c r="R86" i="543"/>
  <c r="Q86" i="543"/>
  <c r="P86" i="543"/>
  <c r="O86" i="543"/>
  <c r="R167" i="543" s="1"/>
  <c r="I86" i="543"/>
  <c r="G86" i="543"/>
  <c r="C525" i="543" s="1"/>
  <c r="K85" i="543" a="1"/>
  <c r="K85" i="543" s="1"/>
  <c r="H85" i="543"/>
  <c r="K84" i="543" a="1"/>
  <c r="K84" i="543" s="1"/>
  <c r="H84" i="543"/>
  <c r="K83" i="543" a="1"/>
  <c r="K83" i="543" s="1"/>
  <c r="H83" i="543"/>
  <c r="K82" i="543"/>
  <c r="K82" i="543" a="1"/>
  <c r="H82" i="543"/>
  <c r="K81" i="543" a="1"/>
  <c r="K81" i="543" s="1"/>
  <c r="H81" i="543"/>
  <c r="K80" i="543" a="1"/>
  <c r="K80" i="543" s="1"/>
  <c r="H80" i="543"/>
  <c r="K79" i="543"/>
  <c r="M79" i="543" s="1"/>
  <c r="K79" i="543" a="1"/>
  <c r="H79" i="543"/>
  <c r="K78" i="543" a="1"/>
  <c r="K78" i="543" s="1"/>
  <c r="M78" i="543" s="1"/>
  <c r="H78" i="543"/>
  <c r="K77" i="543" a="1"/>
  <c r="K77" i="543" s="1"/>
  <c r="M77" i="543" s="1"/>
  <c r="H77" i="543"/>
  <c r="K76" i="543" a="1"/>
  <c r="K76" i="543" s="1"/>
  <c r="M76" i="543" s="1"/>
  <c r="H76" i="543"/>
  <c r="V75" i="543"/>
  <c r="W75" i="543" s="1"/>
  <c r="N75" i="543"/>
  <c r="K75" i="543" a="1"/>
  <c r="K75" i="543" s="1"/>
  <c r="M75" i="543" s="1"/>
  <c r="J75" i="543" a="1"/>
  <c r="J75" i="543" s="1"/>
  <c r="H75" i="543"/>
  <c r="V74" i="543"/>
  <c r="W74" i="543" s="1"/>
  <c r="N74" i="543"/>
  <c r="K74" i="543"/>
  <c r="M74" i="543" s="1"/>
  <c r="K74" i="543" a="1"/>
  <c r="J74" i="543" a="1"/>
  <c r="J74" i="543" s="1"/>
  <c r="H74" i="543"/>
  <c r="V73" i="543"/>
  <c r="W73" i="543" s="1"/>
  <c r="N73" i="543"/>
  <c r="K73" i="543" a="1"/>
  <c r="K73" i="543" s="1"/>
  <c r="M73" i="543" s="1"/>
  <c r="J73" i="543" a="1"/>
  <c r="J73" i="543" s="1"/>
  <c r="H73" i="543"/>
  <c r="V72" i="543"/>
  <c r="W72" i="543" s="1"/>
  <c r="N72" i="543"/>
  <c r="K72" i="543"/>
  <c r="M72" i="543" s="1"/>
  <c r="K72" i="543" a="1"/>
  <c r="J72" i="543" a="1"/>
  <c r="J72" i="543" s="1"/>
  <c r="H72" i="543"/>
  <c r="H71" i="543"/>
  <c r="V70" i="543"/>
  <c r="W70" i="543" s="1"/>
  <c r="N70" i="543"/>
  <c r="K70" i="543" a="1"/>
  <c r="K70" i="543" s="1"/>
  <c r="M70" i="543" s="1"/>
  <c r="J70" i="543" a="1"/>
  <c r="J70" i="543" s="1"/>
  <c r="H70" i="543"/>
  <c r="V69" i="543"/>
  <c r="W69" i="543" s="1"/>
  <c r="N69" i="543"/>
  <c r="K69" i="543" a="1"/>
  <c r="K69" i="543" s="1"/>
  <c r="M69" i="543" s="1"/>
  <c r="J69" i="543" a="1"/>
  <c r="J69" i="543" s="1"/>
  <c r="H69" i="543"/>
  <c r="K68" i="543" a="1"/>
  <c r="K68" i="543" s="1"/>
  <c r="H68" i="543"/>
  <c r="K67" i="543"/>
  <c r="K67" i="543" a="1"/>
  <c r="H67" i="543"/>
  <c r="V66" i="543"/>
  <c r="W66" i="543" s="1"/>
  <c r="N66" i="543"/>
  <c r="K66" i="543" a="1"/>
  <c r="K66" i="543" s="1"/>
  <c r="M66" i="543" s="1"/>
  <c r="J66" i="543" a="1"/>
  <c r="J66" i="543" s="1"/>
  <c r="H66" i="543"/>
  <c r="V65" i="543"/>
  <c r="W65" i="543" s="1"/>
  <c r="N65" i="543"/>
  <c r="K65" i="543" a="1"/>
  <c r="K65" i="543" s="1"/>
  <c r="M65" i="543" s="1"/>
  <c r="J65" i="543" a="1"/>
  <c r="J65" i="543" s="1"/>
  <c r="H65" i="543"/>
  <c r="V64" i="543"/>
  <c r="W64" i="543" s="1"/>
  <c r="N64" i="543"/>
  <c r="K64" i="543" a="1"/>
  <c r="K64" i="543" s="1"/>
  <c r="M64" i="543" s="1"/>
  <c r="J64" i="543" a="1"/>
  <c r="J64" i="543" s="1"/>
  <c r="H64" i="543"/>
  <c r="V63" i="543"/>
  <c r="W63" i="543" s="1"/>
  <c r="N63" i="543"/>
  <c r="K63" i="543"/>
  <c r="M63" i="543" s="1"/>
  <c r="K63" i="543" a="1"/>
  <c r="J63" i="543"/>
  <c r="J63" i="543" a="1"/>
  <c r="H63" i="543"/>
  <c r="V62" i="543"/>
  <c r="W62" i="543" s="1"/>
  <c r="N62" i="543"/>
  <c r="K62" i="543" a="1"/>
  <c r="K62" i="543" s="1"/>
  <c r="M62" i="543" s="1"/>
  <c r="J62" i="543" a="1"/>
  <c r="J62" i="543" s="1"/>
  <c r="H62" i="543"/>
  <c r="V61" i="543"/>
  <c r="W61" i="543" s="1"/>
  <c r="N61" i="543"/>
  <c r="K61" i="543" a="1"/>
  <c r="K61" i="543" s="1"/>
  <c r="M61" i="543" s="1"/>
  <c r="J61" i="543" a="1"/>
  <c r="J61" i="543" s="1"/>
  <c r="H61" i="543"/>
  <c r="V60" i="543"/>
  <c r="W60" i="543" s="1"/>
  <c r="N60" i="543"/>
  <c r="K60" i="543" a="1"/>
  <c r="K60" i="543" s="1"/>
  <c r="M60" i="543" s="1"/>
  <c r="J60" i="543" a="1"/>
  <c r="J60" i="543" s="1"/>
  <c r="H60" i="543"/>
  <c r="V59" i="543"/>
  <c r="W59" i="543" s="1"/>
  <c r="N59" i="543"/>
  <c r="K59" i="543"/>
  <c r="M59" i="543" s="1"/>
  <c r="K59" i="543" a="1"/>
  <c r="J59" i="543"/>
  <c r="J59" i="543" a="1"/>
  <c r="H59" i="543"/>
  <c r="V58" i="543"/>
  <c r="W58" i="543" s="1"/>
  <c r="N58" i="543"/>
  <c r="K58" i="543" a="1"/>
  <c r="K58" i="543" s="1"/>
  <c r="M58" i="543" s="1"/>
  <c r="J58" i="543" a="1"/>
  <c r="J58" i="543" s="1"/>
  <c r="H58" i="543"/>
  <c r="V57" i="543"/>
  <c r="W57" i="543" s="1"/>
  <c r="N57" i="543"/>
  <c r="K57" i="543" a="1"/>
  <c r="K57" i="543" s="1"/>
  <c r="M57" i="543" s="1"/>
  <c r="J57" i="543" a="1"/>
  <c r="J57" i="543" s="1"/>
  <c r="H57" i="543"/>
  <c r="K56" i="543"/>
  <c r="M56" i="543" s="1"/>
  <c r="K56" i="543" a="1"/>
  <c r="H56" i="543"/>
  <c r="K55" i="543" a="1"/>
  <c r="K55" i="543" s="1"/>
  <c r="M55" i="543" s="1"/>
  <c r="H55" i="543"/>
  <c r="K54" i="543" a="1"/>
  <c r="K54" i="543" s="1"/>
  <c r="M54" i="543" s="1"/>
  <c r="H54" i="543"/>
  <c r="K53" i="543" a="1"/>
  <c r="K53" i="543" s="1"/>
  <c r="M53" i="543" s="1"/>
  <c r="H53" i="543"/>
  <c r="N52" i="543"/>
  <c r="K52" i="543" a="1"/>
  <c r="K52" i="543" s="1"/>
  <c r="M52" i="543" s="1"/>
  <c r="H52" i="543"/>
  <c r="N51" i="543"/>
  <c r="K51" i="543" a="1"/>
  <c r="K51" i="543" s="1"/>
  <c r="M51" i="543" s="1"/>
  <c r="H51" i="543"/>
  <c r="N50" i="543"/>
  <c r="K50" i="543" a="1"/>
  <c r="K50" i="543" s="1"/>
  <c r="M50" i="543" s="1"/>
  <c r="H50" i="543"/>
  <c r="N49" i="543"/>
  <c r="K49" i="543" a="1"/>
  <c r="K49" i="543" s="1"/>
  <c r="M49" i="543" s="1"/>
  <c r="H49" i="543"/>
  <c r="W48" i="543"/>
  <c r="V48" i="543"/>
  <c r="N48" i="543"/>
  <c r="K48" i="543" a="1"/>
  <c r="K48" i="543" s="1"/>
  <c r="M48" i="543" s="1"/>
  <c r="J48" i="543" a="1"/>
  <c r="J48" i="543" s="1"/>
  <c r="H48" i="543"/>
  <c r="V47" i="543"/>
  <c r="W47" i="543" s="1"/>
  <c r="N47" i="543"/>
  <c r="K47" i="543"/>
  <c r="M47" i="543" s="1"/>
  <c r="K47" i="543" a="1"/>
  <c r="J47" i="543"/>
  <c r="J47" i="543" a="1"/>
  <c r="H47" i="543"/>
  <c r="V46" i="543"/>
  <c r="W46" i="543" s="1"/>
  <c r="N46" i="543"/>
  <c r="K46" i="543" a="1"/>
  <c r="K46" i="543" s="1"/>
  <c r="M46" i="543" s="1"/>
  <c r="J46" i="543" a="1"/>
  <c r="J46" i="543" s="1"/>
  <c r="H46" i="543"/>
  <c r="V45" i="543"/>
  <c r="W45" i="543" s="1"/>
  <c r="N45" i="543"/>
  <c r="K45" i="543" a="1"/>
  <c r="K45" i="543" s="1"/>
  <c r="M45" i="543" s="1"/>
  <c r="J45" i="543" a="1"/>
  <c r="J45" i="543" s="1"/>
  <c r="H45" i="543"/>
  <c r="V44" i="543"/>
  <c r="W44" i="543" s="1"/>
  <c r="N44" i="543"/>
  <c r="K44" i="543" a="1"/>
  <c r="K44" i="543" s="1"/>
  <c r="M44" i="543" s="1"/>
  <c r="J44" i="543" a="1"/>
  <c r="J44" i="543" s="1"/>
  <c r="H44" i="543"/>
  <c r="V43" i="543"/>
  <c r="W43" i="543" s="1"/>
  <c r="N43" i="543"/>
  <c r="K43" i="543"/>
  <c r="M43" i="543" s="1"/>
  <c r="K43" i="543" a="1"/>
  <c r="J43" i="543"/>
  <c r="J43" i="543" a="1"/>
  <c r="H43" i="543"/>
  <c r="V42" i="543"/>
  <c r="W42" i="543" s="1"/>
  <c r="N42" i="543"/>
  <c r="K42" i="543" a="1"/>
  <c r="K42" i="543" s="1"/>
  <c r="M42" i="543" s="1"/>
  <c r="J42" i="543" a="1"/>
  <c r="J42" i="543" s="1"/>
  <c r="H42" i="543"/>
  <c r="V41" i="543"/>
  <c r="W41" i="543" s="1"/>
  <c r="N41" i="543"/>
  <c r="K41" i="543" a="1"/>
  <c r="K41" i="543" s="1"/>
  <c r="M41" i="543" s="1"/>
  <c r="J41" i="543" a="1"/>
  <c r="J41" i="543" s="1"/>
  <c r="H41" i="543"/>
  <c r="V40" i="543"/>
  <c r="W40" i="543" s="1"/>
  <c r="N40" i="543"/>
  <c r="K40" i="543" a="1"/>
  <c r="K40" i="543" s="1"/>
  <c r="M40" i="543" s="1"/>
  <c r="J40" i="543" a="1"/>
  <c r="J40" i="543" s="1"/>
  <c r="H40" i="543"/>
  <c r="V39" i="543"/>
  <c r="W39" i="543" s="1"/>
  <c r="N39" i="543"/>
  <c r="K39" i="543"/>
  <c r="M39" i="543" s="1"/>
  <c r="K39" i="543" a="1"/>
  <c r="J39" i="543"/>
  <c r="J39" i="543" a="1"/>
  <c r="H39" i="543"/>
  <c r="V38" i="543"/>
  <c r="W38" i="543" s="1"/>
  <c r="N38" i="543"/>
  <c r="K38" i="543" a="1"/>
  <c r="K38" i="543" s="1"/>
  <c r="M38" i="543" s="1"/>
  <c r="J38" i="543" a="1"/>
  <c r="J38" i="543" s="1"/>
  <c r="H38" i="543"/>
  <c r="V37" i="543"/>
  <c r="W37" i="543" s="1"/>
  <c r="N37" i="543"/>
  <c r="K37" i="543" a="1"/>
  <c r="K37" i="543" s="1"/>
  <c r="M37" i="543" s="1"/>
  <c r="J37" i="543" a="1"/>
  <c r="J37" i="543" s="1"/>
  <c r="H37" i="543"/>
  <c r="H36" i="543"/>
  <c r="H35" i="543"/>
  <c r="H34" i="543"/>
  <c r="V33" i="543"/>
  <c r="W33" i="543" s="1"/>
  <c r="N33" i="543"/>
  <c r="K33" i="543"/>
  <c r="M33" i="543" s="1"/>
  <c r="K33" i="543" a="1"/>
  <c r="J33" i="543"/>
  <c r="J33" i="543" a="1"/>
  <c r="H33" i="543"/>
  <c r="V32" i="543"/>
  <c r="W32" i="543" s="1"/>
  <c r="N32" i="543"/>
  <c r="K32" i="543" a="1"/>
  <c r="K32" i="543" s="1"/>
  <c r="M32" i="543" s="1"/>
  <c r="J32" i="543" a="1"/>
  <c r="J32" i="543" s="1"/>
  <c r="H32" i="543"/>
  <c r="V31" i="543"/>
  <c r="W31" i="543" s="1"/>
  <c r="N31" i="543"/>
  <c r="K31" i="543" a="1"/>
  <c r="K31" i="543" s="1"/>
  <c r="M31" i="543" s="1"/>
  <c r="J31" i="543" a="1"/>
  <c r="J31" i="543" s="1"/>
  <c r="H31" i="543"/>
  <c r="K30" i="543" a="1"/>
  <c r="K30" i="543" s="1"/>
  <c r="H30" i="543"/>
  <c r="W29" i="543"/>
  <c r="V29" i="543"/>
  <c r="N29" i="543"/>
  <c r="N86" i="543" s="1"/>
  <c r="K29" i="543" a="1"/>
  <c r="K29" i="543" s="1"/>
  <c r="M29" i="543" s="1"/>
  <c r="J29" i="543" a="1"/>
  <c r="J29" i="543" s="1"/>
  <c r="H29" i="543"/>
  <c r="AA28" i="543"/>
  <c r="AA164" i="543" s="1"/>
  <c r="Z28" i="543"/>
  <c r="Z164" i="543" s="1"/>
  <c r="Y28" i="543"/>
  <c r="Y164" i="543" s="1"/>
  <c r="X28" i="543"/>
  <c r="X164" i="543" s="1"/>
  <c r="U28" i="543"/>
  <c r="U164" i="543" s="1"/>
  <c r="T28" i="543"/>
  <c r="T164" i="543" s="1"/>
  <c r="S28" i="543"/>
  <c r="S164" i="543" s="1"/>
  <c r="R28" i="543"/>
  <c r="R164" i="543" s="1"/>
  <c r="Q28" i="543"/>
  <c r="Q164" i="543" s="1"/>
  <c r="P28" i="543"/>
  <c r="X167" i="543" s="1"/>
  <c r="O28" i="543"/>
  <c r="R166" i="543" s="1"/>
  <c r="I28" i="543"/>
  <c r="I164" i="543" s="1"/>
  <c r="B172" i="543" s="1"/>
  <c r="G28" i="543"/>
  <c r="J28" i="543" s="1" a="1"/>
  <c r="J28" i="543" s="1"/>
  <c r="V27" i="543"/>
  <c r="W27" i="543" s="1"/>
  <c r="N27" i="543"/>
  <c r="K27" i="543" a="1"/>
  <c r="K27" i="543" s="1"/>
  <c r="M27" i="543" s="1"/>
  <c r="J27" i="543" a="1"/>
  <c r="J27" i="543" s="1"/>
  <c r="H27" i="543"/>
  <c r="V26" i="543"/>
  <c r="W26" i="543" s="1"/>
  <c r="N26" i="543"/>
  <c r="K26" i="543" a="1"/>
  <c r="K26" i="543" s="1"/>
  <c r="M26" i="543" s="1"/>
  <c r="J26" i="543" a="1"/>
  <c r="J26" i="543" s="1"/>
  <c r="H26" i="543"/>
  <c r="K25" i="543"/>
  <c r="M25" i="543" s="1"/>
  <c r="K25" i="543" a="1"/>
  <c r="J25" i="543" a="1"/>
  <c r="J25" i="543" s="1"/>
  <c r="H25" i="543"/>
  <c r="K24" i="543" a="1"/>
  <c r="K24" i="543" s="1"/>
  <c r="M24" i="543" s="1"/>
  <c r="J24" i="543" a="1"/>
  <c r="J24" i="543" s="1"/>
  <c r="H24" i="543"/>
  <c r="K23" i="543" a="1"/>
  <c r="K23" i="543" s="1"/>
  <c r="M23" i="543" s="1"/>
  <c r="J23" i="543" a="1"/>
  <c r="J23" i="543" s="1"/>
  <c r="H23" i="543"/>
  <c r="K22" i="543" a="1"/>
  <c r="K22" i="543" s="1"/>
  <c r="M22" i="543" s="1"/>
  <c r="J22" i="543" a="1"/>
  <c r="J22" i="543" s="1"/>
  <c r="H22" i="543"/>
  <c r="V21" i="543"/>
  <c r="W21" i="543" s="1"/>
  <c r="N21" i="543"/>
  <c r="K21" i="543"/>
  <c r="M21" i="543" s="1"/>
  <c r="K21" i="543" a="1"/>
  <c r="J21" i="543"/>
  <c r="J21" i="543" a="1"/>
  <c r="H21" i="543"/>
  <c r="V20" i="543"/>
  <c r="W20" i="543" s="1"/>
  <c r="N20" i="543"/>
  <c r="K20" i="543" a="1"/>
  <c r="K20" i="543" s="1"/>
  <c r="M20" i="543" s="1"/>
  <c r="J20" i="543" a="1"/>
  <c r="J20" i="543" s="1"/>
  <c r="H20" i="543"/>
  <c r="V19" i="543"/>
  <c r="W19" i="543" s="1"/>
  <c r="N19" i="543"/>
  <c r="K19" i="543" a="1"/>
  <c r="K19" i="543" s="1"/>
  <c r="M19" i="543" s="1"/>
  <c r="J19" i="543" a="1"/>
  <c r="J19" i="543" s="1"/>
  <c r="H19" i="543"/>
  <c r="N18" i="543"/>
  <c r="K18" i="543" a="1"/>
  <c r="K18" i="543" s="1"/>
  <c r="M18" i="543" s="1"/>
  <c r="J18" i="543" a="1"/>
  <c r="J18" i="543" s="1"/>
  <c r="H18" i="543"/>
  <c r="N17" i="543"/>
  <c r="K17" i="543" a="1"/>
  <c r="K17" i="543" s="1"/>
  <c r="M17" i="543" s="1"/>
  <c r="J17" i="543" a="1"/>
  <c r="J17" i="543" s="1"/>
  <c r="H17" i="543"/>
  <c r="V16" i="543"/>
  <c r="W16" i="543" s="1"/>
  <c r="N16" i="543"/>
  <c r="K16" i="543" a="1"/>
  <c r="K16" i="543" s="1"/>
  <c r="M16" i="543" s="1"/>
  <c r="J16" i="543" a="1"/>
  <c r="J16" i="543" s="1"/>
  <c r="H16" i="543"/>
  <c r="V15" i="543"/>
  <c r="W15" i="543" s="1"/>
  <c r="N15" i="543"/>
  <c r="K15" i="543"/>
  <c r="M15" i="543" s="1"/>
  <c r="K15" i="543" a="1"/>
  <c r="J15" i="543"/>
  <c r="J15" i="543" a="1"/>
  <c r="H15" i="543"/>
  <c r="N14" i="543"/>
  <c r="K14" i="543" a="1"/>
  <c r="K14" i="543" s="1"/>
  <c r="M14" i="543" s="1"/>
  <c r="H14" i="543"/>
  <c r="N13" i="543"/>
  <c r="K13" i="543" a="1"/>
  <c r="K13" i="543" s="1"/>
  <c r="M13" i="543" s="1"/>
  <c r="H13" i="543"/>
  <c r="V12" i="543"/>
  <c r="W12" i="543" s="1"/>
  <c r="N12" i="543"/>
  <c r="K12" i="543" a="1"/>
  <c r="K12" i="543" s="1"/>
  <c r="M12" i="543" s="1"/>
  <c r="J12" i="543" a="1"/>
  <c r="J12" i="543" s="1"/>
  <c r="H12" i="543"/>
  <c r="V11" i="543"/>
  <c r="W11" i="543" s="1"/>
  <c r="N11" i="543"/>
  <c r="K11" i="543"/>
  <c r="M11" i="543" s="1"/>
  <c r="K11" i="543" a="1"/>
  <c r="J11" i="543"/>
  <c r="J11" i="543" a="1"/>
  <c r="H11" i="543"/>
  <c r="V10" i="543"/>
  <c r="W10" i="543" s="1"/>
  <c r="N10" i="543"/>
  <c r="K10" i="543" a="1"/>
  <c r="K10" i="543" s="1"/>
  <c r="M10" i="543" s="1"/>
  <c r="J10" i="543" a="1"/>
  <c r="J10" i="543" s="1"/>
  <c r="H10" i="543"/>
  <c r="V9" i="543"/>
  <c r="W9" i="543" s="1"/>
  <c r="N9" i="543"/>
  <c r="K9" i="543" a="1"/>
  <c r="K9" i="543" s="1"/>
  <c r="M9" i="543" s="1"/>
  <c r="J9" i="543" a="1"/>
  <c r="J9" i="543" s="1"/>
  <c r="H9" i="543"/>
  <c r="V8" i="543"/>
  <c r="W8" i="543" s="1"/>
  <c r="N8" i="543"/>
  <c r="K8" i="543" a="1"/>
  <c r="K8" i="543" s="1"/>
  <c r="M8" i="543" s="1"/>
  <c r="J8" i="543" a="1"/>
  <c r="J8" i="543" s="1"/>
  <c r="H8" i="543"/>
  <c r="V7" i="543"/>
  <c r="N7" i="543"/>
  <c r="N28" i="543" s="1"/>
  <c r="K7" i="543" a="1"/>
  <c r="K7" i="543" s="1"/>
  <c r="J7" i="543" a="1"/>
  <c r="J7" i="543" s="1"/>
  <c r="H7" i="543"/>
  <c r="V463" i="543" l="1"/>
  <c r="W463" i="543" s="1"/>
  <c r="V137" i="543"/>
  <c r="W137" i="543" s="1"/>
  <c r="N121" i="543"/>
  <c r="H137" i="543"/>
  <c r="H148" i="543"/>
  <c r="N163" i="543"/>
  <c r="V308" i="543"/>
  <c r="N148" i="543"/>
  <c r="H163" i="543"/>
  <c r="S530" i="544"/>
  <c r="K520" i="544"/>
  <c r="O520" i="544" s="1"/>
  <c r="K519" i="544"/>
  <c r="J292" i="543" a="1"/>
  <c r="J292" i="543" s="1"/>
  <c r="J534" i="543"/>
  <c r="Q534" i="543" s="1"/>
  <c r="D534" i="542"/>
  <c r="H28" i="543"/>
  <c r="V28" i="543"/>
  <c r="H86" i="543"/>
  <c r="V86" i="543"/>
  <c r="W86" i="543" s="1"/>
  <c r="H121" i="543"/>
  <c r="V121" i="543"/>
  <c r="W121" i="543" s="1"/>
  <c r="R168" i="543"/>
  <c r="N137" i="543"/>
  <c r="N164" i="543" s="1"/>
  <c r="B173" i="543" s="1"/>
  <c r="E173" i="543" s="1"/>
  <c r="W122" i="543"/>
  <c r="W149" i="543"/>
  <c r="J163" i="543" a="1"/>
  <c r="J163" i="543" s="1"/>
  <c r="M137" i="543"/>
  <c r="K163" i="543"/>
  <c r="N428" i="543"/>
  <c r="W371" i="543"/>
  <c r="J428" i="543" a="1"/>
  <c r="J428" i="543" s="1"/>
  <c r="R510" i="543"/>
  <c r="H479" i="543"/>
  <c r="K479" i="543"/>
  <c r="W480" i="543"/>
  <c r="K428" i="543"/>
  <c r="M490" i="543"/>
  <c r="W320" i="543"/>
  <c r="W334" i="543" s="1"/>
  <c r="N308" i="543"/>
  <c r="N199" i="543"/>
  <c r="K28" i="543"/>
  <c r="M7" i="543"/>
  <c r="M28" i="543" s="1"/>
  <c r="W28" i="543"/>
  <c r="K524" i="543"/>
  <c r="R173" i="543"/>
  <c r="K525" i="543"/>
  <c r="K527" i="543"/>
  <c r="K148" i="543"/>
  <c r="M138" i="543"/>
  <c r="M148" i="543" s="1"/>
  <c r="K528" i="543"/>
  <c r="T170" i="543"/>
  <c r="K529" i="543"/>
  <c r="T171" i="543"/>
  <c r="J199" i="543" a="1"/>
  <c r="J199" i="543" s="1"/>
  <c r="W7" i="543"/>
  <c r="C520" i="543"/>
  <c r="Q525" i="543"/>
  <c r="M86" i="543"/>
  <c r="M87" i="543"/>
  <c r="M121" i="543" s="1"/>
  <c r="K121" i="543"/>
  <c r="K526" i="543"/>
  <c r="T168" i="543"/>
  <c r="K170" i="543"/>
  <c r="M166" i="543"/>
  <c r="M178" i="543"/>
  <c r="J86" i="543" a="1"/>
  <c r="J86" i="543" s="1"/>
  <c r="K86" i="543"/>
  <c r="W87" i="543"/>
  <c r="J121" i="543" a="1"/>
  <c r="J121" i="543" s="1"/>
  <c r="K137" i="543"/>
  <c r="V148" i="543"/>
  <c r="W148" i="543" s="1"/>
  <c r="O164" i="543"/>
  <c r="E170" i="543"/>
  <c r="W178" i="543"/>
  <c r="J190" i="543" a="1"/>
  <c r="J190" i="543" s="1"/>
  <c r="K190" i="543" a="1"/>
  <c r="K190" i="543" s="1"/>
  <c r="M190" i="543" s="1"/>
  <c r="W198" i="543"/>
  <c r="X338" i="543"/>
  <c r="P335" i="543"/>
  <c r="X339" i="543" s="1"/>
  <c r="J208" i="543" a="1"/>
  <c r="J208" i="543" s="1"/>
  <c r="K208" i="543" a="1"/>
  <c r="K208" i="543" s="1"/>
  <c r="M208" i="543" s="1"/>
  <c r="J219" i="543" a="1"/>
  <c r="J219" i="543" s="1"/>
  <c r="K219" i="543" a="1"/>
  <c r="K219" i="543" s="1"/>
  <c r="M219" i="543" s="1"/>
  <c r="M258" i="543"/>
  <c r="M292" i="543" s="1"/>
  <c r="K292" i="543"/>
  <c r="M309" i="543"/>
  <c r="M319" i="543" s="1"/>
  <c r="K319" i="543"/>
  <c r="C524" i="543"/>
  <c r="J148" i="543" a="1"/>
  <c r="J148" i="543" s="1"/>
  <c r="M149" i="543"/>
  <c r="M163" i="543" s="1"/>
  <c r="G164" i="543"/>
  <c r="P164" i="543"/>
  <c r="X168" i="543" s="1"/>
  <c r="X173" i="543" s="1"/>
  <c r="W190" i="543"/>
  <c r="J198" i="543" a="1"/>
  <c r="J198" i="543" s="1"/>
  <c r="O335" i="543"/>
  <c r="R337" i="543"/>
  <c r="M200" i="543"/>
  <c r="V257" i="543"/>
  <c r="W257" i="543" s="1"/>
  <c r="H208" i="543"/>
  <c r="H257" i="543" s="1"/>
  <c r="K308" i="543"/>
  <c r="M293" i="543"/>
  <c r="M308" i="543" s="1"/>
  <c r="K334" i="543"/>
  <c r="W258" i="543"/>
  <c r="W293" i="543"/>
  <c r="H306" i="543"/>
  <c r="H308" i="543" s="1"/>
  <c r="G308" i="543"/>
  <c r="J308" i="543" s="1" a="1"/>
  <c r="J308" i="543" s="1"/>
  <c r="R340" i="543"/>
  <c r="W309" i="543"/>
  <c r="M320" i="543"/>
  <c r="M334" i="543" s="1"/>
  <c r="E341" i="543"/>
  <c r="K337" i="543"/>
  <c r="M349" i="543"/>
  <c r="M370" i="543" s="1"/>
  <c r="K370" i="543"/>
  <c r="J306" i="543" a="1"/>
  <c r="J306" i="543" s="1"/>
  <c r="K463" i="543"/>
  <c r="M429" i="543"/>
  <c r="M463" i="543" s="1"/>
  <c r="W349" i="543"/>
  <c r="W370" i="543" s="1"/>
  <c r="J370" i="543" a="1"/>
  <c r="J370" i="543" s="1"/>
  <c r="M479" i="543"/>
  <c r="W464" i="543"/>
  <c r="V479" i="543"/>
  <c r="W479" i="543" s="1"/>
  <c r="B514" i="543"/>
  <c r="J507" i="543" a="1"/>
  <c r="J507" i="543" s="1"/>
  <c r="M514" i="543" s="1"/>
  <c r="X509" i="543"/>
  <c r="O507" i="543"/>
  <c r="X510" i="543" s="1"/>
  <c r="R509" i="543"/>
  <c r="M371" i="543"/>
  <c r="M428" i="543" s="1"/>
  <c r="H463" i="543"/>
  <c r="H507" i="543" s="1"/>
  <c r="E514" i="543" s="1"/>
  <c r="N463" i="543"/>
  <c r="N507" i="543" s="1"/>
  <c r="B516" i="543" s="1"/>
  <c r="W429" i="543"/>
  <c r="J463" i="543" a="1"/>
  <c r="J463" i="543" s="1"/>
  <c r="N479" i="543"/>
  <c r="K506" i="543"/>
  <c r="M491" i="543"/>
  <c r="M506" i="543" s="1"/>
  <c r="K490" i="543"/>
  <c r="R534" i="543"/>
  <c r="S534" i="543" a="1"/>
  <c r="S534" i="543" s="1"/>
  <c r="R513" i="543"/>
  <c r="W491" i="543"/>
  <c r="W506" i="543" s="1"/>
  <c r="K509" i="543"/>
  <c r="J536" i="543"/>
  <c r="Q533" i="543"/>
  <c r="R535" i="543"/>
  <c r="S535" i="543" a="1"/>
  <c r="S535" i="543" s="1"/>
  <c r="T533" i="543" a="1"/>
  <c r="T533" i="543" s="1"/>
  <c r="T534" i="543" a="1"/>
  <c r="T534" i="543" s="1"/>
  <c r="T535" i="543" a="1"/>
  <c r="T535" i="543" s="1"/>
  <c r="C536" i="543"/>
  <c r="T536" i="543" s="1" a="1"/>
  <c r="T536" i="543" s="1"/>
  <c r="N335" i="543" l="1"/>
  <c r="B344" i="543" s="1"/>
  <c r="E344" i="543" s="1"/>
  <c r="X344" i="543"/>
  <c r="Z342" i="543" s="1"/>
  <c r="H164" i="543"/>
  <c r="E171" i="543" s="1"/>
  <c r="M257" i="543"/>
  <c r="E516" i="543"/>
  <c r="C521" i="543"/>
  <c r="G521" i="543" s="1"/>
  <c r="H335" i="543"/>
  <c r="E342" i="543" s="1"/>
  <c r="R533" i="543"/>
  <c r="R536" i="543" s="1"/>
  <c r="Q536" i="543"/>
  <c r="S536" i="543" s="1" a="1"/>
  <c r="S536" i="543" s="1"/>
  <c r="S533" i="543" a="1"/>
  <c r="S533" i="543" s="1"/>
  <c r="K513" i="543"/>
  <c r="M513" i="543" s="1"/>
  <c r="M509" i="543"/>
  <c r="K507" i="543"/>
  <c r="K341" i="543"/>
  <c r="M341" i="543" s="1"/>
  <c r="M337" i="543"/>
  <c r="Z166" i="543" a="1"/>
  <c r="Z166" i="543" s="1"/>
  <c r="Z172" i="543"/>
  <c r="Q526" i="543"/>
  <c r="Z168" i="543"/>
  <c r="C527" i="543"/>
  <c r="Z338" i="543"/>
  <c r="W199" i="543"/>
  <c r="Z170" i="543"/>
  <c r="Z169" i="543"/>
  <c r="V335" i="543"/>
  <c r="I344" i="543" s="1"/>
  <c r="M199" i="543"/>
  <c r="M335" i="543" s="1"/>
  <c r="G335" i="543"/>
  <c r="K530" i="543"/>
  <c r="M529" i="543" s="1"/>
  <c r="T172" i="543"/>
  <c r="W164" i="543"/>
  <c r="M164" i="543"/>
  <c r="R516" i="543"/>
  <c r="T509" i="543" s="1" a="1"/>
  <c r="T509" i="543" s="1"/>
  <c r="X516" i="543"/>
  <c r="Z510" i="543" s="1"/>
  <c r="V507" i="543"/>
  <c r="M507" i="543"/>
  <c r="Z340" i="543"/>
  <c r="Z337" i="543" a="1"/>
  <c r="Z337" i="543" s="1"/>
  <c r="W308" i="543"/>
  <c r="R344" i="543"/>
  <c r="T337" i="543" s="1" a="1"/>
  <c r="T337" i="543" s="1"/>
  <c r="B171" i="543"/>
  <c r="J164" i="543" a="1"/>
  <c r="J164" i="543" s="1"/>
  <c r="M171" i="543" s="1"/>
  <c r="C530" i="543"/>
  <c r="E524" i="543" s="1"/>
  <c r="K257" i="543"/>
  <c r="Z339" i="543"/>
  <c r="Z171" i="543"/>
  <c r="K199" i="543"/>
  <c r="M170" i="543"/>
  <c r="Z167" i="543"/>
  <c r="T169" i="543"/>
  <c r="T167" i="543"/>
  <c r="T166" i="543" a="1"/>
  <c r="T166" i="543" s="1"/>
  <c r="M524" i="543" a="1"/>
  <c r="M524" i="543" s="1"/>
  <c r="V164" i="543"/>
  <c r="I173" i="543" s="1"/>
  <c r="K164" i="543"/>
  <c r="E172" i="543" s="1"/>
  <c r="AA505" i="489"/>
  <c r="Z505" i="489"/>
  <c r="Y505" i="489"/>
  <c r="X505" i="489"/>
  <c r="U505" i="489"/>
  <c r="T505" i="489"/>
  <c r="S505" i="489"/>
  <c r="R505" i="489"/>
  <c r="Q505" i="489"/>
  <c r="P505" i="489"/>
  <c r="O505" i="489"/>
  <c r="I505" i="489"/>
  <c r="G505" i="489"/>
  <c r="AA504" i="489"/>
  <c r="Z504" i="489"/>
  <c r="Y504" i="489"/>
  <c r="X504" i="489"/>
  <c r="U504" i="489"/>
  <c r="T504" i="489"/>
  <c r="S504" i="489"/>
  <c r="R504" i="489"/>
  <c r="Q504" i="489"/>
  <c r="P504" i="489"/>
  <c r="O504" i="489"/>
  <c r="I504" i="489"/>
  <c r="G504" i="489"/>
  <c r="I503" i="489"/>
  <c r="G503" i="489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G500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AA497" i="489"/>
  <c r="Z497" i="489"/>
  <c r="Y497" i="489"/>
  <c r="X497" i="489"/>
  <c r="U497" i="489"/>
  <c r="T497" i="489"/>
  <c r="S497" i="489"/>
  <c r="R497" i="489"/>
  <c r="Q497" i="489"/>
  <c r="P497" i="489"/>
  <c r="O497" i="489"/>
  <c r="I497" i="489"/>
  <c r="G497" i="489"/>
  <c r="AA496" i="489"/>
  <c r="Z496" i="489"/>
  <c r="Y496" i="489"/>
  <c r="X496" i="489"/>
  <c r="U496" i="489"/>
  <c r="T496" i="489"/>
  <c r="S496" i="489"/>
  <c r="R496" i="489"/>
  <c r="Q496" i="489"/>
  <c r="P496" i="489"/>
  <c r="O496" i="489"/>
  <c r="I496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G487" i="489"/>
  <c r="G486" i="489"/>
  <c r="G485" i="489"/>
  <c r="AA484" i="489"/>
  <c r="Z484" i="489"/>
  <c r="Y484" i="489"/>
  <c r="X484" i="489"/>
  <c r="U484" i="489"/>
  <c r="T484" i="489"/>
  <c r="S484" i="489"/>
  <c r="R484" i="489"/>
  <c r="Q484" i="489"/>
  <c r="P484" i="489"/>
  <c r="O484" i="489"/>
  <c r="I484" i="489"/>
  <c r="G484" i="489"/>
  <c r="AA483" i="489"/>
  <c r="Z483" i="489"/>
  <c r="Y483" i="489"/>
  <c r="X483" i="489"/>
  <c r="U483" i="489"/>
  <c r="T483" i="489"/>
  <c r="S483" i="489"/>
  <c r="R483" i="489"/>
  <c r="Q483" i="489"/>
  <c r="P483" i="489"/>
  <c r="O483" i="489"/>
  <c r="I483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7" i="489"/>
  <c r="Z477" i="489"/>
  <c r="Y477" i="489"/>
  <c r="X477" i="489"/>
  <c r="U477" i="489"/>
  <c r="T477" i="489"/>
  <c r="S477" i="489"/>
  <c r="R477" i="489"/>
  <c r="Q477" i="489"/>
  <c r="P477" i="489"/>
  <c r="O477" i="489"/>
  <c r="I477" i="489"/>
  <c r="G477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1" i="489"/>
  <c r="Z461" i="489"/>
  <c r="Y461" i="489"/>
  <c r="X461" i="489"/>
  <c r="U461" i="489"/>
  <c r="T461" i="489"/>
  <c r="S461" i="489"/>
  <c r="R461" i="489"/>
  <c r="Q461" i="489"/>
  <c r="P461" i="489"/>
  <c r="O461" i="489"/>
  <c r="I461" i="489"/>
  <c r="G461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I459" i="489"/>
  <c r="G459" i="489"/>
  <c r="I458" i="489"/>
  <c r="G458" i="489"/>
  <c r="I457" i="489"/>
  <c r="G457" i="489"/>
  <c r="AA456" i="489"/>
  <c r="Z456" i="489"/>
  <c r="Y456" i="489"/>
  <c r="X456" i="489"/>
  <c r="U456" i="489"/>
  <c r="T456" i="489"/>
  <c r="S456" i="489"/>
  <c r="R456" i="489"/>
  <c r="Q456" i="489"/>
  <c r="P456" i="489"/>
  <c r="O456" i="489"/>
  <c r="I456" i="489"/>
  <c r="G456" i="489"/>
  <c r="AA455" i="489"/>
  <c r="Z455" i="489"/>
  <c r="Y455" i="489"/>
  <c r="X455" i="489"/>
  <c r="U455" i="489"/>
  <c r="T455" i="489"/>
  <c r="S455" i="489"/>
  <c r="R455" i="489"/>
  <c r="Q455" i="489"/>
  <c r="P455" i="489"/>
  <c r="O455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6" i="489"/>
  <c r="Z426" i="489"/>
  <c r="Y426" i="489"/>
  <c r="X426" i="489"/>
  <c r="U426" i="489"/>
  <c r="T426" i="489"/>
  <c r="S426" i="489"/>
  <c r="R426" i="489"/>
  <c r="Q426" i="489"/>
  <c r="P426" i="489"/>
  <c r="O426" i="489"/>
  <c r="I426" i="489"/>
  <c r="G426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I424" i="489"/>
  <c r="G424" i="489"/>
  <c r="I423" i="489"/>
  <c r="G423" i="489"/>
  <c r="I422" i="489"/>
  <c r="G422" i="489"/>
  <c r="AA421" i="489"/>
  <c r="Z421" i="489"/>
  <c r="Y421" i="489"/>
  <c r="X421" i="489"/>
  <c r="U421" i="489"/>
  <c r="T421" i="489"/>
  <c r="S421" i="489"/>
  <c r="R421" i="489"/>
  <c r="Q421" i="489"/>
  <c r="P421" i="489"/>
  <c r="O421" i="489"/>
  <c r="I421" i="489"/>
  <c r="G421" i="489"/>
  <c r="AA420" i="489"/>
  <c r="Z420" i="489"/>
  <c r="Y420" i="489"/>
  <c r="X420" i="489"/>
  <c r="U420" i="489"/>
  <c r="T420" i="489"/>
  <c r="S420" i="489"/>
  <c r="R420" i="489"/>
  <c r="Q420" i="489"/>
  <c r="P420" i="489"/>
  <c r="O420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7" i="489"/>
  <c r="Z407" i="489"/>
  <c r="Y407" i="489"/>
  <c r="X407" i="489"/>
  <c r="U407" i="489"/>
  <c r="T407" i="489"/>
  <c r="S407" i="489"/>
  <c r="R407" i="489"/>
  <c r="Q407" i="489"/>
  <c r="P407" i="489"/>
  <c r="O407" i="489"/>
  <c r="I407" i="489"/>
  <c r="G407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I378" i="489"/>
  <c r="G378" i="489"/>
  <c r="I377" i="489"/>
  <c r="G377" i="489"/>
  <c r="I376" i="489"/>
  <c r="G376" i="489"/>
  <c r="AA375" i="489"/>
  <c r="Z375" i="489"/>
  <c r="Y375" i="489"/>
  <c r="X375" i="489"/>
  <c r="U375" i="489"/>
  <c r="T375" i="489"/>
  <c r="S375" i="489"/>
  <c r="R375" i="489"/>
  <c r="Q375" i="489"/>
  <c r="P375" i="489"/>
  <c r="O375" i="489"/>
  <c r="I375" i="489"/>
  <c r="G375" i="489"/>
  <c r="AA374" i="489"/>
  <c r="Z374" i="489"/>
  <c r="Y374" i="489"/>
  <c r="X374" i="489"/>
  <c r="U374" i="489"/>
  <c r="T374" i="489"/>
  <c r="S374" i="489"/>
  <c r="R374" i="489"/>
  <c r="Q374" i="489"/>
  <c r="P374" i="489"/>
  <c r="O374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8" i="489"/>
  <c r="Z368" i="489"/>
  <c r="Y368" i="489"/>
  <c r="X368" i="489"/>
  <c r="U368" i="489"/>
  <c r="T368" i="489"/>
  <c r="S368" i="489"/>
  <c r="R368" i="489"/>
  <c r="Q368" i="489"/>
  <c r="P368" i="489"/>
  <c r="O368" i="489"/>
  <c r="I368" i="489"/>
  <c r="G368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G360" i="489"/>
  <c r="G359" i="489"/>
  <c r="AA358" i="489"/>
  <c r="Z358" i="489"/>
  <c r="Y358" i="489"/>
  <c r="X358" i="489"/>
  <c r="U358" i="489"/>
  <c r="T358" i="489"/>
  <c r="S358" i="489"/>
  <c r="R358" i="489"/>
  <c r="Q358" i="489"/>
  <c r="P358" i="489"/>
  <c r="O358" i="489"/>
  <c r="I358" i="489"/>
  <c r="G358" i="489"/>
  <c r="AA357" i="489"/>
  <c r="Z357" i="489"/>
  <c r="Y357" i="489"/>
  <c r="X357" i="489"/>
  <c r="U357" i="489"/>
  <c r="T357" i="489"/>
  <c r="S357" i="489"/>
  <c r="R357" i="489"/>
  <c r="Q357" i="489"/>
  <c r="P357" i="489"/>
  <c r="O357" i="489"/>
  <c r="I357" i="489"/>
  <c r="G357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G340" i="489"/>
  <c r="C340" i="489"/>
  <c r="G339" i="489"/>
  <c r="C339" i="489"/>
  <c r="G338" i="489"/>
  <c r="C338" i="489"/>
  <c r="G337" i="489"/>
  <c r="C337" i="489"/>
  <c r="AA333" i="489"/>
  <c r="Z333" i="489"/>
  <c r="Y333" i="489"/>
  <c r="X333" i="489"/>
  <c r="U333" i="489"/>
  <c r="T333" i="489"/>
  <c r="S333" i="489"/>
  <c r="R333" i="489"/>
  <c r="Q333" i="489"/>
  <c r="P333" i="489"/>
  <c r="O333" i="489"/>
  <c r="I333" i="489"/>
  <c r="G333" i="489"/>
  <c r="AA332" i="489"/>
  <c r="Z332" i="489"/>
  <c r="Y332" i="489"/>
  <c r="X332" i="489"/>
  <c r="U332" i="489"/>
  <c r="T332" i="489"/>
  <c r="S332" i="489"/>
  <c r="R332" i="489"/>
  <c r="Q332" i="489"/>
  <c r="P332" i="489"/>
  <c r="O332" i="489"/>
  <c r="I332" i="489"/>
  <c r="G332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G327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AA325" i="489"/>
  <c r="Z325" i="489"/>
  <c r="Y325" i="489"/>
  <c r="X325" i="489"/>
  <c r="U325" i="489"/>
  <c r="T325" i="489"/>
  <c r="S325" i="489"/>
  <c r="R325" i="489"/>
  <c r="Q325" i="489"/>
  <c r="P325" i="489"/>
  <c r="O325" i="489"/>
  <c r="I325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G316" i="489"/>
  <c r="G315" i="489"/>
  <c r="G314" i="489"/>
  <c r="AA313" i="489"/>
  <c r="Z313" i="489"/>
  <c r="Y313" i="489"/>
  <c r="X313" i="489"/>
  <c r="U313" i="489"/>
  <c r="T313" i="489"/>
  <c r="S313" i="489"/>
  <c r="R313" i="489"/>
  <c r="Q313" i="489"/>
  <c r="P313" i="489"/>
  <c r="O313" i="489"/>
  <c r="I313" i="489"/>
  <c r="G313" i="489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7" i="489"/>
  <c r="Z307" i="489"/>
  <c r="Y307" i="489"/>
  <c r="X307" i="489"/>
  <c r="U307" i="489"/>
  <c r="T307" i="489"/>
  <c r="S307" i="489"/>
  <c r="R307" i="489"/>
  <c r="Q307" i="489"/>
  <c r="P307" i="489"/>
  <c r="O307" i="489"/>
  <c r="I307" i="489"/>
  <c r="G307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1" i="489"/>
  <c r="Z291" i="489"/>
  <c r="Y291" i="489"/>
  <c r="X291" i="489"/>
  <c r="U291" i="489"/>
  <c r="T291" i="489"/>
  <c r="S291" i="489"/>
  <c r="R291" i="489"/>
  <c r="Q291" i="489"/>
  <c r="P291" i="489"/>
  <c r="O291" i="489"/>
  <c r="I291" i="489"/>
  <c r="G291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I288" i="489"/>
  <c r="G288" i="489"/>
  <c r="I287" i="489"/>
  <c r="G287" i="489"/>
  <c r="I286" i="489"/>
  <c r="G286" i="489"/>
  <c r="AA285" i="489"/>
  <c r="Z285" i="489"/>
  <c r="Y285" i="489"/>
  <c r="X285" i="489"/>
  <c r="U285" i="489"/>
  <c r="T285" i="489"/>
  <c r="S285" i="489"/>
  <c r="R285" i="489"/>
  <c r="Q285" i="489"/>
  <c r="P285" i="489"/>
  <c r="O285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6" i="489"/>
  <c r="Z256" i="489"/>
  <c r="Y256" i="489"/>
  <c r="X256" i="489"/>
  <c r="U256" i="489"/>
  <c r="T256" i="489"/>
  <c r="S256" i="489"/>
  <c r="R256" i="489"/>
  <c r="Q256" i="489"/>
  <c r="P256" i="489"/>
  <c r="O256" i="489"/>
  <c r="I256" i="489"/>
  <c r="G256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I253" i="489"/>
  <c r="G253" i="489"/>
  <c r="I252" i="489"/>
  <c r="G252" i="489"/>
  <c r="I251" i="489"/>
  <c r="G251" i="489"/>
  <c r="AA250" i="489"/>
  <c r="Z250" i="489"/>
  <c r="Y250" i="489"/>
  <c r="X250" i="489"/>
  <c r="U250" i="489"/>
  <c r="T250" i="489"/>
  <c r="S250" i="489"/>
  <c r="R250" i="489"/>
  <c r="Q250" i="489"/>
  <c r="P250" i="489"/>
  <c r="O250" i="489"/>
  <c r="N250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N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N239" i="489"/>
  <c r="I239" i="489"/>
  <c r="G239" i="489"/>
  <c r="I238" i="489"/>
  <c r="G238" i="489"/>
  <c r="AA237" i="489"/>
  <c r="Z237" i="489"/>
  <c r="Y237" i="489"/>
  <c r="X237" i="489"/>
  <c r="U237" i="489"/>
  <c r="T237" i="489"/>
  <c r="S237" i="489"/>
  <c r="R237" i="489"/>
  <c r="Q237" i="489"/>
  <c r="P237" i="489"/>
  <c r="O237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I207" i="489"/>
  <c r="G207" i="489"/>
  <c r="I206" i="489"/>
  <c r="G206" i="489"/>
  <c r="I205" i="489"/>
  <c r="G205" i="489"/>
  <c r="AA204" i="489"/>
  <c r="Z204" i="489"/>
  <c r="Y204" i="489"/>
  <c r="X204" i="489"/>
  <c r="U204" i="489"/>
  <c r="T204" i="489"/>
  <c r="S204" i="489"/>
  <c r="R204" i="489"/>
  <c r="Q204" i="489"/>
  <c r="P204" i="489"/>
  <c r="O204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I201" i="489"/>
  <c r="G201" i="489"/>
  <c r="AA200" i="489"/>
  <c r="Z200" i="489"/>
  <c r="Y200" i="489"/>
  <c r="X200" i="489"/>
  <c r="U200" i="489"/>
  <c r="T200" i="489"/>
  <c r="S200" i="489"/>
  <c r="R200" i="489"/>
  <c r="Q200" i="489"/>
  <c r="P200" i="489"/>
  <c r="O200" i="489"/>
  <c r="I200" i="489"/>
  <c r="G200" i="489"/>
  <c r="AA198" i="489"/>
  <c r="Z198" i="489"/>
  <c r="Y198" i="489"/>
  <c r="X198" i="489"/>
  <c r="U198" i="489"/>
  <c r="T198" i="489"/>
  <c r="S198" i="489"/>
  <c r="R198" i="489"/>
  <c r="Q198" i="489"/>
  <c r="P198" i="489"/>
  <c r="O198" i="489"/>
  <c r="I198" i="489"/>
  <c r="G198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N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G169" i="489"/>
  <c r="C169" i="489"/>
  <c r="G168" i="489"/>
  <c r="C168" i="489"/>
  <c r="G167" i="489"/>
  <c r="C167" i="489"/>
  <c r="G166" i="489"/>
  <c r="C166" i="489"/>
  <c r="G162" i="489"/>
  <c r="AA161" i="489"/>
  <c r="Z161" i="489"/>
  <c r="Y161" i="489"/>
  <c r="X161" i="489"/>
  <c r="U161" i="489"/>
  <c r="T161" i="489"/>
  <c r="S161" i="489"/>
  <c r="R161" i="489"/>
  <c r="Q161" i="489"/>
  <c r="P161" i="489"/>
  <c r="O161" i="489"/>
  <c r="N161" i="489"/>
  <c r="I161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G157" i="489"/>
  <c r="G156" i="489"/>
  <c r="AA155" i="489"/>
  <c r="Z155" i="489"/>
  <c r="Y155" i="489"/>
  <c r="X155" i="489"/>
  <c r="U155" i="489"/>
  <c r="T155" i="489"/>
  <c r="S155" i="489"/>
  <c r="R155" i="489"/>
  <c r="Q155" i="489"/>
  <c r="P155" i="489"/>
  <c r="O155" i="489"/>
  <c r="I155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N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7" i="489"/>
  <c r="Z147" i="489"/>
  <c r="Y147" i="489"/>
  <c r="X147" i="489"/>
  <c r="U147" i="489"/>
  <c r="T147" i="489"/>
  <c r="S147" i="489"/>
  <c r="R147" i="489"/>
  <c r="Q147" i="489"/>
  <c r="P147" i="489"/>
  <c r="O147" i="489"/>
  <c r="I147" i="489"/>
  <c r="G147" i="489"/>
  <c r="G145" i="489"/>
  <c r="G144" i="489"/>
  <c r="G143" i="489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5" i="508"/>
  <c r="O535" i="508"/>
  <c r="N535" i="508"/>
  <c r="M535" i="508"/>
  <c r="L535" i="508"/>
  <c r="K535" i="508"/>
  <c r="I535" i="508"/>
  <c r="H535" i="508"/>
  <c r="G535" i="508"/>
  <c r="F535" i="508"/>
  <c r="E535" i="508"/>
  <c r="P534" i="508"/>
  <c r="O534" i="508"/>
  <c r="N534" i="508"/>
  <c r="M534" i="508"/>
  <c r="L534" i="508"/>
  <c r="K534" i="508"/>
  <c r="I534" i="508"/>
  <c r="H534" i="508"/>
  <c r="G534" i="508"/>
  <c r="F534" i="508"/>
  <c r="E534" i="508"/>
  <c r="P533" i="508"/>
  <c r="O533" i="508"/>
  <c r="N533" i="508"/>
  <c r="M533" i="508"/>
  <c r="L533" i="508"/>
  <c r="K533" i="508"/>
  <c r="I533" i="508"/>
  <c r="H533" i="508"/>
  <c r="G533" i="508"/>
  <c r="F533" i="508"/>
  <c r="E533" i="508"/>
  <c r="C511" i="508"/>
  <c r="C510" i="508"/>
  <c r="C509" i="508"/>
  <c r="AA505" i="508"/>
  <c r="Z505" i="508"/>
  <c r="Y505" i="508"/>
  <c r="X505" i="508"/>
  <c r="U505" i="508"/>
  <c r="T505" i="508"/>
  <c r="S505" i="508"/>
  <c r="R505" i="508"/>
  <c r="Q505" i="508"/>
  <c r="P505" i="508"/>
  <c r="O505" i="508"/>
  <c r="I505" i="508"/>
  <c r="G505" i="508"/>
  <c r="AA504" i="508"/>
  <c r="Z504" i="508"/>
  <c r="Y504" i="508"/>
  <c r="X504" i="508"/>
  <c r="U504" i="508"/>
  <c r="T504" i="508"/>
  <c r="S504" i="508"/>
  <c r="R504" i="508"/>
  <c r="Q504" i="508"/>
  <c r="P504" i="508"/>
  <c r="O504" i="508"/>
  <c r="I504" i="508"/>
  <c r="G504" i="508"/>
  <c r="I503" i="508"/>
  <c r="G503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G500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AA497" i="508"/>
  <c r="Z497" i="508"/>
  <c r="Y497" i="508"/>
  <c r="X497" i="508"/>
  <c r="U497" i="508"/>
  <c r="T497" i="508"/>
  <c r="S497" i="508"/>
  <c r="R497" i="508"/>
  <c r="Q497" i="508"/>
  <c r="P497" i="508"/>
  <c r="O497" i="508"/>
  <c r="I497" i="508"/>
  <c r="G497" i="508"/>
  <c r="AA496" i="508"/>
  <c r="Z496" i="508"/>
  <c r="Y496" i="508"/>
  <c r="X496" i="508"/>
  <c r="U496" i="508"/>
  <c r="T496" i="508"/>
  <c r="S496" i="508"/>
  <c r="R496" i="508"/>
  <c r="Q496" i="508"/>
  <c r="P496" i="508"/>
  <c r="O496" i="508"/>
  <c r="I496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I485" i="508"/>
  <c r="G485" i="508"/>
  <c r="AA484" i="508"/>
  <c r="Z484" i="508"/>
  <c r="Y484" i="508"/>
  <c r="X484" i="508"/>
  <c r="U484" i="508"/>
  <c r="T484" i="508"/>
  <c r="S484" i="508"/>
  <c r="R484" i="508"/>
  <c r="Q484" i="508"/>
  <c r="P484" i="508"/>
  <c r="O484" i="508"/>
  <c r="I484" i="508"/>
  <c r="G484" i="508"/>
  <c r="AA483" i="508"/>
  <c r="Z483" i="508"/>
  <c r="Y483" i="508"/>
  <c r="X483" i="508"/>
  <c r="U483" i="508"/>
  <c r="T483" i="508"/>
  <c r="S483" i="508"/>
  <c r="R483" i="508"/>
  <c r="Q483" i="508"/>
  <c r="P483" i="508"/>
  <c r="O483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7" i="508"/>
  <c r="Z477" i="508"/>
  <c r="Y477" i="508"/>
  <c r="X477" i="508"/>
  <c r="U477" i="508"/>
  <c r="T477" i="508"/>
  <c r="S477" i="508"/>
  <c r="R477" i="508"/>
  <c r="Q477" i="508"/>
  <c r="P477" i="508"/>
  <c r="O477" i="508"/>
  <c r="I477" i="508"/>
  <c r="G477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1" i="508"/>
  <c r="Z461" i="508"/>
  <c r="Y461" i="508"/>
  <c r="X461" i="508"/>
  <c r="U461" i="508"/>
  <c r="T461" i="508"/>
  <c r="S461" i="508"/>
  <c r="R461" i="508"/>
  <c r="Q461" i="508"/>
  <c r="P461" i="508"/>
  <c r="O461" i="508"/>
  <c r="I461" i="508"/>
  <c r="G461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I459" i="508"/>
  <c r="G459" i="508"/>
  <c r="I458" i="508"/>
  <c r="G458" i="508"/>
  <c r="I457" i="508"/>
  <c r="G457" i="508"/>
  <c r="AA456" i="508"/>
  <c r="Z456" i="508"/>
  <c r="Y456" i="508"/>
  <c r="X456" i="508"/>
  <c r="U456" i="508"/>
  <c r="T456" i="508"/>
  <c r="S456" i="508"/>
  <c r="R456" i="508"/>
  <c r="Q456" i="508"/>
  <c r="P456" i="508"/>
  <c r="O456" i="508"/>
  <c r="I456" i="508"/>
  <c r="G456" i="508"/>
  <c r="AA455" i="508"/>
  <c r="Z455" i="508"/>
  <c r="Y455" i="508"/>
  <c r="X455" i="508"/>
  <c r="U455" i="508"/>
  <c r="T455" i="508"/>
  <c r="S455" i="508"/>
  <c r="R455" i="508"/>
  <c r="Q455" i="508"/>
  <c r="P455" i="508"/>
  <c r="O455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6" i="508"/>
  <c r="Z426" i="508"/>
  <c r="Y426" i="508"/>
  <c r="X426" i="508"/>
  <c r="U426" i="508"/>
  <c r="T426" i="508"/>
  <c r="S426" i="508"/>
  <c r="R426" i="508"/>
  <c r="Q426" i="508"/>
  <c r="P426" i="508"/>
  <c r="O426" i="508"/>
  <c r="I426" i="508"/>
  <c r="G426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I424" i="508"/>
  <c r="G424" i="508"/>
  <c r="I423" i="508"/>
  <c r="G423" i="508"/>
  <c r="I422" i="508"/>
  <c r="G422" i="508"/>
  <c r="AA421" i="508"/>
  <c r="Z421" i="508"/>
  <c r="Y421" i="508"/>
  <c r="X421" i="508"/>
  <c r="U421" i="508"/>
  <c r="T421" i="508"/>
  <c r="S421" i="508"/>
  <c r="R421" i="508"/>
  <c r="Q421" i="508"/>
  <c r="P421" i="508"/>
  <c r="O421" i="508"/>
  <c r="I421" i="508"/>
  <c r="G421" i="508"/>
  <c r="AA420" i="508"/>
  <c r="Z420" i="508"/>
  <c r="Y420" i="508"/>
  <c r="X420" i="508"/>
  <c r="U420" i="508"/>
  <c r="T420" i="508"/>
  <c r="S420" i="508"/>
  <c r="R420" i="508"/>
  <c r="Q420" i="508"/>
  <c r="P420" i="508"/>
  <c r="O420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AA407" i="508"/>
  <c r="Z407" i="508"/>
  <c r="Y407" i="508"/>
  <c r="X407" i="508"/>
  <c r="U407" i="508"/>
  <c r="T407" i="508"/>
  <c r="S407" i="508"/>
  <c r="R407" i="508"/>
  <c r="Q407" i="508"/>
  <c r="P407" i="508"/>
  <c r="O407" i="508"/>
  <c r="I407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I378" i="508"/>
  <c r="G378" i="508"/>
  <c r="I377" i="508"/>
  <c r="G377" i="508"/>
  <c r="I376" i="508"/>
  <c r="G376" i="508"/>
  <c r="AA375" i="508"/>
  <c r="Z375" i="508"/>
  <c r="Y375" i="508"/>
  <c r="X375" i="508"/>
  <c r="U375" i="508"/>
  <c r="T375" i="508"/>
  <c r="S375" i="508"/>
  <c r="R375" i="508"/>
  <c r="Q375" i="508"/>
  <c r="P375" i="508"/>
  <c r="O375" i="508"/>
  <c r="I375" i="508"/>
  <c r="G375" i="508"/>
  <c r="AA374" i="508"/>
  <c r="Z374" i="508"/>
  <c r="Y374" i="508"/>
  <c r="X374" i="508"/>
  <c r="U374" i="508"/>
  <c r="T374" i="508"/>
  <c r="S374" i="508"/>
  <c r="R374" i="508"/>
  <c r="Q374" i="508"/>
  <c r="P374" i="508"/>
  <c r="O374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8" i="508"/>
  <c r="Z368" i="508"/>
  <c r="Y368" i="508"/>
  <c r="X368" i="508"/>
  <c r="U368" i="508"/>
  <c r="T368" i="508"/>
  <c r="S368" i="508"/>
  <c r="R368" i="508"/>
  <c r="Q368" i="508"/>
  <c r="P368" i="508"/>
  <c r="O368" i="508"/>
  <c r="I368" i="508"/>
  <c r="G368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G360" i="508"/>
  <c r="G359" i="508"/>
  <c r="AA358" i="508"/>
  <c r="Z358" i="508"/>
  <c r="Y358" i="508"/>
  <c r="X358" i="508"/>
  <c r="U358" i="508"/>
  <c r="T358" i="508"/>
  <c r="S358" i="508"/>
  <c r="R358" i="508"/>
  <c r="Q358" i="508"/>
  <c r="P358" i="508"/>
  <c r="O358" i="508"/>
  <c r="I358" i="508"/>
  <c r="G358" i="508"/>
  <c r="AA357" i="508"/>
  <c r="Z357" i="508"/>
  <c r="Y357" i="508"/>
  <c r="X357" i="508"/>
  <c r="U357" i="508"/>
  <c r="T357" i="508"/>
  <c r="S357" i="508"/>
  <c r="R357" i="508"/>
  <c r="Q357" i="508"/>
  <c r="P357" i="508"/>
  <c r="O357" i="508"/>
  <c r="I357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G340" i="508"/>
  <c r="C340" i="508"/>
  <c r="G339" i="508"/>
  <c r="C339" i="508"/>
  <c r="G338" i="508"/>
  <c r="C338" i="508"/>
  <c r="G337" i="508"/>
  <c r="C337" i="508"/>
  <c r="AA333" i="508"/>
  <c r="Z333" i="508"/>
  <c r="Y333" i="508"/>
  <c r="X333" i="508"/>
  <c r="U333" i="508"/>
  <c r="T333" i="508"/>
  <c r="S333" i="508"/>
  <c r="R333" i="508"/>
  <c r="Q333" i="508"/>
  <c r="P333" i="508"/>
  <c r="O333" i="508"/>
  <c r="I333" i="508"/>
  <c r="G333" i="508"/>
  <c r="AA332" i="508"/>
  <c r="Z332" i="508"/>
  <c r="Y332" i="508"/>
  <c r="X332" i="508"/>
  <c r="U332" i="508"/>
  <c r="T332" i="508"/>
  <c r="S332" i="508"/>
  <c r="R332" i="508"/>
  <c r="Q332" i="508"/>
  <c r="P332" i="508"/>
  <c r="O332" i="508"/>
  <c r="I332" i="508"/>
  <c r="G332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I327" i="508"/>
  <c r="G327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AA325" i="508"/>
  <c r="Z325" i="508"/>
  <c r="Y325" i="508"/>
  <c r="X325" i="508"/>
  <c r="U325" i="508"/>
  <c r="T325" i="508"/>
  <c r="S325" i="508"/>
  <c r="R325" i="508"/>
  <c r="Q325" i="508"/>
  <c r="P325" i="508"/>
  <c r="O325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I314" i="508"/>
  <c r="G314" i="508"/>
  <c r="AA313" i="508"/>
  <c r="Z313" i="508"/>
  <c r="Y313" i="508"/>
  <c r="X313" i="508"/>
  <c r="U313" i="508"/>
  <c r="T313" i="508"/>
  <c r="S313" i="508"/>
  <c r="R313" i="508"/>
  <c r="Q313" i="508"/>
  <c r="P313" i="508"/>
  <c r="O313" i="508"/>
  <c r="I313" i="508"/>
  <c r="G313" i="508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7" i="508"/>
  <c r="Z307" i="508"/>
  <c r="Y307" i="508"/>
  <c r="X307" i="508"/>
  <c r="U307" i="508"/>
  <c r="T307" i="508"/>
  <c r="S307" i="508"/>
  <c r="R307" i="508"/>
  <c r="Q307" i="508"/>
  <c r="P307" i="508"/>
  <c r="O307" i="508"/>
  <c r="I307" i="508"/>
  <c r="G307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1" i="508"/>
  <c r="Z291" i="508"/>
  <c r="Y291" i="508"/>
  <c r="X291" i="508"/>
  <c r="U291" i="508"/>
  <c r="T291" i="508"/>
  <c r="S291" i="508"/>
  <c r="R291" i="508"/>
  <c r="Q291" i="508"/>
  <c r="P291" i="508"/>
  <c r="O291" i="508"/>
  <c r="I291" i="508"/>
  <c r="G291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I288" i="508"/>
  <c r="G288" i="508"/>
  <c r="I287" i="508"/>
  <c r="G287" i="508"/>
  <c r="I286" i="508"/>
  <c r="G286" i="508"/>
  <c r="AA285" i="508"/>
  <c r="Z285" i="508"/>
  <c r="Y285" i="508"/>
  <c r="X285" i="508"/>
  <c r="U285" i="508"/>
  <c r="T285" i="508"/>
  <c r="S285" i="508"/>
  <c r="R285" i="508"/>
  <c r="Q285" i="508"/>
  <c r="P285" i="508"/>
  <c r="O285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G256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I253" i="508"/>
  <c r="G253" i="508"/>
  <c r="I252" i="508"/>
  <c r="G252" i="508"/>
  <c r="I251" i="508"/>
  <c r="G251" i="508"/>
  <c r="AA250" i="508"/>
  <c r="Z250" i="508"/>
  <c r="Y250" i="508"/>
  <c r="X250" i="508"/>
  <c r="U250" i="508"/>
  <c r="T250" i="508"/>
  <c r="S250" i="508"/>
  <c r="R250" i="508"/>
  <c r="Q250" i="508"/>
  <c r="P250" i="508"/>
  <c r="O250" i="508"/>
  <c r="N250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N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N239" i="508"/>
  <c r="I239" i="508"/>
  <c r="G239" i="508"/>
  <c r="I238" i="508"/>
  <c r="G238" i="508"/>
  <c r="AA237" i="508"/>
  <c r="Z237" i="508"/>
  <c r="Y237" i="508"/>
  <c r="X237" i="508"/>
  <c r="U237" i="508"/>
  <c r="T237" i="508"/>
  <c r="S237" i="508"/>
  <c r="R237" i="508"/>
  <c r="Q237" i="508"/>
  <c r="P237" i="508"/>
  <c r="O237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I207" i="508"/>
  <c r="G207" i="508"/>
  <c r="I206" i="508"/>
  <c r="G206" i="508"/>
  <c r="I205" i="508"/>
  <c r="G205" i="508"/>
  <c r="AA204" i="508"/>
  <c r="Z204" i="508"/>
  <c r="Y204" i="508"/>
  <c r="X204" i="508"/>
  <c r="U204" i="508"/>
  <c r="T204" i="508"/>
  <c r="S204" i="508"/>
  <c r="R204" i="508"/>
  <c r="Q204" i="508"/>
  <c r="P204" i="508"/>
  <c r="O204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I201" i="508"/>
  <c r="G201" i="508"/>
  <c r="AA200" i="508"/>
  <c r="Z200" i="508"/>
  <c r="Y200" i="508"/>
  <c r="X200" i="508"/>
  <c r="U200" i="508"/>
  <c r="T200" i="508"/>
  <c r="S200" i="508"/>
  <c r="R200" i="508"/>
  <c r="Q200" i="508"/>
  <c r="P200" i="508"/>
  <c r="O200" i="508"/>
  <c r="I200" i="508"/>
  <c r="G200" i="508"/>
  <c r="AA198" i="508"/>
  <c r="Z198" i="508"/>
  <c r="Y198" i="508"/>
  <c r="X198" i="508"/>
  <c r="U198" i="508"/>
  <c r="T198" i="508"/>
  <c r="S198" i="508"/>
  <c r="R198" i="508"/>
  <c r="Q198" i="508"/>
  <c r="P198" i="508"/>
  <c r="O198" i="508"/>
  <c r="I198" i="508"/>
  <c r="G198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N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G169" i="508"/>
  <c r="C169" i="508"/>
  <c r="G168" i="508"/>
  <c r="C168" i="508"/>
  <c r="G167" i="508"/>
  <c r="C167" i="508"/>
  <c r="G166" i="508"/>
  <c r="C166" i="508"/>
  <c r="I162" i="508"/>
  <c r="G162" i="508"/>
  <c r="AA161" i="508"/>
  <c r="Z161" i="508"/>
  <c r="Y161" i="508"/>
  <c r="X161" i="508"/>
  <c r="U161" i="508"/>
  <c r="T161" i="508"/>
  <c r="S161" i="508"/>
  <c r="R161" i="508"/>
  <c r="Q161" i="508"/>
  <c r="P161" i="508"/>
  <c r="O161" i="508"/>
  <c r="N161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G157" i="508"/>
  <c r="I156" i="508"/>
  <c r="G156" i="508"/>
  <c r="AA155" i="508"/>
  <c r="Z155" i="508"/>
  <c r="Y155" i="508"/>
  <c r="X155" i="508"/>
  <c r="U155" i="508"/>
  <c r="T155" i="508"/>
  <c r="S155" i="508"/>
  <c r="R155" i="508"/>
  <c r="Q155" i="508"/>
  <c r="P155" i="508"/>
  <c r="O155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N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7" i="508"/>
  <c r="Z147" i="508"/>
  <c r="Y147" i="508"/>
  <c r="X147" i="508"/>
  <c r="U147" i="508"/>
  <c r="T147" i="508"/>
  <c r="S147" i="508"/>
  <c r="R147" i="508"/>
  <c r="Q147" i="508"/>
  <c r="P147" i="508"/>
  <c r="O147" i="508"/>
  <c r="I147" i="508"/>
  <c r="G147" i="508"/>
  <c r="I143" i="508"/>
  <c r="G143" i="508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6" i="542"/>
  <c r="O536" i="542"/>
  <c r="N536" i="542"/>
  <c r="M536" i="542"/>
  <c r="L536" i="542"/>
  <c r="K536" i="542"/>
  <c r="I536" i="542"/>
  <c r="H536" i="542"/>
  <c r="G536" i="542"/>
  <c r="F536" i="542"/>
  <c r="E536" i="542"/>
  <c r="D536" i="542"/>
  <c r="C535" i="542"/>
  <c r="C534" i="542"/>
  <c r="C533" i="542"/>
  <c r="G517" i="542"/>
  <c r="N517" i="542" s="1"/>
  <c r="X515" i="542"/>
  <c r="X514" i="542"/>
  <c r="X513" i="542"/>
  <c r="G513" i="542"/>
  <c r="C513" i="542"/>
  <c r="X512" i="542"/>
  <c r="I512" i="542"/>
  <c r="E512" i="542"/>
  <c r="K512" i="542" s="1"/>
  <c r="M512" i="542" s="1"/>
  <c r="X511" i="542"/>
  <c r="I511" i="542"/>
  <c r="E511" i="542"/>
  <c r="K511" i="542" s="1"/>
  <c r="M511" i="542" s="1"/>
  <c r="I510" i="542"/>
  <c r="E510" i="542"/>
  <c r="K510" i="542" s="1"/>
  <c r="M510" i="542" s="1"/>
  <c r="I509" i="542"/>
  <c r="I513" i="542" s="1"/>
  <c r="E509" i="542"/>
  <c r="K509" i="542" s="1"/>
  <c r="AA506" i="542"/>
  <c r="Z506" i="542"/>
  <c r="Y506" i="542"/>
  <c r="X506" i="542"/>
  <c r="U506" i="542"/>
  <c r="T506" i="542"/>
  <c r="S506" i="542"/>
  <c r="R506" i="542"/>
  <c r="Q506" i="542"/>
  <c r="P506" i="542"/>
  <c r="O506" i="542"/>
  <c r="R514" i="542" s="1"/>
  <c r="I506" i="542"/>
  <c r="G506" i="542"/>
  <c r="J506" i="542" s="1" a="1"/>
  <c r="J506" i="542" s="1"/>
  <c r="H505" i="542"/>
  <c r="H504" i="542"/>
  <c r="H503" i="542"/>
  <c r="D502" i="542"/>
  <c r="H502" i="542" s="1"/>
  <c r="V501" i="542"/>
  <c r="W501" i="542" s="1"/>
  <c r="N501" i="542"/>
  <c r="K501" i="542" a="1"/>
  <c r="K501" i="542" s="1"/>
  <c r="M501" i="542" s="1"/>
  <c r="J501" i="542" a="1"/>
  <c r="J501" i="542" s="1"/>
  <c r="H501" i="542"/>
  <c r="H500" i="542"/>
  <c r="H499" i="542"/>
  <c r="V498" i="542"/>
  <c r="W498" i="542" s="1"/>
  <c r="N498" i="542"/>
  <c r="K498" i="542"/>
  <c r="M498" i="542" s="1"/>
  <c r="K498" i="542" a="1"/>
  <c r="J498" i="542"/>
  <c r="J498" i="542" a="1"/>
  <c r="H498" i="542"/>
  <c r="V497" i="542"/>
  <c r="W497" i="542" s="1"/>
  <c r="N497" i="542"/>
  <c r="K497" i="542" a="1"/>
  <c r="K497" i="542" s="1"/>
  <c r="M497" i="542" s="1"/>
  <c r="J497" i="542" a="1"/>
  <c r="J497" i="542" s="1"/>
  <c r="H497" i="542"/>
  <c r="H496" i="542"/>
  <c r="H495" i="542"/>
  <c r="V494" i="542"/>
  <c r="W494" i="542" s="1"/>
  <c r="N494" i="542"/>
  <c r="K494" i="542" a="1"/>
  <c r="K494" i="542" s="1"/>
  <c r="M494" i="542" s="1"/>
  <c r="J494" i="542" a="1"/>
  <c r="J494" i="542" s="1"/>
  <c r="H494" i="542"/>
  <c r="V493" i="542"/>
  <c r="W493" i="542" s="1"/>
  <c r="N493" i="542"/>
  <c r="K493" i="542" a="1"/>
  <c r="K493" i="542" s="1"/>
  <c r="M493" i="542" s="1"/>
  <c r="J493" i="542" a="1"/>
  <c r="J493" i="542" s="1"/>
  <c r="H493" i="542"/>
  <c r="V492" i="542"/>
  <c r="W492" i="542" s="1"/>
  <c r="N492" i="542"/>
  <c r="K492" i="542"/>
  <c r="M492" i="542" s="1"/>
  <c r="K492" i="542" a="1"/>
  <c r="J492" i="542"/>
  <c r="J492" i="542" a="1"/>
  <c r="H492" i="542"/>
  <c r="V491" i="542"/>
  <c r="N491" i="542"/>
  <c r="N506" i="542" s="1"/>
  <c r="K491" i="542" a="1"/>
  <c r="K491" i="542" s="1"/>
  <c r="J491" i="542" a="1"/>
  <c r="J491" i="542" s="1"/>
  <c r="H491" i="542"/>
  <c r="H506" i="542" s="1"/>
  <c r="AA490" i="542"/>
  <c r="Z490" i="542"/>
  <c r="Y490" i="542"/>
  <c r="X490" i="542"/>
  <c r="U490" i="542"/>
  <c r="T490" i="542"/>
  <c r="S490" i="542"/>
  <c r="Q490" i="542"/>
  <c r="P490" i="542"/>
  <c r="O490" i="542"/>
  <c r="I490" i="542"/>
  <c r="G490" i="542"/>
  <c r="J490" i="542" s="1" a="1"/>
  <c r="J490" i="542" s="1"/>
  <c r="V489" i="542"/>
  <c r="W489" i="542" s="1"/>
  <c r="N489" i="542"/>
  <c r="K489" i="542"/>
  <c r="M489" i="542" s="1"/>
  <c r="K489" i="542" a="1"/>
  <c r="J489" i="542"/>
  <c r="J489" i="542" a="1"/>
  <c r="H489" i="542"/>
  <c r="H487" i="542"/>
  <c r="H486" i="542"/>
  <c r="H485" i="542"/>
  <c r="V484" i="542"/>
  <c r="W484" i="542" s="1"/>
  <c r="N484" i="542"/>
  <c r="K484" i="542" a="1"/>
  <c r="K484" i="542" s="1"/>
  <c r="M484" i="542" s="1"/>
  <c r="J484" i="542" a="1"/>
  <c r="J484" i="542" s="1"/>
  <c r="H484" i="542"/>
  <c r="V483" i="542"/>
  <c r="W483" i="542" s="1"/>
  <c r="N483" i="542"/>
  <c r="K483" i="542" a="1"/>
  <c r="K483" i="542" s="1"/>
  <c r="M483" i="542" s="1"/>
  <c r="J483" i="542" a="1"/>
  <c r="J483" i="542" s="1"/>
  <c r="H483" i="542"/>
  <c r="V482" i="542"/>
  <c r="W482" i="542" s="1"/>
  <c r="N482" i="542"/>
  <c r="K482" i="542"/>
  <c r="M482" i="542" s="1"/>
  <c r="K482" i="542" a="1"/>
  <c r="J482" i="542"/>
  <c r="J482" i="542" a="1"/>
  <c r="H482" i="542"/>
  <c r="V481" i="542"/>
  <c r="W481" i="542" s="1"/>
  <c r="N481" i="542"/>
  <c r="K481" i="542" a="1"/>
  <c r="K481" i="542" s="1"/>
  <c r="M481" i="542" s="1"/>
  <c r="J481" i="542" a="1"/>
  <c r="J481" i="542" s="1"/>
  <c r="H481" i="542"/>
  <c r="W480" i="542"/>
  <c r="V480" i="542"/>
  <c r="V490" i="542" s="1"/>
  <c r="W490" i="542" s="1"/>
  <c r="N480" i="542"/>
  <c r="N490" i="542" s="1"/>
  <c r="K480" i="542" a="1"/>
  <c r="K480" i="542" s="1"/>
  <c r="M480" i="542" s="1"/>
  <c r="J480" i="542" a="1"/>
  <c r="J480" i="542" s="1"/>
  <c r="H480" i="542"/>
  <c r="H490" i="542" s="1"/>
  <c r="AA479" i="542"/>
  <c r="Z479" i="542"/>
  <c r="Y479" i="542"/>
  <c r="X479" i="542"/>
  <c r="U479" i="542"/>
  <c r="T479" i="542"/>
  <c r="S479" i="542"/>
  <c r="Q479" i="542"/>
  <c r="P479" i="542"/>
  <c r="O479" i="542"/>
  <c r="I479" i="542"/>
  <c r="G479" i="542"/>
  <c r="J479" i="542" s="1" a="1"/>
  <c r="J479" i="542" s="1"/>
  <c r="V478" i="542"/>
  <c r="W478" i="542" s="1"/>
  <c r="N478" i="542"/>
  <c r="K478" i="542" a="1"/>
  <c r="K478" i="542" s="1"/>
  <c r="M478" i="542" s="1"/>
  <c r="J478" i="542" a="1"/>
  <c r="J478" i="542" s="1"/>
  <c r="H478" i="542"/>
  <c r="V477" i="542"/>
  <c r="W477" i="542" s="1"/>
  <c r="N477" i="542"/>
  <c r="K477" i="542"/>
  <c r="M477" i="542" s="1"/>
  <c r="K477" i="542" a="1"/>
  <c r="J477" i="542"/>
  <c r="J477" i="542" a="1"/>
  <c r="H477" i="542"/>
  <c r="V476" i="542"/>
  <c r="W476" i="542" s="1"/>
  <c r="N476" i="542"/>
  <c r="K476" i="542" a="1"/>
  <c r="K476" i="542" s="1"/>
  <c r="M476" i="542" s="1"/>
  <c r="J476" i="542" a="1"/>
  <c r="J476" i="542" s="1"/>
  <c r="H476" i="542"/>
  <c r="V475" i="542"/>
  <c r="W475" i="542" s="1"/>
  <c r="N475" i="542"/>
  <c r="K475" i="542"/>
  <c r="M475" i="542" s="1"/>
  <c r="K475" i="542" a="1"/>
  <c r="J475" i="542"/>
  <c r="J475" i="542" a="1"/>
  <c r="H475" i="542"/>
  <c r="V474" i="542"/>
  <c r="W474" i="542" s="1"/>
  <c r="N474" i="542"/>
  <c r="K474" i="542" a="1"/>
  <c r="K474" i="542" s="1"/>
  <c r="M474" i="542" s="1"/>
  <c r="J474" i="542" a="1"/>
  <c r="J474" i="542" s="1"/>
  <c r="H474" i="542"/>
  <c r="V473" i="542"/>
  <c r="W473" i="542" s="1"/>
  <c r="N473" i="542"/>
  <c r="K473" i="542" a="1"/>
  <c r="K473" i="542" s="1"/>
  <c r="M473" i="542" s="1"/>
  <c r="J473" i="542" a="1"/>
  <c r="J473" i="542" s="1"/>
  <c r="H473" i="542"/>
  <c r="V472" i="542"/>
  <c r="W472" i="542" s="1"/>
  <c r="N472" i="542"/>
  <c r="K472" i="542" a="1"/>
  <c r="K472" i="542" s="1"/>
  <c r="M472" i="542" s="1"/>
  <c r="J472" i="542" a="1"/>
  <c r="J472" i="542" s="1"/>
  <c r="H472" i="542"/>
  <c r="V471" i="542"/>
  <c r="W471" i="542" s="1"/>
  <c r="N471" i="542"/>
  <c r="K471" i="542"/>
  <c r="M471" i="542" s="1"/>
  <c r="K471" i="542" a="1"/>
  <c r="J471" i="542"/>
  <c r="J471" i="542" a="1"/>
  <c r="H471" i="542"/>
  <c r="V470" i="542"/>
  <c r="W470" i="542" s="1"/>
  <c r="N470" i="542"/>
  <c r="K470" i="542" a="1"/>
  <c r="K470" i="542" s="1"/>
  <c r="M470" i="542" s="1"/>
  <c r="J470" i="542" a="1"/>
  <c r="J470" i="542" s="1"/>
  <c r="H470" i="542"/>
  <c r="W469" i="542"/>
  <c r="V469" i="542"/>
  <c r="N469" i="542"/>
  <c r="K469" i="542" a="1"/>
  <c r="K469" i="542" s="1"/>
  <c r="M469" i="542" s="1"/>
  <c r="J469" i="542" a="1"/>
  <c r="J469" i="542" s="1"/>
  <c r="H469" i="542"/>
  <c r="V468" i="542"/>
  <c r="W468" i="542" s="1"/>
  <c r="N468" i="542"/>
  <c r="K468" i="542" a="1"/>
  <c r="K468" i="542" s="1"/>
  <c r="M468" i="542" s="1"/>
  <c r="J468" i="542" a="1"/>
  <c r="J468" i="542" s="1"/>
  <c r="H468" i="542"/>
  <c r="V467" i="542"/>
  <c r="W467" i="542" s="1"/>
  <c r="N467" i="542"/>
  <c r="K467" i="542"/>
  <c r="M467" i="542" s="1"/>
  <c r="K467" i="542" a="1"/>
  <c r="J467" i="542"/>
  <c r="J467" i="542" a="1"/>
  <c r="H467" i="542"/>
  <c r="V466" i="542"/>
  <c r="W466" i="542" s="1"/>
  <c r="N466" i="542"/>
  <c r="K466" i="542" a="1"/>
  <c r="K466" i="542" s="1"/>
  <c r="M466" i="542" s="1"/>
  <c r="J466" i="542" a="1"/>
  <c r="J466" i="542" s="1"/>
  <c r="H466" i="542"/>
  <c r="V465" i="542"/>
  <c r="W465" i="542" s="1"/>
  <c r="N465" i="542"/>
  <c r="K465" i="542" a="1"/>
  <c r="K465" i="542" s="1"/>
  <c r="M465" i="542" s="1"/>
  <c r="J465" i="542" a="1"/>
  <c r="J465" i="542" s="1"/>
  <c r="H465" i="542"/>
  <c r="V464" i="542"/>
  <c r="N464" i="542"/>
  <c r="K464" i="542" a="1"/>
  <c r="K464" i="542" s="1"/>
  <c r="J464" i="542" a="1"/>
  <c r="J464" i="542" s="1"/>
  <c r="H464" i="542"/>
  <c r="AA463" i="542"/>
  <c r="Z463" i="542"/>
  <c r="Y463" i="542"/>
  <c r="X463" i="542"/>
  <c r="U463" i="542"/>
  <c r="T463" i="542"/>
  <c r="S463" i="542"/>
  <c r="R463" i="542"/>
  <c r="Q463" i="542"/>
  <c r="P463" i="542"/>
  <c r="O463" i="542"/>
  <c r="R511" i="542" s="1"/>
  <c r="I463" i="542"/>
  <c r="G463" i="542"/>
  <c r="V462" i="542"/>
  <c r="W462" i="542" s="1"/>
  <c r="N462" i="542"/>
  <c r="K462" i="542" a="1"/>
  <c r="K462" i="542" s="1"/>
  <c r="M462" i="542" s="1"/>
  <c r="J462" i="542" a="1"/>
  <c r="J462" i="542" s="1"/>
  <c r="H462" i="542"/>
  <c r="V461" i="542"/>
  <c r="W461" i="542" s="1"/>
  <c r="N461" i="542"/>
  <c r="K461" i="542" a="1"/>
  <c r="K461" i="542" s="1"/>
  <c r="M461" i="542" s="1"/>
  <c r="J461" i="542" a="1"/>
  <c r="J461" i="542" s="1"/>
  <c r="H461" i="542"/>
  <c r="V460" i="542"/>
  <c r="W460" i="542" s="1"/>
  <c r="N460" i="542"/>
  <c r="K460" i="542" a="1"/>
  <c r="K460" i="542" s="1"/>
  <c r="M460" i="542" s="1"/>
  <c r="J460" i="542" a="1"/>
  <c r="J460" i="542" s="1"/>
  <c r="H460" i="542"/>
  <c r="K459" i="542" a="1"/>
  <c r="K459" i="542" s="1"/>
  <c r="M459" i="542" s="1"/>
  <c r="H459" i="542"/>
  <c r="K458" i="542"/>
  <c r="M458" i="542" s="1"/>
  <c r="K458" i="542" a="1"/>
  <c r="H458" i="542"/>
  <c r="K457" i="542" a="1"/>
  <c r="K457" i="542" s="1"/>
  <c r="M457" i="542" s="1"/>
  <c r="H457" i="542"/>
  <c r="V456" i="542"/>
  <c r="W456" i="542" s="1"/>
  <c r="N456" i="542"/>
  <c r="K456" i="542" a="1"/>
  <c r="K456" i="542" s="1"/>
  <c r="M456" i="542" s="1"/>
  <c r="J456" i="542" a="1"/>
  <c r="J456" i="542" s="1"/>
  <c r="H456" i="542"/>
  <c r="V455" i="542"/>
  <c r="W455" i="542" s="1"/>
  <c r="N455" i="542"/>
  <c r="K455" i="542"/>
  <c r="M455" i="542" s="1"/>
  <c r="K455" i="542" a="1"/>
  <c r="J455" i="542"/>
  <c r="J455" i="542" a="1"/>
  <c r="H455" i="542"/>
  <c r="N454" i="542"/>
  <c r="K454" i="542" a="1"/>
  <c r="K454" i="542" s="1"/>
  <c r="M454" i="542" s="1"/>
  <c r="H454" i="542"/>
  <c r="N453" i="542"/>
  <c r="K453" i="542" a="1"/>
  <c r="K453" i="542" s="1"/>
  <c r="M453" i="542" s="1"/>
  <c r="H453" i="542"/>
  <c r="N452" i="542"/>
  <c r="K452" i="542" a="1"/>
  <c r="K452" i="542" s="1"/>
  <c r="M452" i="542" s="1"/>
  <c r="H452" i="542"/>
  <c r="N451" i="542"/>
  <c r="K451" i="542"/>
  <c r="M451" i="542" s="1"/>
  <c r="K451" i="542" a="1"/>
  <c r="H451" i="542"/>
  <c r="N450" i="542"/>
  <c r="K450" i="542" a="1"/>
  <c r="K450" i="542" s="1"/>
  <c r="M450" i="542" s="1"/>
  <c r="H450" i="542"/>
  <c r="N449" i="542"/>
  <c r="K449" i="542" a="1"/>
  <c r="K449" i="542" s="1"/>
  <c r="M449" i="542" s="1"/>
  <c r="H449" i="542"/>
  <c r="V448" i="542"/>
  <c r="W448" i="542" s="1"/>
  <c r="N448" i="542"/>
  <c r="K448" i="542" a="1"/>
  <c r="K448" i="542" s="1"/>
  <c r="M448" i="542" s="1"/>
  <c r="J448" i="542" a="1"/>
  <c r="J448" i="542" s="1"/>
  <c r="H448" i="542"/>
  <c r="V447" i="542"/>
  <c r="W447" i="542" s="1"/>
  <c r="N447" i="542"/>
  <c r="K447" i="542"/>
  <c r="M447" i="542" s="1"/>
  <c r="K447" i="542" a="1"/>
  <c r="J447" i="542"/>
  <c r="J447" i="542" a="1"/>
  <c r="H447" i="542"/>
  <c r="V446" i="542"/>
  <c r="W446" i="542" s="1"/>
  <c r="N446" i="542"/>
  <c r="K446" i="542" a="1"/>
  <c r="K446" i="542" s="1"/>
  <c r="M446" i="542" s="1"/>
  <c r="J446" i="542" a="1"/>
  <c r="J446" i="542" s="1"/>
  <c r="H446" i="542"/>
  <c r="V445" i="542"/>
  <c r="W445" i="542" s="1"/>
  <c r="N445" i="542"/>
  <c r="K445" i="542" a="1"/>
  <c r="K445" i="542" s="1"/>
  <c r="M445" i="542" s="1"/>
  <c r="J445" i="542" a="1"/>
  <c r="J445" i="542" s="1"/>
  <c r="H445" i="542"/>
  <c r="V444" i="542"/>
  <c r="W444" i="542" s="1"/>
  <c r="N444" i="542"/>
  <c r="K444" i="542" a="1"/>
  <c r="K444" i="542" s="1"/>
  <c r="M444" i="542" s="1"/>
  <c r="J444" i="542" a="1"/>
  <c r="J444" i="542" s="1"/>
  <c r="H444" i="542"/>
  <c r="V443" i="542"/>
  <c r="W443" i="542" s="1"/>
  <c r="N443" i="542"/>
  <c r="K443" i="542"/>
  <c r="M443" i="542" s="1"/>
  <c r="K443" i="542" a="1"/>
  <c r="J443" i="542"/>
  <c r="J443" i="542" a="1"/>
  <c r="H443" i="542"/>
  <c r="V442" i="542"/>
  <c r="W442" i="542" s="1"/>
  <c r="N442" i="542"/>
  <c r="K442" i="542" a="1"/>
  <c r="K442" i="542" s="1"/>
  <c r="M442" i="542" s="1"/>
  <c r="J442" i="542" a="1"/>
  <c r="J442" i="542" s="1"/>
  <c r="H442" i="542"/>
  <c r="V441" i="542"/>
  <c r="W441" i="542" s="1"/>
  <c r="N441" i="542"/>
  <c r="K441" i="542" a="1"/>
  <c r="K441" i="542" s="1"/>
  <c r="M441" i="542" s="1"/>
  <c r="J441" i="542" a="1"/>
  <c r="J441" i="542" s="1"/>
  <c r="H441" i="542"/>
  <c r="V440" i="542"/>
  <c r="W440" i="542" s="1"/>
  <c r="N440" i="542"/>
  <c r="K440" i="542" a="1"/>
  <c r="K440" i="542" s="1"/>
  <c r="M440" i="542" s="1"/>
  <c r="J440" i="542" a="1"/>
  <c r="J440" i="542" s="1"/>
  <c r="H440" i="542"/>
  <c r="V439" i="542"/>
  <c r="W439" i="542" s="1"/>
  <c r="N439" i="542"/>
  <c r="K439" i="542"/>
  <c r="M439" i="542" s="1"/>
  <c r="K439" i="542" a="1"/>
  <c r="J439" i="542"/>
  <c r="J439" i="542" a="1"/>
  <c r="H439" i="542"/>
  <c r="V438" i="542"/>
  <c r="W438" i="542" s="1"/>
  <c r="N438" i="542"/>
  <c r="K438" i="542" a="1"/>
  <c r="K438" i="542" s="1"/>
  <c r="M438" i="542" s="1"/>
  <c r="J438" i="542" a="1"/>
  <c r="J438" i="542" s="1"/>
  <c r="H438" i="542"/>
  <c r="W437" i="542"/>
  <c r="V437" i="542"/>
  <c r="N437" i="542"/>
  <c r="K437" i="542" a="1"/>
  <c r="K437" i="542" s="1"/>
  <c r="M437" i="542" s="1"/>
  <c r="J437" i="542" a="1"/>
  <c r="J437" i="542" s="1"/>
  <c r="H437" i="542"/>
  <c r="N436" i="542"/>
  <c r="K436" i="542" a="1"/>
  <c r="K436" i="542" s="1"/>
  <c r="M436" i="542" s="1"/>
  <c r="H436" i="542"/>
  <c r="V435" i="542"/>
  <c r="W435" i="542" s="1"/>
  <c r="N435" i="542"/>
  <c r="K435" i="542"/>
  <c r="M435" i="542" s="1"/>
  <c r="K435" i="542" a="1"/>
  <c r="J435" i="542"/>
  <c r="J435" i="542" a="1"/>
  <c r="H435" i="542"/>
  <c r="V434" i="542"/>
  <c r="W434" i="542" s="1"/>
  <c r="N434" i="542"/>
  <c r="K434" i="542" a="1"/>
  <c r="K434" i="542" s="1"/>
  <c r="M434" i="542" s="1"/>
  <c r="J434" i="542" a="1"/>
  <c r="J434" i="542" s="1"/>
  <c r="H434" i="542"/>
  <c r="V433" i="542"/>
  <c r="W433" i="542" s="1"/>
  <c r="N433" i="542"/>
  <c r="K433" i="542" a="1"/>
  <c r="K433" i="542" s="1"/>
  <c r="M433" i="542" s="1"/>
  <c r="J433" i="542" a="1"/>
  <c r="J433" i="542" s="1"/>
  <c r="H433" i="542"/>
  <c r="V432" i="542"/>
  <c r="W432" i="542" s="1"/>
  <c r="N432" i="542"/>
  <c r="K432" i="542" a="1"/>
  <c r="K432" i="542" s="1"/>
  <c r="M432" i="542" s="1"/>
  <c r="J432" i="542" a="1"/>
  <c r="J432" i="542" s="1"/>
  <c r="H432" i="542"/>
  <c r="V431" i="542"/>
  <c r="W431" i="542" s="1"/>
  <c r="N431" i="542"/>
  <c r="K431" i="542"/>
  <c r="M431" i="542" s="1"/>
  <c r="K431" i="542" a="1"/>
  <c r="J431" i="542"/>
  <c r="J431" i="542" a="1"/>
  <c r="H431" i="542"/>
  <c r="V430" i="542"/>
  <c r="W430" i="542" s="1"/>
  <c r="N430" i="542"/>
  <c r="K430" i="542" a="1"/>
  <c r="K430" i="542" s="1"/>
  <c r="M430" i="542" s="1"/>
  <c r="J430" i="542" a="1"/>
  <c r="J430" i="542" s="1"/>
  <c r="H430" i="542"/>
  <c r="V429" i="542"/>
  <c r="W429" i="542" s="1"/>
  <c r="N429" i="542"/>
  <c r="N463" i="542" s="1"/>
  <c r="K429" i="542" a="1"/>
  <c r="K429" i="542" s="1"/>
  <c r="M429" i="542" s="1"/>
  <c r="J429" i="542" a="1"/>
  <c r="J429" i="542" s="1"/>
  <c r="H429" i="542"/>
  <c r="AA428" i="542"/>
  <c r="Z428" i="542"/>
  <c r="Y428" i="542"/>
  <c r="X428" i="542"/>
  <c r="U428" i="542"/>
  <c r="T428" i="542"/>
  <c r="S428" i="542"/>
  <c r="R428" i="542"/>
  <c r="Q428" i="542"/>
  <c r="P428" i="542"/>
  <c r="O428" i="542"/>
  <c r="R510" i="542" s="1"/>
  <c r="I428" i="542"/>
  <c r="G428" i="542"/>
  <c r="J428" i="542" s="1" a="1"/>
  <c r="J428" i="542" s="1"/>
  <c r="K427" i="542" a="1"/>
  <c r="K427" i="542" s="1"/>
  <c r="M427" i="542" s="1"/>
  <c r="H427" i="542"/>
  <c r="K426" i="542" a="1"/>
  <c r="K426" i="542" s="1"/>
  <c r="M426" i="542" s="1"/>
  <c r="H426" i="542"/>
  <c r="K425" i="542" a="1"/>
  <c r="K425" i="542" s="1"/>
  <c r="M425" i="542" s="1"/>
  <c r="H425" i="542"/>
  <c r="K424" i="542" a="1"/>
  <c r="K424" i="542" s="1"/>
  <c r="M424" i="542" s="1"/>
  <c r="H424" i="542"/>
  <c r="K423" i="542" a="1"/>
  <c r="K423" i="542" s="1"/>
  <c r="M423" i="542" s="1"/>
  <c r="H423" i="542"/>
  <c r="K422" i="542" a="1"/>
  <c r="K422" i="542" s="1"/>
  <c r="M422" i="542" s="1"/>
  <c r="H422" i="542"/>
  <c r="K421" i="542" a="1"/>
  <c r="K421" i="542" s="1"/>
  <c r="M421" i="542" s="1"/>
  <c r="H421" i="542"/>
  <c r="K420" i="542" a="1"/>
  <c r="K420" i="542" s="1"/>
  <c r="M420" i="542" s="1"/>
  <c r="H420" i="542"/>
  <c r="K419" i="542" a="1"/>
  <c r="K419" i="542" s="1"/>
  <c r="M419" i="542" s="1"/>
  <c r="H419" i="542"/>
  <c r="K418" i="542" a="1"/>
  <c r="K418" i="542" s="1"/>
  <c r="M418" i="542" s="1"/>
  <c r="H418" i="542"/>
  <c r="W417" i="542"/>
  <c r="V417" i="542"/>
  <c r="N417" i="542"/>
  <c r="K417" i="542" a="1"/>
  <c r="K417" i="542" s="1"/>
  <c r="M417" i="542" s="1"/>
  <c r="J417" i="542" a="1"/>
  <c r="J417" i="542" s="1"/>
  <c r="H417" i="542"/>
  <c r="V416" i="542"/>
  <c r="W416" i="542" s="1"/>
  <c r="N416" i="542"/>
  <c r="K416" i="542" a="1"/>
  <c r="K416" i="542" s="1"/>
  <c r="M416" i="542" s="1"/>
  <c r="J416" i="542" a="1"/>
  <c r="J416" i="542" s="1"/>
  <c r="H416" i="542"/>
  <c r="V415" i="542"/>
  <c r="W415" i="542" s="1"/>
  <c r="N415" i="542"/>
  <c r="K415" i="542"/>
  <c r="M415" i="542" s="1"/>
  <c r="K415" i="542" a="1"/>
  <c r="J415" i="542"/>
  <c r="J415" i="542" a="1"/>
  <c r="H415" i="542"/>
  <c r="V414" i="542"/>
  <c r="W414" i="542" s="1"/>
  <c r="N414" i="542"/>
  <c r="K414" i="542" a="1"/>
  <c r="K414" i="542" s="1"/>
  <c r="M414" i="542" s="1"/>
  <c r="J414" i="542" a="1"/>
  <c r="J414" i="542" s="1"/>
  <c r="H414" i="542"/>
  <c r="H413" i="542"/>
  <c r="V412" i="542"/>
  <c r="W412" i="542" s="1"/>
  <c r="N412" i="542"/>
  <c r="K412" i="542" a="1"/>
  <c r="K412" i="542" s="1"/>
  <c r="M412" i="542" s="1"/>
  <c r="J412" i="542" a="1"/>
  <c r="J412" i="542" s="1"/>
  <c r="H412" i="542"/>
  <c r="V411" i="542"/>
  <c r="W411" i="542" s="1"/>
  <c r="N411" i="542"/>
  <c r="K411" i="542" a="1"/>
  <c r="K411" i="542" s="1"/>
  <c r="M411" i="542" s="1"/>
  <c r="J411" i="542" a="1"/>
  <c r="J411" i="542" s="1"/>
  <c r="H411" i="542"/>
  <c r="H410" i="542"/>
  <c r="K409" i="542" a="1"/>
  <c r="K409" i="542" s="1"/>
  <c r="H409" i="542"/>
  <c r="V408" i="542"/>
  <c r="W408" i="542" s="1"/>
  <c r="N408" i="542"/>
  <c r="K408" i="542" a="1"/>
  <c r="K408" i="542" s="1"/>
  <c r="M408" i="542" s="1"/>
  <c r="J408" i="542" a="1"/>
  <c r="J408" i="542" s="1"/>
  <c r="H408" i="542"/>
  <c r="V407" i="542"/>
  <c r="W407" i="542" s="1"/>
  <c r="N407" i="542"/>
  <c r="K407" i="542"/>
  <c r="M407" i="542" s="1"/>
  <c r="K407" i="542" a="1"/>
  <c r="J407" i="542"/>
  <c r="J407" i="542" a="1"/>
  <c r="H407" i="542"/>
  <c r="V406" i="542"/>
  <c r="W406" i="542" s="1"/>
  <c r="N406" i="542"/>
  <c r="K406" i="542" a="1"/>
  <c r="K406" i="542" s="1"/>
  <c r="M406" i="542" s="1"/>
  <c r="J406" i="542" a="1"/>
  <c r="J406" i="542" s="1"/>
  <c r="H406" i="542"/>
  <c r="V405" i="542"/>
  <c r="W405" i="542" s="1"/>
  <c r="N405" i="542"/>
  <c r="K405" i="542" a="1"/>
  <c r="K405" i="542" s="1"/>
  <c r="M405" i="542" s="1"/>
  <c r="J405" i="542" a="1"/>
  <c r="J405" i="542" s="1"/>
  <c r="H405" i="542"/>
  <c r="V404" i="542"/>
  <c r="W404" i="542" s="1"/>
  <c r="N404" i="542"/>
  <c r="K404" i="542" a="1"/>
  <c r="K404" i="542" s="1"/>
  <c r="M404" i="542" s="1"/>
  <c r="J404" i="542" a="1"/>
  <c r="J404" i="542" s="1"/>
  <c r="H404" i="542"/>
  <c r="V403" i="542"/>
  <c r="W403" i="542" s="1"/>
  <c r="N403" i="542"/>
  <c r="K403" i="542"/>
  <c r="M403" i="542" s="1"/>
  <c r="K403" i="542" a="1"/>
  <c r="J403" i="542"/>
  <c r="J403" i="542" a="1"/>
  <c r="H403" i="542"/>
  <c r="V402" i="542"/>
  <c r="W402" i="542" s="1"/>
  <c r="N402" i="542"/>
  <c r="K402" i="542" a="1"/>
  <c r="K402" i="542" s="1"/>
  <c r="M402" i="542" s="1"/>
  <c r="J402" i="542" a="1"/>
  <c r="J402" i="542" s="1"/>
  <c r="H402" i="542"/>
  <c r="W401" i="542"/>
  <c r="V401" i="542"/>
  <c r="N401" i="542"/>
  <c r="K401" i="542" a="1"/>
  <c r="K401" i="542" s="1"/>
  <c r="M401" i="542" s="1"/>
  <c r="J401" i="542" a="1"/>
  <c r="J401" i="542" s="1"/>
  <c r="H401" i="542"/>
  <c r="V400" i="542"/>
  <c r="W400" i="542" s="1"/>
  <c r="N400" i="542"/>
  <c r="K400" i="542" a="1"/>
  <c r="K400" i="542" s="1"/>
  <c r="M400" i="542" s="1"/>
  <c r="J400" i="542" a="1"/>
  <c r="J400" i="542" s="1"/>
  <c r="H400" i="542"/>
  <c r="V399" i="542"/>
  <c r="W399" i="542" s="1"/>
  <c r="N399" i="542"/>
  <c r="K399" i="542"/>
  <c r="M399" i="542" s="1"/>
  <c r="K399" i="542" a="1"/>
  <c r="J399" i="542"/>
  <c r="J399" i="542" a="1"/>
  <c r="H399" i="542"/>
  <c r="K398" i="542" a="1"/>
  <c r="K398" i="542" s="1"/>
  <c r="M398" i="542" s="1"/>
  <c r="H398" i="542"/>
  <c r="K397" i="542"/>
  <c r="M397" i="542" s="1"/>
  <c r="K397" i="542" a="1"/>
  <c r="H397" i="542"/>
  <c r="K396" i="542" a="1"/>
  <c r="K396" i="542" s="1"/>
  <c r="M396" i="542" s="1"/>
  <c r="H396" i="542"/>
  <c r="K395" i="542" a="1"/>
  <c r="K395" i="542" s="1"/>
  <c r="M395" i="542" s="1"/>
  <c r="H395" i="542"/>
  <c r="N394" i="542"/>
  <c r="K394" i="542"/>
  <c r="M394" i="542" s="1"/>
  <c r="K394" i="542" a="1"/>
  <c r="H394" i="542"/>
  <c r="N393" i="542"/>
  <c r="K393" i="542" a="1"/>
  <c r="K393" i="542" s="1"/>
  <c r="M393" i="542" s="1"/>
  <c r="H393" i="542"/>
  <c r="N392" i="542"/>
  <c r="K392" i="542" a="1"/>
  <c r="K392" i="542" s="1"/>
  <c r="M392" i="542" s="1"/>
  <c r="H392" i="542"/>
  <c r="N391" i="542"/>
  <c r="K391" i="542" a="1"/>
  <c r="K391" i="542" s="1"/>
  <c r="M391" i="542" s="1"/>
  <c r="H391" i="542"/>
  <c r="W390" i="542"/>
  <c r="V390" i="542"/>
  <c r="N390" i="542"/>
  <c r="K390" i="542" a="1"/>
  <c r="K390" i="542" s="1"/>
  <c r="M390" i="542" s="1"/>
  <c r="J390" i="542" a="1"/>
  <c r="J390" i="542" s="1"/>
  <c r="H390" i="542"/>
  <c r="V389" i="542"/>
  <c r="W389" i="542" s="1"/>
  <c r="N389" i="542"/>
  <c r="K389" i="542" a="1"/>
  <c r="K389" i="542" s="1"/>
  <c r="M389" i="542" s="1"/>
  <c r="J389" i="542" a="1"/>
  <c r="J389" i="542" s="1"/>
  <c r="H389" i="542"/>
  <c r="V388" i="542"/>
  <c r="W388" i="542" s="1"/>
  <c r="N388" i="542"/>
  <c r="K388" i="542"/>
  <c r="M388" i="542" s="1"/>
  <c r="K388" i="542" a="1"/>
  <c r="J388" i="542"/>
  <c r="J388" i="542" a="1"/>
  <c r="H388" i="542"/>
  <c r="V387" i="542"/>
  <c r="W387" i="542" s="1"/>
  <c r="N387" i="542"/>
  <c r="K387" i="542" a="1"/>
  <c r="K387" i="542" s="1"/>
  <c r="M387" i="542" s="1"/>
  <c r="J387" i="542" a="1"/>
  <c r="J387" i="542" s="1"/>
  <c r="H387" i="542"/>
  <c r="V386" i="542"/>
  <c r="W386" i="542" s="1"/>
  <c r="N386" i="542"/>
  <c r="K386" i="542" a="1"/>
  <c r="K386" i="542" s="1"/>
  <c r="M386" i="542" s="1"/>
  <c r="J386" i="542" a="1"/>
  <c r="J386" i="542" s="1"/>
  <c r="H386" i="542"/>
  <c r="V385" i="542"/>
  <c r="W385" i="542" s="1"/>
  <c r="N385" i="542"/>
  <c r="K385" i="542" a="1"/>
  <c r="K385" i="542" s="1"/>
  <c r="M385" i="542" s="1"/>
  <c r="J385" i="542" a="1"/>
  <c r="J385" i="542" s="1"/>
  <c r="H385" i="542"/>
  <c r="V384" i="542"/>
  <c r="W384" i="542" s="1"/>
  <c r="N384" i="542"/>
  <c r="K384" i="542"/>
  <c r="M384" i="542" s="1"/>
  <c r="K384" i="542" a="1"/>
  <c r="J384" i="542"/>
  <c r="J384" i="542" a="1"/>
  <c r="H384" i="542"/>
  <c r="V383" i="542"/>
  <c r="W383" i="542" s="1"/>
  <c r="N383" i="542"/>
  <c r="K383" i="542" a="1"/>
  <c r="K383" i="542" s="1"/>
  <c r="M383" i="542" s="1"/>
  <c r="J383" i="542" a="1"/>
  <c r="J383" i="542" s="1"/>
  <c r="H383" i="542"/>
  <c r="W382" i="542"/>
  <c r="V382" i="542"/>
  <c r="N382" i="542"/>
  <c r="K382" i="542" a="1"/>
  <c r="K382" i="542" s="1"/>
  <c r="M382" i="542" s="1"/>
  <c r="J382" i="542" a="1"/>
  <c r="J382" i="542" s="1"/>
  <c r="H382" i="542"/>
  <c r="V381" i="542"/>
  <c r="W381" i="542" s="1"/>
  <c r="N381" i="542"/>
  <c r="K381" i="542" a="1"/>
  <c r="K381" i="542" s="1"/>
  <c r="M381" i="542" s="1"/>
  <c r="J381" i="542" a="1"/>
  <c r="J381" i="542" s="1"/>
  <c r="H381" i="542"/>
  <c r="V380" i="542"/>
  <c r="W380" i="542" s="1"/>
  <c r="N380" i="542"/>
  <c r="K380" i="542"/>
  <c r="M380" i="542" s="1"/>
  <c r="K380" i="542" a="1"/>
  <c r="J380" i="542"/>
  <c r="J380" i="542" a="1"/>
  <c r="H380" i="542"/>
  <c r="V379" i="542"/>
  <c r="W379" i="542" s="1"/>
  <c r="N379" i="542"/>
  <c r="K379" i="542" a="1"/>
  <c r="K379" i="542" s="1"/>
  <c r="M379" i="542" s="1"/>
  <c r="J379" i="542" a="1"/>
  <c r="J379" i="542" s="1"/>
  <c r="H379" i="542"/>
  <c r="K378" i="542" a="1"/>
  <c r="K378" i="542" s="1"/>
  <c r="M378" i="542" s="1"/>
  <c r="H378" i="542"/>
  <c r="K377" i="542" a="1"/>
  <c r="K377" i="542" s="1"/>
  <c r="M377" i="542" s="1"/>
  <c r="H377" i="542"/>
  <c r="K376" i="542" a="1"/>
  <c r="K376" i="542" s="1"/>
  <c r="M376" i="542" s="1"/>
  <c r="H376" i="542"/>
  <c r="V375" i="542"/>
  <c r="W375" i="542" s="1"/>
  <c r="N375" i="542"/>
  <c r="K375" i="542" a="1"/>
  <c r="K375" i="542" s="1"/>
  <c r="M375" i="542" s="1"/>
  <c r="J375" i="542" a="1"/>
  <c r="J375" i="542" s="1"/>
  <c r="H375" i="542"/>
  <c r="V374" i="542"/>
  <c r="W374" i="542" s="1"/>
  <c r="N374" i="542"/>
  <c r="K374" i="542" a="1"/>
  <c r="K374" i="542" s="1"/>
  <c r="M374" i="542" s="1"/>
  <c r="J374" i="542" a="1"/>
  <c r="J374" i="542" s="1"/>
  <c r="H374" i="542"/>
  <c r="V373" i="542"/>
  <c r="W373" i="542" s="1"/>
  <c r="N373" i="542"/>
  <c r="K373" i="542"/>
  <c r="M373" i="542" s="1"/>
  <c r="K373" i="542" a="1"/>
  <c r="J373" i="542"/>
  <c r="J373" i="542" a="1"/>
  <c r="H373" i="542"/>
  <c r="K372" i="542" a="1"/>
  <c r="K372" i="542" s="1"/>
  <c r="H372" i="542"/>
  <c r="V371" i="542"/>
  <c r="V428" i="542" s="1"/>
  <c r="W428" i="542" s="1"/>
  <c r="N371" i="542"/>
  <c r="K371" i="542"/>
  <c r="K371" i="542" a="1"/>
  <c r="J371" i="542"/>
  <c r="J371" i="542" a="1"/>
  <c r="H371" i="542"/>
  <c r="H428" i="542" s="1"/>
  <c r="AA370" i="542"/>
  <c r="AA507" i="542" s="1"/>
  <c r="Z370" i="542"/>
  <c r="Z507" i="542" s="1"/>
  <c r="Y370" i="542"/>
  <c r="Y507" i="542" s="1"/>
  <c r="X370" i="542"/>
  <c r="X507" i="542" s="1"/>
  <c r="U370" i="542"/>
  <c r="U507" i="542" s="1"/>
  <c r="T370" i="542"/>
  <c r="T507" i="542" s="1"/>
  <c r="S370" i="542"/>
  <c r="S507" i="542" s="1"/>
  <c r="R370" i="542"/>
  <c r="R507" i="542" s="1"/>
  <c r="Q370" i="542"/>
  <c r="Q507" i="542" s="1"/>
  <c r="P370" i="542"/>
  <c r="P507" i="542" s="1"/>
  <c r="O370" i="542"/>
  <c r="I370" i="542"/>
  <c r="I507" i="542" s="1"/>
  <c r="B515" i="542" s="1"/>
  <c r="G370" i="542"/>
  <c r="G507" i="542" s="1"/>
  <c r="V369" i="542"/>
  <c r="W369" i="542" s="1"/>
  <c r="N369" i="542"/>
  <c r="K369" i="542" a="1"/>
  <c r="K369" i="542" s="1"/>
  <c r="M369" i="542" s="1"/>
  <c r="J369" i="542" a="1"/>
  <c r="J369" i="542" s="1"/>
  <c r="H369" i="542"/>
  <c r="V368" i="542"/>
  <c r="W368" i="542" s="1"/>
  <c r="N368" i="542"/>
  <c r="K368" i="542"/>
  <c r="M368" i="542" s="1"/>
  <c r="K368" i="542" a="1"/>
  <c r="J368" i="542"/>
  <c r="J368" i="542" a="1"/>
  <c r="H368" i="542"/>
  <c r="K367" i="542" a="1"/>
  <c r="K367" i="542" s="1"/>
  <c r="M367" i="542" s="1"/>
  <c r="H367" i="542"/>
  <c r="K366" i="542" a="1"/>
  <c r="K366" i="542" s="1"/>
  <c r="M366" i="542" s="1"/>
  <c r="H366" i="542"/>
  <c r="K365" i="542" a="1"/>
  <c r="K365" i="542" s="1"/>
  <c r="M365" i="542" s="1"/>
  <c r="H365" i="542"/>
  <c r="K364" i="542" a="1"/>
  <c r="K364" i="542" s="1"/>
  <c r="M364" i="542" s="1"/>
  <c r="H364" i="542"/>
  <c r="W363" i="542"/>
  <c r="V363" i="542"/>
  <c r="N363" i="542"/>
  <c r="K363" i="542" a="1"/>
  <c r="K363" i="542" s="1"/>
  <c r="M363" i="542" s="1"/>
  <c r="J363" i="542" a="1"/>
  <c r="J363" i="542" s="1"/>
  <c r="H363" i="542"/>
  <c r="V362" i="542"/>
  <c r="W362" i="542" s="1"/>
  <c r="N362" i="542"/>
  <c r="K362" i="542" a="1"/>
  <c r="K362" i="542" s="1"/>
  <c r="M362" i="542" s="1"/>
  <c r="J362" i="542" a="1"/>
  <c r="J362" i="542" s="1"/>
  <c r="H362" i="542"/>
  <c r="V361" i="542"/>
  <c r="W361" i="542" s="1"/>
  <c r="N361" i="542"/>
  <c r="K361" i="542"/>
  <c r="M361" i="542" s="1"/>
  <c r="K361" i="542" a="1"/>
  <c r="J361" i="542"/>
  <c r="J361" i="542" a="1"/>
  <c r="H361" i="542"/>
  <c r="H360" i="542"/>
  <c r="H359" i="542"/>
  <c r="V358" i="542"/>
  <c r="W358" i="542" s="1"/>
  <c r="N358" i="542"/>
  <c r="K358" i="542" a="1"/>
  <c r="K358" i="542" s="1"/>
  <c r="M358" i="542" s="1"/>
  <c r="J358" i="542" a="1"/>
  <c r="J358" i="542" s="1"/>
  <c r="H358" i="542"/>
  <c r="W357" i="542"/>
  <c r="V357" i="542"/>
  <c r="N357" i="542"/>
  <c r="K357" i="542" a="1"/>
  <c r="K357" i="542" s="1"/>
  <c r="M357" i="542" s="1"/>
  <c r="J357" i="542" a="1"/>
  <c r="J357" i="542" s="1"/>
  <c r="H357" i="542"/>
  <c r="K356" i="542"/>
  <c r="M356" i="542" s="1"/>
  <c r="K356" i="542" a="1"/>
  <c r="H356" i="542"/>
  <c r="K355" i="542" a="1"/>
  <c r="K355" i="542" s="1"/>
  <c r="M355" i="542" s="1"/>
  <c r="H355" i="542"/>
  <c r="V354" i="542"/>
  <c r="W354" i="542" s="1"/>
  <c r="N354" i="542"/>
  <c r="K354" i="542" a="1"/>
  <c r="K354" i="542" s="1"/>
  <c r="M354" i="542" s="1"/>
  <c r="J354" i="542" a="1"/>
  <c r="J354" i="542" s="1"/>
  <c r="H354" i="542"/>
  <c r="V353" i="542"/>
  <c r="W353" i="542" s="1"/>
  <c r="N353" i="542"/>
  <c r="K353" i="542" a="1"/>
  <c r="K353" i="542" s="1"/>
  <c r="M353" i="542" s="1"/>
  <c r="J353" i="542" a="1"/>
  <c r="J353" i="542" s="1"/>
  <c r="H353" i="542"/>
  <c r="V352" i="542"/>
  <c r="W352" i="542" s="1"/>
  <c r="N352" i="542"/>
  <c r="K352" i="542" a="1"/>
  <c r="K352" i="542" s="1"/>
  <c r="M352" i="542" s="1"/>
  <c r="J352" i="542" a="1"/>
  <c r="J352" i="542" s="1"/>
  <c r="H352" i="542"/>
  <c r="V351" i="542"/>
  <c r="W351" i="542" s="1"/>
  <c r="N351" i="542"/>
  <c r="K351" i="542"/>
  <c r="M351" i="542" s="1"/>
  <c r="K351" i="542" a="1"/>
  <c r="J351" i="542"/>
  <c r="J351" i="542" a="1"/>
  <c r="H351" i="542"/>
  <c r="V350" i="542"/>
  <c r="W350" i="542" s="1"/>
  <c r="N350" i="542"/>
  <c r="K350" i="542" a="1"/>
  <c r="K350" i="542" s="1"/>
  <c r="M350" i="542" s="1"/>
  <c r="J350" i="542" a="1"/>
  <c r="J350" i="542" s="1"/>
  <c r="H350" i="542"/>
  <c r="W349" i="542"/>
  <c r="V349" i="542"/>
  <c r="N349" i="542"/>
  <c r="N370" i="542" s="1"/>
  <c r="K349" i="542" a="1"/>
  <c r="K349" i="542" s="1"/>
  <c r="M349" i="542" s="1"/>
  <c r="J349" i="542" a="1"/>
  <c r="J349" i="542" s="1"/>
  <c r="H349" i="542"/>
  <c r="X343" i="542"/>
  <c r="X342" i="542"/>
  <c r="X341" i="542"/>
  <c r="G341" i="542"/>
  <c r="C341" i="542"/>
  <c r="X340" i="542"/>
  <c r="I340" i="542"/>
  <c r="E340" i="542"/>
  <c r="K340" i="542" s="1"/>
  <c r="M340" i="542" s="1"/>
  <c r="I339" i="542"/>
  <c r="E339" i="542"/>
  <c r="K339" i="542" s="1"/>
  <c r="M339" i="542" s="1"/>
  <c r="I338" i="542"/>
  <c r="E338" i="542"/>
  <c r="K338" i="542" s="1"/>
  <c r="M338" i="542" s="1"/>
  <c r="X337" i="542"/>
  <c r="I337" i="542"/>
  <c r="I341" i="542" s="1"/>
  <c r="E337" i="542"/>
  <c r="E341" i="542" s="1"/>
  <c r="AA334" i="542"/>
  <c r="Z334" i="542"/>
  <c r="Y334" i="542"/>
  <c r="X334" i="542"/>
  <c r="U334" i="542"/>
  <c r="T334" i="542"/>
  <c r="S334" i="542"/>
  <c r="R334" i="542"/>
  <c r="Q334" i="542"/>
  <c r="P334" i="542"/>
  <c r="O334" i="542"/>
  <c r="I334" i="542"/>
  <c r="G334" i="542"/>
  <c r="K333" i="542" a="1"/>
  <c r="K333" i="542" s="1"/>
  <c r="H333" i="542"/>
  <c r="K332" i="542"/>
  <c r="K332" i="542" a="1"/>
  <c r="H332" i="542"/>
  <c r="K331" i="542" a="1"/>
  <c r="K331" i="542" s="1"/>
  <c r="H331" i="542"/>
  <c r="V330" i="542"/>
  <c r="W330" i="542" s="1"/>
  <c r="N330" i="542"/>
  <c r="K330" i="542" a="1"/>
  <c r="K330" i="542" s="1"/>
  <c r="D330" i="542"/>
  <c r="H330" i="542" s="1"/>
  <c r="H329" i="542"/>
  <c r="K328" i="542" a="1"/>
  <c r="K328" i="542" s="1"/>
  <c r="H328" i="542"/>
  <c r="H327" i="542"/>
  <c r="V326" i="542"/>
  <c r="W326" i="542" s="1"/>
  <c r="N326" i="542"/>
  <c r="K326" i="542" a="1"/>
  <c r="K326" i="542" s="1"/>
  <c r="M326" i="542" s="1"/>
  <c r="J326" i="542" a="1"/>
  <c r="J326" i="542" s="1"/>
  <c r="H326" i="542"/>
  <c r="V325" i="542"/>
  <c r="W325" i="542" s="1"/>
  <c r="N325" i="542"/>
  <c r="K325" i="542" a="1"/>
  <c r="K325" i="542" s="1"/>
  <c r="M325" i="542" s="1"/>
  <c r="J325" i="542" a="1"/>
  <c r="J325" i="542" s="1"/>
  <c r="H325" i="542"/>
  <c r="H324" i="542"/>
  <c r="V323" i="542"/>
  <c r="W323" i="542" s="1"/>
  <c r="N323" i="542"/>
  <c r="K323" i="542" a="1"/>
  <c r="K323" i="542" s="1"/>
  <c r="M323" i="542" s="1"/>
  <c r="J323" i="542" a="1"/>
  <c r="J323" i="542" s="1"/>
  <c r="H323" i="542"/>
  <c r="V322" i="542"/>
  <c r="W322" i="542" s="1"/>
  <c r="N322" i="542"/>
  <c r="K322" i="542" a="1"/>
  <c r="K322" i="542" s="1"/>
  <c r="M322" i="542" s="1"/>
  <c r="J322" i="542" a="1"/>
  <c r="J322" i="542" s="1"/>
  <c r="H322" i="542"/>
  <c r="V321" i="542"/>
  <c r="W321" i="542" s="1"/>
  <c r="N321" i="542"/>
  <c r="K321" i="542" a="1"/>
  <c r="K321" i="542" s="1"/>
  <c r="M321" i="542" s="1"/>
  <c r="J321" i="542" a="1"/>
  <c r="J321" i="542" s="1"/>
  <c r="H321" i="542"/>
  <c r="V320" i="542"/>
  <c r="N320" i="542"/>
  <c r="N334" i="542" s="1"/>
  <c r="K320" i="542" a="1"/>
  <c r="K320" i="542" s="1"/>
  <c r="J320" i="542" a="1"/>
  <c r="J320" i="542" s="1"/>
  <c r="H320" i="542"/>
  <c r="AA319" i="542"/>
  <c r="Z319" i="542"/>
  <c r="Y319" i="542"/>
  <c r="X319" i="542"/>
  <c r="U319" i="542"/>
  <c r="T319" i="542"/>
  <c r="S319" i="542"/>
  <c r="Q319" i="542"/>
  <c r="P319" i="542"/>
  <c r="O319" i="542"/>
  <c r="R341" i="542" s="1"/>
  <c r="I319" i="542"/>
  <c r="G319" i="542"/>
  <c r="V318" i="542"/>
  <c r="W318" i="542" s="1"/>
  <c r="N318" i="542"/>
  <c r="K318" i="542" a="1"/>
  <c r="K318" i="542" s="1"/>
  <c r="M318" i="542" s="1"/>
  <c r="J318" i="542" a="1"/>
  <c r="J318" i="542" s="1"/>
  <c r="H318" i="542"/>
  <c r="H316" i="542"/>
  <c r="H315" i="542"/>
  <c r="H314" i="542"/>
  <c r="V313" i="542"/>
  <c r="W313" i="542" s="1"/>
  <c r="N313" i="542"/>
  <c r="K313" i="542" a="1"/>
  <c r="K313" i="542" s="1"/>
  <c r="M313" i="542" s="1"/>
  <c r="J313" i="542" a="1"/>
  <c r="J313" i="542" s="1"/>
  <c r="H313" i="542"/>
  <c r="V312" i="542"/>
  <c r="W312" i="542" s="1"/>
  <c r="N312" i="542"/>
  <c r="K312" i="542"/>
  <c r="M312" i="542" s="1"/>
  <c r="K312" i="542" a="1"/>
  <c r="J312" i="542"/>
  <c r="J312" i="542" a="1"/>
  <c r="H312" i="542"/>
  <c r="V311" i="542"/>
  <c r="W311" i="542" s="1"/>
  <c r="N311" i="542"/>
  <c r="K311" i="542" a="1"/>
  <c r="K311" i="542" s="1"/>
  <c r="M311" i="542" s="1"/>
  <c r="J311" i="542" a="1"/>
  <c r="J311" i="542" s="1"/>
  <c r="H311" i="542"/>
  <c r="V310" i="542"/>
  <c r="W310" i="542" s="1"/>
  <c r="N310" i="542"/>
  <c r="K310" i="542" a="1"/>
  <c r="K310" i="542" s="1"/>
  <c r="M310" i="542" s="1"/>
  <c r="J310" i="542" a="1"/>
  <c r="J310" i="542" s="1"/>
  <c r="H310" i="542"/>
  <c r="V309" i="542"/>
  <c r="W309" i="542" s="1"/>
  <c r="N309" i="542"/>
  <c r="N319" i="542" s="1"/>
  <c r="K309" i="542" a="1"/>
  <c r="K309" i="542" s="1"/>
  <c r="J309" i="542" a="1"/>
  <c r="J309" i="542" s="1"/>
  <c r="H309" i="542"/>
  <c r="AA308" i="542"/>
  <c r="Z308" i="542"/>
  <c r="Y308" i="542"/>
  <c r="X308" i="542"/>
  <c r="U308" i="542"/>
  <c r="T308" i="542"/>
  <c r="S308" i="542"/>
  <c r="Q308" i="542"/>
  <c r="P308" i="542"/>
  <c r="O308" i="542"/>
  <c r="I308" i="542"/>
  <c r="G308" i="542"/>
  <c r="V307" i="542"/>
  <c r="W307" i="542" s="1"/>
  <c r="N307" i="542"/>
  <c r="K307" i="542"/>
  <c r="M307" i="542" s="1"/>
  <c r="K307" i="542" a="1"/>
  <c r="J307" i="542"/>
  <c r="J307" i="542" a="1"/>
  <c r="H307" i="542"/>
  <c r="V306" i="542"/>
  <c r="W306" i="542" s="1"/>
  <c r="N306" i="542"/>
  <c r="K306" i="542" a="1"/>
  <c r="K306" i="542" s="1"/>
  <c r="M306" i="542" s="1"/>
  <c r="J306" i="542" a="1"/>
  <c r="J306" i="542" s="1"/>
  <c r="H306" i="542"/>
  <c r="V305" i="542"/>
  <c r="W305" i="542" s="1"/>
  <c r="N305" i="542"/>
  <c r="K305" i="542" a="1"/>
  <c r="K305" i="542" s="1"/>
  <c r="M305" i="542" s="1"/>
  <c r="J305" i="542" a="1"/>
  <c r="J305" i="542" s="1"/>
  <c r="H305" i="542"/>
  <c r="V304" i="542"/>
  <c r="W304" i="542" s="1"/>
  <c r="N304" i="542"/>
  <c r="K304" i="542" a="1"/>
  <c r="K304" i="542" s="1"/>
  <c r="M304" i="542" s="1"/>
  <c r="J304" i="542" a="1"/>
  <c r="J304" i="542" s="1"/>
  <c r="H304" i="542"/>
  <c r="V303" i="542"/>
  <c r="W303" i="542" s="1"/>
  <c r="N303" i="542"/>
  <c r="K303" i="542"/>
  <c r="M303" i="542" s="1"/>
  <c r="K303" i="542" a="1"/>
  <c r="J303" i="542"/>
  <c r="J303" i="542" a="1"/>
  <c r="H303" i="542"/>
  <c r="V302" i="542"/>
  <c r="W302" i="542" s="1"/>
  <c r="N302" i="542"/>
  <c r="K302" i="542" a="1"/>
  <c r="K302" i="542" s="1"/>
  <c r="M302" i="542" s="1"/>
  <c r="J302" i="542" a="1"/>
  <c r="J302" i="542" s="1"/>
  <c r="H302" i="542"/>
  <c r="V301" i="542"/>
  <c r="W301" i="542" s="1"/>
  <c r="N301" i="542"/>
  <c r="K301" i="542" a="1"/>
  <c r="K301" i="542" s="1"/>
  <c r="M301" i="542" s="1"/>
  <c r="J301" i="542" a="1"/>
  <c r="J301" i="542" s="1"/>
  <c r="H301" i="542"/>
  <c r="V300" i="542"/>
  <c r="W300" i="542" s="1"/>
  <c r="N300" i="542"/>
  <c r="K300" i="542" a="1"/>
  <c r="K300" i="542" s="1"/>
  <c r="M300" i="542" s="1"/>
  <c r="J300" i="542" a="1"/>
  <c r="J300" i="542" s="1"/>
  <c r="H300" i="542"/>
  <c r="V299" i="542"/>
  <c r="W299" i="542" s="1"/>
  <c r="N299" i="542"/>
  <c r="K299" i="542"/>
  <c r="M299" i="542" s="1"/>
  <c r="K299" i="542" a="1"/>
  <c r="J299" i="542"/>
  <c r="J299" i="542" a="1"/>
  <c r="H299" i="542"/>
  <c r="V298" i="542"/>
  <c r="W298" i="542" s="1"/>
  <c r="N298" i="542"/>
  <c r="K298" i="542" a="1"/>
  <c r="K298" i="542" s="1"/>
  <c r="M298" i="542" s="1"/>
  <c r="J298" i="542" a="1"/>
  <c r="J298" i="542" s="1"/>
  <c r="H298" i="542"/>
  <c r="W297" i="542"/>
  <c r="V297" i="542"/>
  <c r="N297" i="542"/>
  <c r="K297" i="542" a="1"/>
  <c r="K297" i="542" s="1"/>
  <c r="M297" i="542" s="1"/>
  <c r="J297" i="542" a="1"/>
  <c r="J297" i="542" s="1"/>
  <c r="H297" i="542"/>
  <c r="V296" i="542"/>
  <c r="W296" i="542" s="1"/>
  <c r="N296" i="542"/>
  <c r="K296" i="542" a="1"/>
  <c r="K296" i="542" s="1"/>
  <c r="M296" i="542" s="1"/>
  <c r="J296" i="542" a="1"/>
  <c r="J296" i="542" s="1"/>
  <c r="H296" i="542"/>
  <c r="V295" i="542"/>
  <c r="W295" i="542" s="1"/>
  <c r="N295" i="542"/>
  <c r="K295" i="542"/>
  <c r="M295" i="542" s="1"/>
  <c r="K295" i="542" a="1"/>
  <c r="J295" i="542"/>
  <c r="J295" i="542" a="1"/>
  <c r="H295" i="542"/>
  <c r="V294" i="542"/>
  <c r="W294" i="542" s="1"/>
  <c r="N294" i="542"/>
  <c r="K294" i="542" a="1"/>
  <c r="K294" i="542" s="1"/>
  <c r="M294" i="542" s="1"/>
  <c r="J294" i="542" a="1"/>
  <c r="J294" i="542" s="1"/>
  <c r="H294" i="542"/>
  <c r="V293" i="542"/>
  <c r="W293" i="542" s="1"/>
  <c r="N293" i="542"/>
  <c r="N308" i="542" s="1"/>
  <c r="K293" i="542" a="1"/>
  <c r="K293" i="542" s="1"/>
  <c r="M293" i="542" s="1"/>
  <c r="J293" i="542" a="1"/>
  <c r="J293" i="542" s="1"/>
  <c r="H293" i="542"/>
  <c r="AA292" i="542"/>
  <c r="Z292" i="542"/>
  <c r="Y292" i="542"/>
  <c r="X292" i="542"/>
  <c r="U292" i="542"/>
  <c r="T292" i="542"/>
  <c r="S292" i="542"/>
  <c r="R292" i="542"/>
  <c r="Q292" i="542"/>
  <c r="P292" i="542"/>
  <c r="O292" i="542"/>
  <c r="I292" i="542"/>
  <c r="G292" i="542"/>
  <c r="V291" i="542"/>
  <c r="W291" i="542" s="1"/>
  <c r="N291" i="542"/>
  <c r="K291" i="542"/>
  <c r="M291" i="542" s="1"/>
  <c r="K291" i="542" a="1"/>
  <c r="J291" i="542"/>
  <c r="J291" i="542" a="1"/>
  <c r="H291" i="542"/>
  <c r="V290" i="542"/>
  <c r="W290" i="542" s="1"/>
  <c r="N290" i="542"/>
  <c r="K290" i="542" a="1"/>
  <c r="K290" i="542" s="1"/>
  <c r="M290" i="542" s="1"/>
  <c r="J290" i="542" a="1"/>
  <c r="J290" i="542" s="1"/>
  <c r="H290" i="542"/>
  <c r="V289" i="542"/>
  <c r="W289" i="542" s="1"/>
  <c r="N289" i="542"/>
  <c r="K289" i="542" a="1"/>
  <c r="K289" i="542" s="1"/>
  <c r="M289" i="542" s="1"/>
  <c r="J289" i="542" a="1"/>
  <c r="J289" i="542" s="1"/>
  <c r="H289" i="542"/>
  <c r="H288" i="542"/>
  <c r="H287" i="542"/>
  <c r="H286" i="542"/>
  <c r="V285" i="542"/>
  <c r="W285" i="542" s="1"/>
  <c r="N285" i="542"/>
  <c r="K285" i="542"/>
  <c r="M285" i="542" s="1"/>
  <c r="K285" i="542" a="1"/>
  <c r="J285" i="542"/>
  <c r="J285" i="542" a="1"/>
  <c r="H285" i="542"/>
  <c r="V284" i="542"/>
  <c r="W284" i="542" s="1"/>
  <c r="N284" i="542"/>
  <c r="K284" i="542" a="1"/>
  <c r="K284" i="542" s="1"/>
  <c r="M284" i="542" s="1"/>
  <c r="J284" i="542" a="1"/>
  <c r="J284" i="542" s="1"/>
  <c r="H284" i="542"/>
  <c r="N283" i="542"/>
  <c r="K283" i="542" a="1"/>
  <c r="K283" i="542" s="1"/>
  <c r="M283" i="542" s="1"/>
  <c r="H283" i="542"/>
  <c r="N282" i="542"/>
  <c r="K282" i="542" a="1"/>
  <c r="K282" i="542" s="1"/>
  <c r="M282" i="542" s="1"/>
  <c r="H282" i="542"/>
  <c r="N281" i="542"/>
  <c r="K281" i="542"/>
  <c r="M281" i="542" s="1"/>
  <c r="K281" i="542" a="1"/>
  <c r="H281" i="542"/>
  <c r="N280" i="542"/>
  <c r="K280" i="542" a="1"/>
  <c r="K280" i="542" s="1"/>
  <c r="M280" i="542" s="1"/>
  <c r="H280" i="542"/>
  <c r="N279" i="542"/>
  <c r="K279" i="542" a="1"/>
  <c r="K279" i="542" s="1"/>
  <c r="M279" i="542" s="1"/>
  <c r="H279" i="542"/>
  <c r="N278" i="542"/>
  <c r="K278" i="542" a="1"/>
  <c r="K278" i="542" s="1"/>
  <c r="M278" i="542" s="1"/>
  <c r="H278" i="542"/>
  <c r="V277" i="542"/>
  <c r="W277" i="542" s="1"/>
  <c r="N277" i="542"/>
  <c r="K277" i="542"/>
  <c r="M277" i="542" s="1"/>
  <c r="K277" i="542" a="1"/>
  <c r="J277" i="542"/>
  <c r="J277" i="542" a="1"/>
  <c r="H277" i="542"/>
  <c r="V276" i="542"/>
  <c r="W276" i="542" s="1"/>
  <c r="N276" i="542"/>
  <c r="K276" i="542" a="1"/>
  <c r="K276" i="542" s="1"/>
  <c r="M276" i="542" s="1"/>
  <c r="J276" i="542" a="1"/>
  <c r="J276" i="542" s="1"/>
  <c r="H276" i="542"/>
  <c r="V275" i="542"/>
  <c r="W275" i="542" s="1"/>
  <c r="N275" i="542"/>
  <c r="K275" i="542" a="1"/>
  <c r="K275" i="542" s="1"/>
  <c r="M275" i="542" s="1"/>
  <c r="J275" i="542" a="1"/>
  <c r="J275" i="542" s="1"/>
  <c r="H275" i="542"/>
  <c r="V274" i="542"/>
  <c r="W274" i="542" s="1"/>
  <c r="N274" i="542"/>
  <c r="K274" i="542" a="1"/>
  <c r="K274" i="542" s="1"/>
  <c r="M274" i="542" s="1"/>
  <c r="J274" i="542" a="1"/>
  <c r="J274" i="542" s="1"/>
  <c r="H274" i="542"/>
  <c r="V273" i="542"/>
  <c r="W273" i="542" s="1"/>
  <c r="N273" i="542"/>
  <c r="K273" i="542"/>
  <c r="M273" i="542" s="1"/>
  <c r="K273" i="542" a="1"/>
  <c r="J273" i="542"/>
  <c r="J273" i="542" a="1"/>
  <c r="H273" i="542"/>
  <c r="V272" i="542"/>
  <c r="W272" i="542" s="1"/>
  <c r="N272" i="542"/>
  <c r="K272" i="542" a="1"/>
  <c r="K272" i="542" s="1"/>
  <c r="M272" i="542" s="1"/>
  <c r="J272" i="542" a="1"/>
  <c r="J272" i="542" s="1"/>
  <c r="H272" i="542"/>
  <c r="V271" i="542"/>
  <c r="W271" i="542" s="1"/>
  <c r="N271" i="542"/>
  <c r="K271" i="542" a="1"/>
  <c r="K271" i="542" s="1"/>
  <c r="M271" i="542" s="1"/>
  <c r="J271" i="542" a="1"/>
  <c r="J271" i="542" s="1"/>
  <c r="H271" i="542"/>
  <c r="V270" i="542"/>
  <c r="W270" i="542" s="1"/>
  <c r="N270" i="542"/>
  <c r="K270" i="542" a="1"/>
  <c r="K270" i="542" s="1"/>
  <c r="M270" i="542" s="1"/>
  <c r="J270" i="542" a="1"/>
  <c r="J270" i="542" s="1"/>
  <c r="H270" i="542"/>
  <c r="V269" i="542"/>
  <c r="W269" i="542" s="1"/>
  <c r="N269" i="542"/>
  <c r="K269" i="542"/>
  <c r="M269" i="542" s="1"/>
  <c r="K269" i="542" a="1"/>
  <c r="J269" i="542"/>
  <c r="J269" i="542" a="1"/>
  <c r="H269" i="542"/>
  <c r="V268" i="542"/>
  <c r="W268" i="542" s="1"/>
  <c r="N268" i="542"/>
  <c r="K268" i="542" a="1"/>
  <c r="K268" i="542" s="1"/>
  <c r="M268" i="542" s="1"/>
  <c r="J268" i="542" a="1"/>
  <c r="J268" i="542" s="1"/>
  <c r="H268" i="542"/>
  <c r="W267" i="542"/>
  <c r="V267" i="542"/>
  <c r="N267" i="542"/>
  <c r="K267" i="542" a="1"/>
  <c r="K267" i="542" s="1"/>
  <c r="M267" i="542" s="1"/>
  <c r="J267" i="542" a="1"/>
  <c r="J267" i="542" s="1"/>
  <c r="H267" i="542"/>
  <c r="V266" i="542"/>
  <c r="W266" i="542" s="1"/>
  <c r="N266" i="542"/>
  <c r="K266" i="542" a="1"/>
  <c r="K266" i="542" s="1"/>
  <c r="M266" i="542" s="1"/>
  <c r="J266" i="542" a="1"/>
  <c r="J266" i="542" s="1"/>
  <c r="H266" i="542"/>
  <c r="N265" i="542"/>
  <c r="K265" i="542"/>
  <c r="M265" i="542" s="1"/>
  <c r="K265" i="542" a="1"/>
  <c r="H265" i="542"/>
  <c r="V264" i="542"/>
  <c r="W264" i="542" s="1"/>
  <c r="N264" i="542"/>
  <c r="K264" i="542" a="1"/>
  <c r="K264" i="542" s="1"/>
  <c r="M264" i="542" s="1"/>
  <c r="J264" i="542" a="1"/>
  <c r="J264" i="542" s="1"/>
  <c r="H264" i="542"/>
  <c r="V263" i="542"/>
  <c r="W263" i="542" s="1"/>
  <c r="N263" i="542"/>
  <c r="K263" i="542" a="1"/>
  <c r="K263" i="542" s="1"/>
  <c r="M263" i="542" s="1"/>
  <c r="J263" i="542" a="1"/>
  <c r="J263" i="542" s="1"/>
  <c r="H263" i="542"/>
  <c r="V262" i="542"/>
  <c r="W262" i="542" s="1"/>
  <c r="N262" i="542"/>
  <c r="K262" i="542" a="1"/>
  <c r="K262" i="542" s="1"/>
  <c r="M262" i="542" s="1"/>
  <c r="J262" i="542" a="1"/>
  <c r="J262" i="542" s="1"/>
  <c r="H262" i="542"/>
  <c r="V261" i="542"/>
  <c r="W261" i="542" s="1"/>
  <c r="N261" i="542"/>
  <c r="K261" i="542"/>
  <c r="M261" i="542" s="1"/>
  <c r="K261" i="542" a="1"/>
  <c r="J261" i="542"/>
  <c r="J261" i="542" a="1"/>
  <c r="H261" i="542"/>
  <c r="V260" i="542"/>
  <c r="W260" i="542" s="1"/>
  <c r="N260" i="542"/>
  <c r="K260" i="542" a="1"/>
  <c r="K260" i="542" s="1"/>
  <c r="M260" i="542" s="1"/>
  <c r="J260" i="542" a="1"/>
  <c r="J260" i="542" s="1"/>
  <c r="H260" i="542"/>
  <c r="V259" i="542"/>
  <c r="W259" i="542" s="1"/>
  <c r="N259" i="542"/>
  <c r="K259" i="542" a="1"/>
  <c r="K259" i="542" s="1"/>
  <c r="M259" i="542" s="1"/>
  <c r="J259" i="542" a="1"/>
  <c r="J259" i="542" s="1"/>
  <c r="H259" i="542"/>
  <c r="V258" i="542"/>
  <c r="W258" i="542" s="1"/>
  <c r="N258" i="542"/>
  <c r="K258" i="542" a="1"/>
  <c r="K258" i="542" s="1"/>
  <c r="J258" i="542" a="1"/>
  <c r="J258" i="542" s="1"/>
  <c r="H258" i="542"/>
  <c r="AA257" i="542"/>
  <c r="Z257" i="542"/>
  <c r="Y257" i="542"/>
  <c r="X257" i="542"/>
  <c r="U257" i="542"/>
  <c r="T257" i="542"/>
  <c r="S257" i="542"/>
  <c r="R257" i="542"/>
  <c r="Q257" i="542"/>
  <c r="P257" i="542"/>
  <c r="O257" i="542"/>
  <c r="I257" i="542"/>
  <c r="G257" i="542"/>
  <c r="H256" i="542"/>
  <c r="H255" i="542"/>
  <c r="H254" i="542"/>
  <c r="H253" i="542"/>
  <c r="H252" i="542"/>
  <c r="H251" i="542"/>
  <c r="K250" i="542" a="1"/>
  <c r="K250" i="542" s="1"/>
  <c r="M250" i="542" s="1"/>
  <c r="H250" i="542"/>
  <c r="K249" i="542"/>
  <c r="M249" i="542" s="1"/>
  <c r="K249" i="542" a="1"/>
  <c r="H249" i="542"/>
  <c r="K248" i="542" a="1"/>
  <c r="K248" i="542" s="1"/>
  <c r="M248" i="542" s="1"/>
  <c r="H248" i="542"/>
  <c r="K247" i="542"/>
  <c r="M247" i="542" s="1"/>
  <c r="K247" i="542" a="1"/>
  <c r="H247" i="542"/>
  <c r="V246" i="542"/>
  <c r="W246" i="542" s="1"/>
  <c r="N246" i="542"/>
  <c r="K246" i="542" a="1"/>
  <c r="K246" i="542" s="1"/>
  <c r="M246" i="542" s="1"/>
  <c r="J246" i="542" a="1"/>
  <c r="J246" i="542" s="1"/>
  <c r="H246" i="542"/>
  <c r="V245" i="542"/>
  <c r="W245" i="542" s="1"/>
  <c r="N245" i="542"/>
  <c r="K245" i="542"/>
  <c r="M245" i="542" s="1"/>
  <c r="K245" i="542" a="1"/>
  <c r="J245" i="542"/>
  <c r="J245" i="542" a="1"/>
  <c r="H245" i="542"/>
  <c r="V244" i="542"/>
  <c r="W244" i="542" s="1"/>
  <c r="N244" i="542"/>
  <c r="K244" i="542" a="1"/>
  <c r="K244" i="542" s="1"/>
  <c r="M244" i="542" s="1"/>
  <c r="J244" i="542" a="1"/>
  <c r="J244" i="542" s="1"/>
  <c r="H244" i="542"/>
  <c r="V243" i="542"/>
  <c r="W243" i="542" s="1"/>
  <c r="N243" i="542"/>
  <c r="K243" i="542" a="1"/>
  <c r="K243" i="542" s="1"/>
  <c r="M243" i="542" s="1"/>
  <c r="J243" i="542" a="1"/>
  <c r="J243" i="542" s="1"/>
  <c r="H243" i="542"/>
  <c r="M242" i="542"/>
  <c r="H242" i="542"/>
  <c r="V241" i="542"/>
  <c r="W241" i="542" s="1"/>
  <c r="N241" i="542"/>
  <c r="K241" i="542" a="1"/>
  <c r="K241" i="542" s="1"/>
  <c r="M241" i="542" s="1"/>
  <c r="J241" i="542" a="1"/>
  <c r="J241" i="542" s="1"/>
  <c r="H241" i="542"/>
  <c r="V240" i="542"/>
  <c r="W240" i="542" s="1"/>
  <c r="N240" i="542"/>
  <c r="K240" i="542"/>
  <c r="M240" i="542" s="1"/>
  <c r="K240" i="542" a="1"/>
  <c r="J240" i="542"/>
  <c r="J240" i="542" a="1"/>
  <c r="H240" i="542"/>
  <c r="K239" i="542" a="1"/>
  <c r="K239" i="542" s="1"/>
  <c r="M239" i="542" s="1"/>
  <c r="H239" i="542"/>
  <c r="H238" i="542"/>
  <c r="V237" i="542"/>
  <c r="W237" i="542" s="1"/>
  <c r="N237" i="542"/>
  <c r="K237" i="542" a="1"/>
  <c r="K237" i="542" s="1"/>
  <c r="M237" i="542" s="1"/>
  <c r="J237" i="542" a="1"/>
  <c r="J237" i="542" s="1"/>
  <c r="H237" i="542"/>
  <c r="V236" i="542"/>
  <c r="W236" i="542" s="1"/>
  <c r="N236" i="542"/>
  <c r="K236" i="542" a="1"/>
  <c r="K236" i="542" s="1"/>
  <c r="M236" i="542" s="1"/>
  <c r="J236" i="542" a="1"/>
  <c r="J236" i="542" s="1"/>
  <c r="H236" i="542"/>
  <c r="V235" i="542"/>
  <c r="W235" i="542" s="1"/>
  <c r="N235" i="542"/>
  <c r="K235" i="542"/>
  <c r="M235" i="542" s="1"/>
  <c r="K235" i="542" a="1"/>
  <c r="J235" i="542"/>
  <c r="J235" i="542" a="1"/>
  <c r="H235" i="542"/>
  <c r="V234" i="542"/>
  <c r="W234" i="542" s="1"/>
  <c r="N234" i="542"/>
  <c r="K234" i="542" a="1"/>
  <c r="K234" i="542" s="1"/>
  <c r="M234" i="542" s="1"/>
  <c r="J234" i="542" a="1"/>
  <c r="J234" i="542" s="1"/>
  <c r="H234" i="542"/>
  <c r="V233" i="542"/>
  <c r="W233" i="542" s="1"/>
  <c r="N233" i="542"/>
  <c r="K233" i="542" a="1"/>
  <c r="K233" i="542" s="1"/>
  <c r="M233" i="542" s="1"/>
  <c r="J233" i="542" a="1"/>
  <c r="J233" i="542" s="1"/>
  <c r="H233" i="542"/>
  <c r="V232" i="542"/>
  <c r="W232" i="542" s="1"/>
  <c r="N232" i="542"/>
  <c r="K232" i="542" a="1"/>
  <c r="K232" i="542" s="1"/>
  <c r="M232" i="542" s="1"/>
  <c r="J232" i="542" a="1"/>
  <c r="J232" i="542" s="1"/>
  <c r="H232" i="542"/>
  <c r="V231" i="542"/>
  <c r="W231" i="542" s="1"/>
  <c r="N231" i="542"/>
  <c r="K231" i="542"/>
  <c r="M231" i="542" s="1"/>
  <c r="K231" i="542" a="1"/>
  <c r="J231" i="542"/>
  <c r="J231" i="542" a="1"/>
  <c r="H231" i="542"/>
  <c r="V230" i="542"/>
  <c r="W230" i="542" s="1"/>
  <c r="N230" i="542"/>
  <c r="K230" i="542" a="1"/>
  <c r="K230" i="542" s="1"/>
  <c r="M230" i="542" s="1"/>
  <c r="J230" i="542" a="1"/>
  <c r="J230" i="542" s="1"/>
  <c r="H230" i="542"/>
  <c r="V229" i="542"/>
  <c r="W229" i="542" s="1"/>
  <c r="N229" i="542"/>
  <c r="K229" i="542" a="1"/>
  <c r="K229" i="542" s="1"/>
  <c r="M229" i="542" s="1"/>
  <c r="J229" i="542" a="1"/>
  <c r="J229" i="542" s="1"/>
  <c r="H229" i="542"/>
  <c r="V228" i="542"/>
  <c r="W228" i="542" s="1"/>
  <c r="N228" i="542"/>
  <c r="K228" i="542" a="1"/>
  <c r="K228" i="542" s="1"/>
  <c r="M228" i="542" s="1"/>
  <c r="J228" i="542" a="1"/>
  <c r="J228" i="542" s="1"/>
  <c r="H228" i="542"/>
  <c r="N227" i="542"/>
  <c r="K227" i="542"/>
  <c r="M227" i="542" s="1"/>
  <c r="K227" i="542" a="1"/>
  <c r="H227" i="542"/>
  <c r="N226" i="542"/>
  <c r="K226" i="542" a="1"/>
  <c r="K226" i="542" s="1"/>
  <c r="M226" i="542" s="1"/>
  <c r="H226" i="542"/>
  <c r="N225" i="542"/>
  <c r="K225" i="542" a="1"/>
  <c r="K225" i="542" s="1"/>
  <c r="M225" i="542" s="1"/>
  <c r="H225" i="542"/>
  <c r="N224" i="542"/>
  <c r="K224" i="542" a="1"/>
  <c r="K224" i="542" s="1"/>
  <c r="M224" i="542" s="1"/>
  <c r="H224" i="542"/>
  <c r="N223" i="542"/>
  <c r="K223" i="542"/>
  <c r="M223" i="542" s="1"/>
  <c r="K223" i="542" a="1"/>
  <c r="H223" i="542"/>
  <c r="N222" i="542"/>
  <c r="K222" i="542" a="1"/>
  <c r="K222" i="542" s="1"/>
  <c r="M222" i="542" s="1"/>
  <c r="H222" i="542"/>
  <c r="N221" i="542"/>
  <c r="K221" i="542" a="1"/>
  <c r="K221" i="542" s="1"/>
  <c r="M221" i="542" s="1"/>
  <c r="H221" i="542"/>
  <c r="N220" i="542"/>
  <c r="K220" i="542" a="1"/>
  <c r="K220" i="542" s="1"/>
  <c r="M220" i="542" s="1"/>
  <c r="H220" i="542"/>
  <c r="V219" i="542"/>
  <c r="W219" i="542" s="1"/>
  <c r="N219" i="542"/>
  <c r="K219" i="542" a="1"/>
  <c r="K219" i="542" s="1"/>
  <c r="M219" i="542" s="1"/>
  <c r="J219" i="542" a="1"/>
  <c r="J219" i="542" s="1"/>
  <c r="H219" i="542"/>
  <c r="V218" i="542"/>
  <c r="W218" i="542" s="1"/>
  <c r="N218" i="542"/>
  <c r="K218" i="542" a="1"/>
  <c r="K218" i="542" s="1"/>
  <c r="M218" i="542" s="1"/>
  <c r="J218" i="542" a="1"/>
  <c r="J218" i="542" s="1"/>
  <c r="H218" i="542"/>
  <c r="V217" i="542"/>
  <c r="W217" i="542" s="1"/>
  <c r="N217" i="542"/>
  <c r="K217" i="542" a="1"/>
  <c r="K217" i="542" s="1"/>
  <c r="M217" i="542" s="1"/>
  <c r="J217" i="542" a="1"/>
  <c r="J217" i="542" s="1"/>
  <c r="H217" i="542"/>
  <c r="V216" i="542"/>
  <c r="W216" i="542" s="1"/>
  <c r="N216" i="542"/>
  <c r="K216" i="542" a="1"/>
  <c r="K216" i="542" s="1"/>
  <c r="M216" i="542" s="1"/>
  <c r="J216" i="542" a="1"/>
  <c r="J216" i="542" s="1"/>
  <c r="H216" i="542"/>
  <c r="V215" i="542"/>
  <c r="W215" i="542" s="1"/>
  <c r="N215" i="542"/>
  <c r="K215" i="542" a="1"/>
  <c r="K215" i="542" s="1"/>
  <c r="M215" i="542" s="1"/>
  <c r="J215" i="542" a="1"/>
  <c r="J215" i="542" s="1"/>
  <c r="H215" i="542"/>
  <c r="V214" i="542"/>
  <c r="W214" i="542" s="1"/>
  <c r="N214" i="542"/>
  <c r="K214" i="542" a="1"/>
  <c r="K214" i="542" s="1"/>
  <c r="M214" i="542" s="1"/>
  <c r="J214" i="542" a="1"/>
  <c r="J214" i="542" s="1"/>
  <c r="H214" i="542"/>
  <c r="V213" i="542"/>
  <c r="W213" i="542" s="1"/>
  <c r="N213" i="542"/>
  <c r="K213" i="542" a="1"/>
  <c r="K213" i="542" s="1"/>
  <c r="M213" i="542" s="1"/>
  <c r="J213" i="542" a="1"/>
  <c r="J213" i="542" s="1"/>
  <c r="H213" i="542"/>
  <c r="V212" i="542"/>
  <c r="W212" i="542" s="1"/>
  <c r="N212" i="542"/>
  <c r="K212" i="542" a="1"/>
  <c r="K212" i="542" s="1"/>
  <c r="M212" i="542" s="1"/>
  <c r="J212" i="542" a="1"/>
  <c r="J212" i="542" s="1"/>
  <c r="H212" i="542"/>
  <c r="V211" i="542"/>
  <c r="W211" i="542" s="1"/>
  <c r="N211" i="542"/>
  <c r="K211" i="542" a="1"/>
  <c r="K211" i="542" s="1"/>
  <c r="M211" i="542" s="1"/>
  <c r="J211" i="542" a="1"/>
  <c r="J211" i="542" s="1"/>
  <c r="H211" i="542"/>
  <c r="V210" i="542"/>
  <c r="W210" i="542" s="1"/>
  <c r="N210" i="542"/>
  <c r="K210" i="542" a="1"/>
  <c r="K210" i="542" s="1"/>
  <c r="M210" i="542" s="1"/>
  <c r="J210" i="542" a="1"/>
  <c r="J210" i="542" s="1"/>
  <c r="H210" i="542"/>
  <c r="V209" i="542"/>
  <c r="W209" i="542" s="1"/>
  <c r="N209" i="542"/>
  <c r="K209" i="542" a="1"/>
  <c r="K209" i="542" s="1"/>
  <c r="M209" i="542" s="1"/>
  <c r="J209" i="542" a="1"/>
  <c r="J209" i="542" s="1"/>
  <c r="H209" i="542"/>
  <c r="V208" i="542"/>
  <c r="W208" i="542" s="1"/>
  <c r="N208" i="542"/>
  <c r="K208" i="542" a="1"/>
  <c r="K208" i="542" s="1"/>
  <c r="M208" i="542" s="1"/>
  <c r="J208" i="542" a="1"/>
  <c r="J208" i="542" s="1"/>
  <c r="H208" i="542"/>
  <c r="H207" i="542"/>
  <c r="H206" i="542"/>
  <c r="H205" i="542"/>
  <c r="V204" i="542"/>
  <c r="W204" i="542" s="1"/>
  <c r="N204" i="542"/>
  <c r="K204" i="542" a="1"/>
  <c r="K204" i="542" s="1"/>
  <c r="M204" i="542" s="1"/>
  <c r="J204" i="542" a="1"/>
  <c r="J204" i="542" s="1"/>
  <c r="H204" i="542"/>
  <c r="V203" i="542"/>
  <c r="W203" i="542" s="1"/>
  <c r="N203" i="542"/>
  <c r="K203" i="542" a="1"/>
  <c r="K203" i="542" s="1"/>
  <c r="M203" i="542" s="1"/>
  <c r="J203" i="542" a="1"/>
  <c r="J203" i="542" s="1"/>
  <c r="H203" i="542"/>
  <c r="V202" i="542"/>
  <c r="W202" i="542" s="1"/>
  <c r="N202" i="542"/>
  <c r="K202" i="542" a="1"/>
  <c r="K202" i="542" s="1"/>
  <c r="M202" i="542" s="1"/>
  <c r="J202" i="542" a="1"/>
  <c r="J202" i="542" s="1"/>
  <c r="H202" i="542"/>
  <c r="H201" i="542"/>
  <c r="V200" i="542"/>
  <c r="V257" i="542" s="1"/>
  <c r="W257" i="542" s="1"/>
  <c r="N200" i="542"/>
  <c r="K200" i="542" a="1"/>
  <c r="K200" i="542" s="1"/>
  <c r="J200" i="542" a="1"/>
  <c r="J200" i="542" s="1"/>
  <c r="H200" i="542"/>
  <c r="AA199" i="542"/>
  <c r="AA335" i="542" s="1"/>
  <c r="Z199" i="542"/>
  <c r="Y199" i="542"/>
  <c r="Y335" i="542" s="1"/>
  <c r="X199" i="542"/>
  <c r="U199" i="542"/>
  <c r="U335" i="542" s="1"/>
  <c r="T199" i="542"/>
  <c r="S199" i="542"/>
  <c r="S335" i="542" s="1"/>
  <c r="R199" i="542"/>
  <c r="Q199" i="542"/>
  <c r="Q335" i="542" s="1"/>
  <c r="P199" i="542"/>
  <c r="O199" i="542"/>
  <c r="I199" i="542"/>
  <c r="G199" i="542"/>
  <c r="G335" i="542" s="1"/>
  <c r="V198" i="542"/>
  <c r="W198" i="542" s="1"/>
  <c r="N198" i="542"/>
  <c r="K198" i="542" a="1"/>
  <c r="K198" i="542" s="1"/>
  <c r="M198" i="542" s="1"/>
  <c r="J198" i="542" a="1"/>
  <c r="J198" i="542" s="1"/>
  <c r="H198" i="542"/>
  <c r="V197" i="542"/>
  <c r="W197" i="542" s="1"/>
  <c r="N197" i="542"/>
  <c r="K197" i="542" a="1"/>
  <c r="K197" i="542" s="1"/>
  <c r="M197" i="542" s="1"/>
  <c r="J197" i="542" a="1"/>
  <c r="J197" i="542" s="1"/>
  <c r="H197" i="542"/>
  <c r="K196" i="542" a="1"/>
  <c r="K196" i="542" s="1"/>
  <c r="M196" i="542" s="1"/>
  <c r="H196" i="542"/>
  <c r="K195" i="542"/>
  <c r="M195" i="542" s="1"/>
  <c r="K195" i="542" a="1"/>
  <c r="H195" i="542"/>
  <c r="K194" i="542" a="1"/>
  <c r="K194" i="542" s="1"/>
  <c r="M194" i="542" s="1"/>
  <c r="H194" i="542"/>
  <c r="K193" i="542"/>
  <c r="M193" i="542" s="1"/>
  <c r="K193" i="542" a="1"/>
  <c r="H193" i="542"/>
  <c r="V192" i="542"/>
  <c r="W192" i="542" s="1"/>
  <c r="N192" i="542"/>
  <c r="K192" i="542" a="1"/>
  <c r="K192" i="542" s="1"/>
  <c r="M192" i="542" s="1"/>
  <c r="J192" i="542" a="1"/>
  <c r="J192" i="542" s="1"/>
  <c r="H192" i="542"/>
  <c r="V191" i="542"/>
  <c r="W191" i="542" s="1"/>
  <c r="N191" i="542"/>
  <c r="K191" i="542" a="1"/>
  <c r="K191" i="542" s="1"/>
  <c r="M191" i="542" s="1"/>
  <c r="J191" i="542" a="1"/>
  <c r="J191" i="542" s="1"/>
  <c r="H191" i="542"/>
  <c r="V190" i="542"/>
  <c r="W190" i="542" s="1"/>
  <c r="N190" i="542"/>
  <c r="K190" i="542" a="1"/>
  <c r="K190" i="542" s="1"/>
  <c r="M190" i="542" s="1"/>
  <c r="J190" i="542" a="1"/>
  <c r="J190" i="542" s="1"/>
  <c r="H190" i="542"/>
  <c r="N189" i="542"/>
  <c r="K189" i="542" a="1"/>
  <c r="K189" i="542" s="1"/>
  <c r="M189" i="542" s="1"/>
  <c r="J189" i="542" a="1"/>
  <c r="J189" i="542" s="1"/>
  <c r="H189" i="542"/>
  <c r="N188" i="542"/>
  <c r="K188" i="542" a="1"/>
  <c r="K188" i="542" s="1"/>
  <c r="M188" i="542" s="1"/>
  <c r="J188" i="542" a="1"/>
  <c r="J188" i="542" s="1"/>
  <c r="H188" i="542"/>
  <c r="W187" i="542"/>
  <c r="V187" i="542"/>
  <c r="N187" i="542"/>
  <c r="K187" i="542" a="1"/>
  <c r="K187" i="542" s="1"/>
  <c r="M187" i="542" s="1"/>
  <c r="J187" i="542" a="1"/>
  <c r="J187" i="542" s="1"/>
  <c r="H187" i="542"/>
  <c r="V186" i="542"/>
  <c r="W186" i="542" s="1"/>
  <c r="N186" i="542"/>
  <c r="K186" i="542" a="1"/>
  <c r="K186" i="542" s="1"/>
  <c r="M186" i="542" s="1"/>
  <c r="J186" i="542" a="1"/>
  <c r="J186" i="542" s="1"/>
  <c r="H186" i="542"/>
  <c r="N185" i="542"/>
  <c r="K185" i="542"/>
  <c r="M185" i="542" s="1"/>
  <c r="K185" i="542" a="1"/>
  <c r="H185" i="542"/>
  <c r="N184" i="542"/>
  <c r="K184" i="542" a="1"/>
  <c r="K184" i="542" s="1"/>
  <c r="M184" i="542" s="1"/>
  <c r="H184" i="542"/>
  <c r="V183" i="542"/>
  <c r="W183" i="542" s="1"/>
  <c r="N183" i="542"/>
  <c r="K183" i="542" a="1"/>
  <c r="K183" i="542" s="1"/>
  <c r="M183" i="542" s="1"/>
  <c r="J183" i="542" a="1"/>
  <c r="J183" i="542" s="1"/>
  <c r="H183" i="542"/>
  <c r="V182" i="542"/>
  <c r="W182" i="542" s="1"/>
  <c r="N182" i="542"/>
  <c r="K182" i="542" a="1"/>
  <c r="K182" i="542" s="1"/>
  <c r="M182" i="542" s="1"/>
  <c r="J182" i="542" a="1"/>
  <c r="J182" i="542" s="1"/>
  <c r="H182" i="542"/>
  <c r="W181" i="542"/>
  <c r="V181" i="542"/>
  <c r="N181" i="542"/>
  <c r="K181" i="542"/>
  <c r="M181" i="542" s="1"/>
  <c r="K181" i="542" a="1"/>
  <c r="J181" i="542" a="1"/>
  <c r="J181" i="542" s="1"/>
  <c r="H181" i="542"/>
  <c r="V180" i="542"/>
  <c r="W180" i="542" s="1"/>
  <c r="N180" i="542"/>
  <c r="K180" i="542" a="1"/>
  <c r="K180" i="542" s="1"/>
  <c r="M180" i="542" s="1"/>
  <c r="J180" i="542" a="1"/>
  <c r="J180" i="542" s="1"/>
  <c r="H180" i="542"/>
  <c r="V179" i="542"/>
  <c r="W179" i="542" s="1"/>
  <c r="N179" i="542"/>
  <c r="K179" i="542" a="1"/>
  <c r="K179" i="542" s="1"/>
  <c r="M179" i="542" s="1"/>
  <c r="J179" i="542" a="1"/>
  <c r="J179" i="542" s="1"/>
  <c r="H179" i="542"/>
  <c r="V178" i="542"/>
  <c r="N178" i="542"/>
  <c r="K178" i="542" a="1"/>
  <c r="K178" i="542" s="1"/>
  <c r="J178" i="542" a="1"/>
  <c r="J178" i="542" s="1"/>
  <c r="H178" i="542"/>
  <c r="X171" i="542"/>
  <c r="Q529" i="542" s="1"/>
  <c r="X170" i="542"/>
  <c r="Q528" i="542" s="1"/>
  <c r="G170" i="542"/>
  <c r="C170" i="542"/>
  <c r="X169" i="542"/>
  <c r="Q527" i="542" s="1"/>
  <c r="I169" i="542"/>
  <c r="E169" i="542"/>
  <c r="K169" i="542" s="1"/>
  <c r="M169" i="542" s="1"/>
  <c r="I168" i="542"/>
  <c r="E168" i="542"/>
  <c r="K168" i="542" s="1"/>
  <c r="M168" i="542" s="1"/>
  <c r="I167" i="542"/>
  <c r="E167" i="542"/>
  <c r="K167" i="542" s="1"/>
  <c r="M167" i="542" s="1"/>
  <c r="X166" i="542"/>
  <c r="Q524" i="542" s="1"/>
  <c r="I166" i="542"/>
  <c r="I170" i="542" s="1"/>
  <c r="E166" i="542"/>
  <c r="E170" i="542" s="1"/>
  <c r="AA163" i="542"/>
  <c r="Z163" i="542"/>
  <c r="Y163" i="542"/>
  <c r="X163" i="542"/>
  <c r="U163" i="542"/>
  <c r="T163" i="542"/>
  <c r="S163" i="542"/>
  <c r="R163" i="542"/>
  <c r="Q163" i="542"/>
  <c r="P163" i="542"/>
  <c r="O163" i="542"/>
  <c r="R171" i="542" s="1"/>
  <c r="I163" i="542"/>
  <c r="G163" i="542"/>
  <c r="C529" i="542" s="1"/>
  <c r="H162" i="542"/>
  <c r="H161" i="542"/>
  <c r="H160" i="542"/>
  <c r="V159" i="542"/>
  <c r="W159" i="542" s="1"/>
  <c r="N159" i="542"/>
  <c r="K159" i="542"/>
  <c r="K159" i="542" a="1"/>
  <c r="J159" i="542" a="1"/>
  <c r="J159" i="542" s="1"/>
  <c r="H159" i="542"/>
  <c r="D159" i="542"/>
  <c r="V158" i="542"/>
  <c r="W158" i="542" s="1"/>
  <c r="N158" i="542"/>
  <c r="K158" i="542" a="1"/>
  <c r="K158" i="542" s="1"/>
  <c r="M158" i="542" s="1"/>
  <c r="J158" i="542" a="1"/>
  <c r="J158" i="542" s="1"/>
  <c r="H158" i="542"/>
  <c r="H157" i="542"/>
  <c r="H156" i="542"/>
  <c r="V155" i="542"/>
  <c r="W155" i="542" s="1"/>
  <c r="N155" i="542"/>
  <c r="K155" i="542" a="1"/>
  <c r="K155" i="542" s="1"/>
  <c r="M155" i="542" s="1"/>
  <c r="J155" i="542" a="1"/>
  <c r="J155" i="542" s="1"/>
  <c r="H155" i="542"/>
  <c r="V154" i="542"/>
  <c r="W154" i="542" s="1"/>
  <c r="N154" i="542"/>
  <c r="K154" i="542"/>
  <c r="M154" i="542" s="1"/>
  <c r="K154" i="542" a="1"/>
  <c r="J154" i="542"/>
  <c r="J154" i="542" a="1"/>
  <c r="H154" i="542"/>
  <c r="H153" i="542"/>
  <c r="V152" i="542"/>
  <c r="W152" i="542" s="1"/>
  <c r="N152" i="542"/>
  <c r="K152" i="542" a="1"/>
  <c r="K152" i="542" s="1"/>
  <c r="M152" i="542" s="1"/>
  <c r="J152" i="542" a="1"/>
  <c r="J152" i="542" s="1"/>
  <c r="H152" i="542"/>
  <c r="V151" i="542"/>
  <c r="W151" i="542" s="1"/>
  <c r="N151" i="542"/>
  <c r="K151" i="542" a="1"/>
  <c r="K151" i="542" s="1"/>
  <c r="M151" i="542" s="1"/>
  <c r="J151" i="542" a="1"/>
  <c r="J151" i="542" s="1"/>
  <c r="H151" i="542"/>
  <c r="V150" i="542"/>
  <c r="W150" i="542" s="1"/>
  <c r="N150" i="542"/>
  <c r="K150" i="542"/>
  <c r="M150" i="542" s="1"/>
  <c r="K150" i="542" a="1"/>
  <c r="J150" i="542"/>
  <c r="J150" i="542" a="1"/>
  <c r="H150" i="542"/>
  <c r="V149" i="542"/>
  <c r="W149" i="542" s="1"/>
  <c r="N149" i="542"/>
  <c r="K149" i="542" a="1"/>
  <c r="K149" i="542" s="1"/>
  <c r="J149" i="542" a="1"/>
  <c r="J149" i="542" s="1"/>
  <c r="H149" i="542"/>
  <c r="AA148" i="542"/>
  <c r="Z148" i="542"/>
  <c r="Y148" i="542"/>
  <c r="X148" i="542"/>
  <c r="U148" i="542"/>
  <c r="T148" i="542"/>
  <c r="S148" i="542"/>
  <c r="Q148" i="542"/>
  <c r="P148" i="542"/>
  <c r="O148" i="542"/>
  <c r="I148" i="542"/>
  <c r="G148" i="542"/>
  <c r="C528" i="542" s="1"/>
  <c r="V147" i="542"/>
  <c r="W147" i="542" s="1"/>
  <c r="N147" i="542"/>
  <c r="K147" i="542"/>
  <c r="M147" i="542" s="1"/>
  <c r="K147" i="542" a="1"/>
  <c r="J147" i="542"/>
  <c r="J147" i="542" a="1"/>
  <c r="H147" i="542"/>
  <c r="K145" i="542" a="1"/>
  <c r="K145" i="542" s="1"/>
  <c r="H145" i="542"/>
  <c r="K144" i="542" a="1"/>
  <c r="K144" i="542" s="1"/>
  <c r="H144" i="542"/>
  <c r="K143" i="542" a="1"/>
  <c r="K143" i="542" s="1"/>
  <c r="H143" i="542"/>
  <c r="V142" i="542"/>
  <c r="W142" i="542" s="1"/>
  <c r="N142" i="542"/>
  <c r="K142" i="542" a="1"/>
  <c r="K142" i="542" s="1"/>
  <c r="M142" i="542" s="1"/>
  <c r="J142" i="542" a="1"/>
  <c r="J142" i="542" s="1"/>
  <c r="H142" i="542"/>
  <c r="V141" i="542"/>
  <c r="W141" i="542" s="1"/>
  <c r="N141" i="542"/>
  <c r="K141" i="542" a="1"/>
  <c r="K141" i="542" s="1"/>
  <c r="M141" i="542" s="1"/>
  <c r="J141" i="542" a="1"/>
  <c r="J141" i="542" s="1"/>
  <c r="H141" i="542"/>
  <c r="V140" i="542"/>
  <c r="W140" i="542" s="1"/>
  <c r="N140" i="542"/>
  <c r="K140" i="542"/>
  <c r="M140" i="542" s="1"/>
  <c r="K140" i="542" a="1"/>
  <c r="J140" i="542"/>
  <c r="J140" i="542" a="1"/>
  <c r="H140" i="542"/>
  <c r="V139" i="542"/>
  <c r="W139" i="542" s="1"/>
  <c r="N139" i="542"/>
  <c r="K139" i="542" a="1"/>
  <c r="K139" i="542" s="1"/>
  <c r="M139" i="542" s="1"/>
  <c r="J139" i="542" a="1"/>
  <c r="J139" i="542" s="1"/>
  <c r="H139" i="542"/>
  <c r="V138" i="542"/>
  <c r="W138" i="542" s="1"/>
  <c r="N138" i="542"/>
  <c r="K138" i="542" a="1"/>
  <c r="K138" i="542" s="1"/>
  <c r="M138" i="542" s="1"/>
  <c r="M148" i="542" s="1"/>
  <c r="J138" i="542" a="1"/>
  <c r="J138" i="542" s="1"/>
  <c r="H138" i="542"/>
  <c r="AA137" i="542"/>
  <c r="Z137" i="542"/>
  <c r="Y137" i="542"/>
  <c r="X137" i="542"/>
  <c r="U137" i="542"/>
  <c r="T137" i="542"/>
  <c r="S137" i="542"/>
  <c r="Q137" i="542"/>
  <c r="P137" i="542"/>
  <c r="O137" i="542"/>
  <c r="I137" i="542"/>
  <c r="G137" i="542"/>
  <c r="C527" i="542" s="1"/>
  <c r="V136" i="542"/>
  <c r="W136" i="542" s="1"/>
  <c r="N136" i="542"/>
  <c r="K136" i="542" a="1"/>
  <c r="K136" i="542" s="1"/>
  <c r="M136" i="542" s="1"/>
  <c r="J136" i="542" a="1"/>
  <c r="J136" i="542" s="1"/>
  <c r="H136" i="542"/>
  <c r="V135" i="542"/>
  <c r="W135" i="542" s="1"/>
  <c r="N135" i="542"/>
  <c r="K135" i="542" a="1"/>
  <c r="K135" i="542" s="1"/>
  <c r="M135" i="542" s="1"/>
  <c r="J135" i="542" a="1"/>
  <c r="J135" i="542" s="1"/>
  <c r="H135" i="542"/>
  <c r="V134" i="542"/>
  <c r="W134" i="542" s="1"/>
  <c r="N134" i="542"/>
  <c r="K134" i="542" a="1"/>
  <c r="K134" i="542" s="1"/>
  <c r="M134" i="542" s="1"/>
  <c r="J134" i="542" a="1"/>
  <c r="J134" i="542" s="1"/>
  <c r="H134" i="542"/>
  <c r="V133" i="542"/>
  <c r="W133" i="542" s="1"/>
  <c r="N133" i="542"/>
  <c r="K133" i="542"/>
  <c r="M133" i="542" s="1"/>
  <c r="K133" i="542" a="1"/>
  <c r="J133" i="542"/>
  <c r="J133" i="542" a="1"/>
  <c r="H133" i="542"/>
  <c r="V132" i="542"/>
  <c r="W132" i="542" s="1"/>
  <c r="N132" i="542"/>
  <c r="K132" i="542" a="1"/>
  <c r="K132" i="542" s="1"/>
  <c r="M132" i="542" s="1"/>
  <c r="J132" i="542" a="1"/>
  <c r="J132" i="542" s="1"/>
  <c r="H132" i="542"/>
  <c r="V131" i="542"/>
  <c r="W131" i="542" s="1"/>
  <c r="N131" i="542"/>
  <c r="K131" i="542" a="1"/>
  <c r="K131" i="542" s="1"/>
  <c r="M131" i="542" s="1"/>
  <c r="J131" i="542" a="1"/>
  <c r="J131" i="542" s="1"/>
  <c r="H131" i="542"/>
  <c r="V130" i="542"/>
  <c r="W130" i="542" s="1"/>
  <c r="N130" i="542"/>
  <c r="K130" i="542" a="1"/>
  <c r="K130" i="542" s="1"/>
  <c r="M130" i="542" s="1"/>
  <c r="J130" i="542" a="1"/>
  <c r="J130" i="542" s="1"/>
  <c r="H130" i="542"/>
  <c r="V129" i="542"/>
  <c r="W129" i="542" s="1"/>
  <c r="N129" i="542"/>
  <c r="K129" i="542"/>
  <c r="M129" i="542" s="1"/>
  <c r="K129" i="542" a="1"/>
  <c r="J129" i="542"/>
  <c r="J129" i="542" a="1"/>
  <c r="H129" i="542"/>
  <c r="V128" i="542"/>
  <c r="W128" i="542" s="1"/>
  <c r="N128" i="542"/>
  <c r="K128" i="542" a="1"/>
  <c r="K128" i="542" s="1"/>
  <c r="M128" i="542" s="1"/>
  <c r="J128" i="542" a="1"/>
  <c r="J128" i="542" s="1"/>
  <c r="H128" i="542"/>
  <c r="V127" i="542"/>
  <c r="W127" i="542" s="1"/>
  <c r="N127" i="542"/>
  <c r="K127" i="542" a="1"/>
  <c r="K127" i="542" s="1"/>
  <c r="M127" i="542" s="1"/>
  <c r="J127" i="542" a="1"/>
  <c r="J127" i="542" s="1"/>
  <c r="H127" i="542"/>
  <c r="V126" i="542"/>
  <c r="W126" i="542" s="1"/>
  <c r="N126" i="542"/>
  <c r="K126" i="542" a="1"/>
  <c r="K126" i="542" s="1"/>
  <c r="M126" i="542" s="1"/>
  <c r="J126" i="542" a="1"/>
  <c r="J126" i="542" s="1"/>
  <c r="H126" i="542"/>
  <c r="V125" i="542"/>
  <c r="W125" i="542" s="1"/>
  <c r="N125" i="542"/>
  <c r="K125" i="542"/>
  <c r="M125" i="542" s="1"/>
  <c r="K125" i="542" a="1"/>
  <c r="J125" i="542"/>
  <c r="J125" i="542" a="1"/>
  <c r="H125" i="542"/>
  <c r="V124" i="542"/>
  <c r="W124" i="542" s="1"/>
  <c r="N124" i="542"/>
  <c r="K124" i="542" a="1"/>
  <c r="K124" i="542" s="1"/>
  <c r="M124" i="542" s="1"/>
  <c r="J124" i="542" a="1"/>
  <c r="J124" i="542" s="1"/>
  <c r="H124" i="542"/>
  <c r="V123" i="542"/>
  <c r="W123" i="542" s="1"/>
  <c r="N123" i="542"/>
  <c r="K123" i="542" a="1"/>
  <c r="K123" i="542" s="1"/>
  <c r="M123" i="542" s="1"/>
  <c r="J123" i="542" a="1"/>
  <c r="J123" i="542" s="1"/>
  <c r="H123" i="542"/>
  <c r="V122" i="542"/>
  <c r="W122" i="542" s="1"/>
  <c r="N122" i="542"/>
  <c r="K122" i="542" a="1"/>
  <c r="K122" i="542" s="1"/>
  <c r="J122" i="542" a="1"/>
  <c r="J122" i="542" s="1"/>
  <c r="H122" i="542"/>
  <c r="AA121" i="542"/>
  <c r="Z121" i="542"/>
  <c r="Y121" i="542"/>
  <c r="X121" i="542"/>
  <c r="U121" i="542"/>
  <c r="T121" i="542"/>
  <c r="S121" i="542"/>
  <c r="R121" i="542"/>
  <c r="Q121" i="542"/>
  <c r="P121" i="542"/>
  <c r="O121" i="542"/>
  <c r="R168" i="542" s="1"/>
  <c r="I121" i="542"/>
  <c r="G121" i="542"/>
  <c r="C526" i="542" s="1"/>
  <c r="V120" i="542"/>
  <c r="W120" i="542" s="1"/>
  <c r="N120" i="542"/>
  <c r="K120" i="542" a="1"/>
  <c r="K120" i="542" s="1"/>
  <c r="M120" i="542" s="1"/>
  <c r="J120" i="542" a="1"/>
  <c r="J120" i="542" s="1"/>
  <c r="H120" i="542"/>
  <c r="V119" i="542"/>
  <c r="W119" i="542" s="1"/>
  <c r="N119" i="542"/>
  <c r="K119" i="542"/>
  <c r="M119" i="542" s="1"/>
  <c r="K119" i="542" a="1"/>
  <c r="J119" i="542"/>
  <c r="J119" i="542" a="1"/>
  <c r="H119" i="542"/>
  <c r="V118" i="542"/>
  <c r="W118" i="542" s="1"/>
  <c r="N118" i="542"/>
  <c r="K118" i="542" a="1"/>
  <c r="K118" i="542" s="1"/>
  <c r="M118" i="542" s="1"/>
  <c r="J118" i="542" a="1"/>
  <c r="J118" i="542" s="1"/>
  <c r="H118" i="542"/>
  <c r="K117" i="542" a="1"/>
  <c r="K117" i="542" s="1"/>
  <c r="H117" i="542"/>
  <c r="K116" i="542" a="1"/>
  <c r="K116" i="542" s="1"/>
  <c r="H116" i="542"/>
  <c r="K115" i="542"/>
  <c r="K115" i="542" a="1"/>
  <c r="H115" i="542"/>
  <c r="V114" i="542"/>
  <c r="W114" i="542" s="1"/>
  <c r="N114" i="542"/>
  <c r="K114" i="542" a="1"/>
  <c r="K114" i="542" s="1"/>
  <c r="M114" i="542" s="1"/>
  <c r="J114" i="542" a="1"/>
  <c r="J114" i="542" s="1"/>
  <c r="H114" i="542"/>
  <c r="V113" i="542"/>
  <c r="W113" i="542" s="1"/>
  <c r="N113" i="542"/>
  <c r="K113" i="542"/>
  <c r="M113" i="542" s="1"/>
  <c r="K113" i="542" a="1"/>
  <c r="J113" i="542"/>
  <c r="J113" i="542" a="1"/>
  <c r="H113" i="542"/>
  <c r="N112" i="542"/>
  <c r="K112" i="542" a="1"/>
  <c r="K112" i="542" s="1"/>
  <c r="M112" i="542" s="1"/>
  <c r="H112" i="542"/>
  <c r="N111" i="542"/>
  <c r="K111" i="542" a="1"/>
  <c r="K111" i="542" s="1"/>
  <c r="M111" i="542" s="1"/>
  <c r="H111" i="542"/>
  <c r="N110" i="542"/>
  <c r="K110" i="542" a="1"/>
  <c r="K110" i="542" s="1"/>
  <c r="M110" i="542" s="1"/>
  <c r="H110" i="542"/>
  <c r="N109" i="542"/>
  <c r="K109" i="542" a="1"/>
  <c r="K109" i="542" s="1"/>
  <c r="M109" i="542" s="1"/>
  <c r="H109" i="542"/>
  <c r="N108" i="542"/>
  <c r="K108" i="542" a="1"/>
  <c r="K108" i="542" s="1"/>
  <c r="M108" i="542" s="1"/>
  <c r="H108" i="542"/>
  <c r="N107" i="542"/>
  <c r="K107" i="542" a="1"/>
  <c r="K107" i="542" s="1"/>
  <c r="M107" i="542" s="1"/>
  <c r="H107" i="542"/>
  <c r="V106" i="542"/>
  <c r="W106" i="542" s="1"/>
  <c r="N106" i="542"/>
  <c r="K106" i="542" a="1"/>
  <c r="K106" i="542" s="1"/>
  <c r="M106" i="542" s="1"/>
  <c r="J106" i="542" a="1"/>
  <c r="J106" i="542" s="1"/>
  <c r="H106" i="542"/>
  <c r="V105" i="542"/>
  <c r="W105" i="542" s="1"/>
  <c r="N105" i="542"/>
  <c r="K105" i="542"/>
  <c r="M105" i="542" s="1"/>
  <c r="K105" i="542" a="1"/>
  <c r="J105" i="542"/>
  <c r="J105" i="542" a="1"/>
  <c r="H105" i="542"/>
  <c r="V104" i="542"/>
  <c r="W104" i="542" s="1"/>
  <c r="N104" i="542"/>
  <c r="K104" i="542" a="1"/>
  <c r="K104" i="542" s="1"/>
  <c r="M104" i="542" s="1"/>
  <c r="J104" i="542" a="1"/>
  <c r="J104" i="542" s="1"/>
  <c r="H104" i="542"/>
  <c r="V103" i="542"/>
  <c r="W103" i="542" s="1"/>
  <c r="N103" i="542"/>
  <c r="K103" i="542" a="1"/>
  <c r="K103" i="542" s="1"/>
  <c r="M103" i="542" s="1"/>
  <c r="J103" i="542" a="1"/>
  <c r="J103" i="542" s="1"/>
  <c r="H103" i="542"/>
  <c r="V102" i="542"/>
  <c r="W102" i="542" s="1"/>
  <c r="N102" i="542"/>
  <c r="K102" i="542" a="1"/>
  <c r="K102" i="542" s="1"/>
  <c r="M102" i="542" s="1"/>
  <c r="J102" i="542" a="1"/>
  <c r="J102" i="542" s="1"/>
  <c r="H102" i="542"/>
  <c r="V101" i="542"/>
  <c r="W101" i="542" s="1"/>
  <c r="N101" i="542"/>
  <c r="K101" i="542"/>
  <c r="M101" i="542" s="1"/>
  <c r="K101" i="542" a="1"/>
  <c r="J101" i="542"/>
  <c r="J101" i="542" a="1"/>
  <c r="H101" i="542"/>
  <c r="V100" i="542"/>
  <c r="W100" i="542" s="1"/>
  <c r="N100" i="542"/>
  <c r="K100" i="542" a="1"/>
  <c r="K100" i="542" s="1"/>
  <c r="M100" i="542" s="1"/>
  <c r="J100" i="542" a="1"/>
  <c r="J100" i="542" s="1"/>
  <c r="H100" i="542"/>
  <c r="V99" i="542"/>
  <c r="W99" i="542" s="1"/>
  <c r="N99" i="542"/>
  <c r="K99" i="542" a="1"/>
  <c r="K99" i="542" s="1"/>
  <c r="M99" i="542" s="1"/>
  <c r="J99" i="542" a="1"/>
  <c r="J99" i="542" s="1"/>
  <c r="H99" i="542"/>
  <c r="V98" i="542"/>
  <c r="W98" i="542" s="1"/>
  <c r="N98" i="542"/>
  <c r="K98" i="542" a="1"/>
  <c r="K98" i="542" s="1"/>
  <c r="M98" i="542" s="1"/>
  <c r="J98" i="542" a="1"/>
  <c r="J98" i="542" s="1"/>
  <c r="H98" i="542"/>
  <c r="V97" i="542"/>
  <c r="W97" i="542" s="1"/>
  <c r="N97" i="542"/>
  <c r="K97" i="542"/>
  <c r="M97" i="542" s="1"/>
  <c r="K97" i="542" a="1"/>
  <c r="J97" i="542"/>
  <c r="J97" i="542" a="1"/>
  <c r="H97" i="542"/>
  <c r="V96" i="542"/>
  <c r="W96" i="542" s="1"/>
  <c r="N96" i="542"/>
  <c r="K96" i="542" a="1"/>
  <c r="K96" i="542" s="1"/>
  <c r="M96" i="542" s="1"/>
  <c r="J96" i="542" a="1"/>
  <c r="J96" i="542" s="1"/>
  <c r="H96" i="542"/>
  <c r="V95" i="542"/>
  <c r="W95" i="542" s="1"/>
  <c r="N95" i="542"/>
  <c r="K95" i="542" a="1"/>
  <c r="K95" i="542" s="1"/>
  <c r="M95" i="542" s="1"/>
  <c r="J95" i="542" a="1"/>
  <c r="J95" i="542" s="1"/>
  <c r="H95" i="542"/>
  <c r="K94" i="542"/>
  <c r="M94" i="542" s="1"/>
  <c r="K94" i="542" a="1"/>
  <c r="H94" i="542"/>
  <c r="V93" i="542"/>
  <c r="W93" i="542" s="1"/>
  <c r="N93" i="542"/>
  <c r="K93" i="542" a="1"/>
  <c r="K93" i="542" s="1"/>
  <c r="M93" i="542" s="1"/>
  <c r="J93" i="542" a="1"/>
  <c r="J93" i="542" s="1"/>
  <c r="H93" i="542"/>
  <c r="V92" i="542"/>
  <c r="W92" i="542" s="1"/>
  <c r="N92" i="542"/>
  <c r="K92" i="542" a="1"/>
  <c r="K92" i="542" s="1"/>
  <c r="M92" i="542" s="1"/>
  <c r="J92" i="542" a="1"/>
  <c r="J92" i="542" s="1"/>
  <c r="H92" i="542"/>
  <c r="V91" i="542"/>
  <c r="W91" i="542" s="1"/>
  <c r="N91" i="542"/>
  <c r="K91" i="542" a="1"/>
  <c r="K91" i="542" s="1"/>
  <c r="M91" i="542" s="1"/>
  <c r="J91" i="542" a="1"/>
  <c r="J91" i="542" s="1"/>
  <c r="H91" i="542"/>
  <c r="V90" i="542"/>
  <c r="W90" i="542" s="1"/>
  <c r="N90" i="542"/>
  <c r="K90" i="542" a="1"/>
  <c r="K90" i="542" s="1"/>
  <c r="M90" i="542" s="1"/>
  <c r="J90" i="542" a="1"/>
  <c r="J90" i="542" s="1"/>
  <c r="H90" i="542"/>
  <c r="V89" i="542"/>
  <c r="W89" i="542" s="1"/>
  <c r="N89" i="542"/>
  <c r="K89" i="542" a="1"/>
  <c r="K89" i="542" s="1"/>
  <c r="M89" i="542" s="1"/>
  <c r="J89" i="542" a="1"/>
  <c r="J89" i="542" s="1"/>
  <c r="H89" i="542"/>
  <c r="V88" i="542"/>
  <c r="W88" i="542" s="1"/>
  <c r="N88" i="542"/>
  <c r="K88" i="542"/>
  <c r="M88" i="542" s="1"/>
  <c r="K88" i="542" a="1"/>
  <c r="J88" i="542"/>
  <c r="J88" i="542" a="1"/>
  <c r="H88" i="542"/>
  <c r="V87" i="542"/>
  <c r="N87" i="542"/>
  <c r="K87" i="542" a="1"/>
  <c r="K87" i="542" s="1"/>
  <c r="J87" i="542" a="1"/>
  <c r="J87" i="542" s="1"/>
  <c r="H87" i="542"/>
  <c r="AA86" i="542"/>
  <c r="Z86" i="542"/>
  <c r="Y86" i="542"/>
  <c r="X86" i="542"/>
  <c r="U86" i="542"/>
  <c r="T86" i="542"/>
  <c r="S86" i="542"/>
  <c r="R86" i="542"/>
  <c r="Q86" i="542"/>
  <c r="P86" i="542"/>
  <c r="O86" i="542"/>
  <c r="R167" i="542" s="1"/>
  <c r="I86" i="542"/>
  <c r="G86" i="542"/>
  <c r="C525" i="542" s="1"/>
  <c r="K85" i="542" a="1"/>
  <c r="K85" i="542" s="1"/>
  <c r="H85" i="542"/>
  <c r="K84" i="542"/>
  <c r="K84" i="542" a="1"/>
  <c r="H84" i="542"/>
  <c r="K83" i="542" a="1"/>
  <c r="K83" i="542" s="1"/>
  <c r="H83" i="542"/>
  <c r="K82" i="542" a="1"/>
  <c r="K82" i="542" s="1"/>
  <c r="H82" i="542"/>
  <c r="K81" i="542" a="1"/>
  <c r="K81" i="542" s="1"/>
  <c r="H81" i="542"/>
  <c r="K80" i="542" a="1"/>
  <c r="K80" i="542" s="1"/>
  <c r="H80" i="542"/>
  <c r="K79" i="542" a="1"/>
  <c r="K79" i="542" s="1"/>
  <c r="M79" i="542" s="1"/>
  <c r="H79" i="542"/>
  <c r="K78" i="542" a="1"/>
  <c r="K78" i="542" s="1"/>
  <c r="M78" i="542" s="1"/>
  <c r="H78" i="542"/>
  <c r="K77" i="542" a="1"/>
  <c r="K77" i="542" s="1"/>
  <c r="M77" i="542" s="1"/>
  <c r="H77" i="542"/>
  <c r="K76" i="542" a="1"/>
  <c r="K76" i="542" s="1"/>
  <c r="M76" i="542" s="1"/>
  <c r="H76" i="542"/>
  <c r="W75" i="542"/>
  <c r="V75" i="542"/>
  <c r="N75" i="542"/>
  <c r="K75" i="542" a="1"/>
  <c r="K75" i="542" s="1"/>
  <c r="M75" i="542" s="1"/>
  <c r="J75" i="542" a="1"/>
  <c r="J75" i="542" s="1"/>
  <c r="H75" i="542"/>
  <c r="V74" i="542"/>
  <c r="W74" i="542" s="1"/>
  <c r="N74" i="542"/>
  <c r="K74" i="542" a="1"/>
  <c r="K74" i="542" s="1"/>
  <c r="M74" i="542" s="1"/>
  <c r="J74" i="542" a="1"/>
  <c r="J74" i="542" s="1"/>
  <c r="H74" i="542"/>
  <c r="V73" i="542"/>
  <c r="W73" i="542" s="1"/>
  <c r="N73" i="542"/>
  <c r="K73" i="542"/>
  <c r="M73" i="542" s="1"/>
  <c r="K73" i="542" a="1"/>
  <c r="J73" i="542"/>
  <c r="J73" i="542" a="1"/>
  <c r="H73" i="542"/>
  <c r="V72" i="542"/>
  <c r="W72" i="542" s="1"/>
  <c r="N72" i="542"/>
  <c r="K72" i="542" a="1"/>
  <c r="K72" i="542" s="1"/>
  <c r="M72" i="542" s="1"/>
  <c r="J72" i="542" a="1"/>
  <c r="J72" i="542" s="1"/>
  <c r="H72" i="542"/>
  <c r="H71" i="542"/>
  <c r="V70" i="542"/>
  <c r="W70" i="542" s="1"/>
  <c r="N70" i="542"/>
  <c r="K70" i="542" a="1"/>
  <c r="K70" i="542" s="1"/>
  <c r="M70" i="542" s="1"/>
  <c r="J70" i="542" a="1"/>
  <c r="J70" i="542" s="1"/>
  <c r="H70" i="542"/>
  <c r="V69" i="542"/>
  <c r="W69" i="542" s="1"/>
  <c r="N69" i="542"/>
  <c r="K69" i="542" a="1"/>
  <c r="K69" i="542" s="1"/>
  <c r="M69" i="542" s="1"/>
  <c r="J69" i="542" a="1"/>
  <c r="J69" i="542" s="1"/>
  <c r="H69" i="542"/>
  <c r="K68" i="542" a="1"/>
  <c r="K68" i="542" s="1"/>
  <c r="H68" i="542"/>
  <c r="K67" i="542"/>
  <c r="K67" i="542" a="1"/>
  <c r="H67" i="542"/>
  <c r="V66" i="542"/>
  <c r="W66" i="542" s="1"/>
  <c r="N66" i="542"/>
  <c r="K66" i="542" a="1"/>
  <c r="K66" i="542" s="1"/>
  <c r="M66" i="542" s="1"/>
  <c r="J66" i="542" a="1"/>
  <c r="J66" i="542" s="1"/>
  <c r="H66" i="542"/>
  <c r="V65" i="542"/>
  <c r="W65" i="542" s="1"/>
  <c r="N65" i="542"/>
  <c r="K65" i="542" a="1"/>
  <c r="K65" i="542" s="1"/>
  <c r="M65" i="542" s="1"/>
  <c r="J65" i="542" a="1"/>
  <c r="J65" i="542" s="1"/>
  <c r="H65" i="542"/>
  <c r="V64" i="542"/>
  <c r="W64" i="542" s="1"/>
  <c r="N64" i="542"/>
  <c r="K64" i="542" a="1"/>
  <c r="K64" i="542" s="1"/>
  <c r="M64" i="542" s="1"/>
  <c r="J64" i="542" a="1"/>
  <c r="J64" i="542" s="1"/>
  <c r="H64" i="542"/>
  <c r="V63" i="542"/>
  <c r="W63" i="542" s="1"/>
  <c r="N63" i="542"/>
  <c r="K63" i="542"/>
  <c r="M63" i="542" s="1"/>
  <c r="K63" i="542" a="1"/>
  <c r="J63" i="542"/>
  <c r="J63" i="542" a="1"/>
  <c r="H63" i="542"/>
  <c r="V62" i="542"/>
  <c r="W62" i="542" s="1"/>
  <c r="N62" i="542"/>
  <c r="K62" i="542" a="1"/>
  <c r="K62" i="542" s="1"/>
  <c r="M62" i="542" s="1"/>
  <c r="J62" i="542" a="1"/>
  <c r="J62" i="542" s="1"/>
  <c r="H62" i="542"/>
  <c r="W61" i="542"/>
  <c r="V61" i="542"/>
  <c r="N61" i="542"/>
  <c r="K61" i="542" a="1"/>
  <c r="K61" i="542" s="1"/>
  <c r="M61" i="542" s="1"/>
  <c r="J61" i="542" a="1"/>
  <c r="J61" i="542" s="1"/>
  <c r="H61" i="542"/>
  <c r="V60" i="542"/>
  <c r="W60" i="542" s="1"/>
  <c r="N60" i="542"/>
  <c r="K60" i="542" a="1"/>
  <c r="K60" i="542" s="1"/>
  <c r="M60" i="542" s="1"/>
  <c r="J60" i="542" a="1"/>
  <c r="J60" i="542" s="1"/>
  <c r="H60" i="542"/>
  <c r="V59" i="542"/>
  <c r="W59" i="542" s="1"/>
  <c r="N59" i="542"/>
  <c r="K59" i="542"/>
  <c r="M59" i="542" s="1"/>
  <c r="K59" i="542" a="1"/>
  <c r="J59" i="542"/>
  <c r="J59" i="542" a="1"/>
  <c r="H59" i="542"/>
  <c r="V58" i="542"/>
  <c r="W58" i="542" s="1"/>
  <c r="N58" i="542"/>
  <c r="K58" i="542" a="1"/>
  <c r="K58" i="542" s="1"/>
  <c r="M58" i="542" s="1"/>
  <c r="J58" i="542" a="1"/>
  <c r="J58" i="542" s="1"/>
  <c r="H58" i="542"/>
  <c r="V57" i="542"/>
  <c r="W57" i="542" s="1"/>
  <c r="N57" i="542"/>
  <c r="K57" i="542" a="1"/>
  <c r="K57" i="542" s="1"/>
  <c r="M57" i="542" s="1"/>
  <c r="J57" i="542" a="1"/>
  <c r="J57" i="542" s="1"/>
  <c r="H57" i="542"/>
  <c r="K56" i="542"/>
  <c r="M56" i="542" s="1"/>
  <c r="K56" i="542" a="1"/>
  <c r="H56" i="542"/>
  <c r="K55" i="542" a="1"/>
  <c r="K55" i="542" s="1"/>
  <c r="M55" i="542" s="1"/>
  <c r="H55" i="542"/>
  <c r="K54" i="542" a="1"/>
  <c r="K54" i="542" s="1"/>
  <c r="M54" i="542" s="1"/>
  <c r="H54" i="542"/>
  <c r="K53" i="542" a="1"/>
  <c r="K53" i="542" s="1"/>
  <c r="M53" i="542" s="1"/>
  <c r="H53" i="542"/>
  <c r="N52" i="542"/>
  <c r="K52" i="542"/>
  <c r="M52" i="542" s="1"/>
  <c r="K52" i="542" a="1"/>
  <c r="H52" i="542"/>
  <c r="N51" i="542"/>
  <c r="K51" i="542" a="1"/>
  <c r="K51" i="542" s="1"/>
  <c r="M51" i="542" s="1"/>
  <c r="H51" i="542"/>
  <c r="N50" i="542"/>
  <c r="K50" i="542" a="1"/>
  <c r="K50" i="542" s="1"/>
  <c r="M50" i="542" s="1"/>
  <c r="H50" i="542"/>
  <c r="N49" i="542"/>
  <c r="K49" i="542" a="1"/>
  <c r="K49" i="542" s="1"/>
  <c r="M49" i="542" s="1"/>
  <c r="H49" i="542"/>
  <c r="V48" i="542"/>
  <c r="W48" i="542" s="1"/>
  <c r="N48" i="542"/>
  <c r="K48" i="542" a="1"/>
  <c r="K48" i="542" s="1"/>
  <c r="M48" i="542" s="1"/>
  <c r="J48" i="542" a="1"/>
  <c r="J48" i="542" s="1"/>
  <c r="H48" i="542"/>
  <c r="V47" i="542"/>
  <c r="W47" i="542" s="1"/>
  <c r="N47" i="542"/>
  <c r="K47" i="542" a="1"/>
  <c r="K47" i="542" s="1"/>
  <c r="M47" i="542" s="1"/>
  <c r="J47" i="542" a="1"/>
  <c r="J47" i="542" s="1"/>
  <c r="H47" i="542"/>
  <c r="V46" i="542"/>
  <c r="W46" i="542" s="1"/>
  <c r="N46" i="542"/>
  <c r="K46" i="542"/>
  <c r="M46" i="542" s="1"/>
  <c r="K46" i="542" a="1"/>
  <c r="J46" i="542"/>
  <c r="J46" i="542" a="1"/>
  <c r="H46" i="542"/>
  <c r="V45" i="542"/>
  <c r="W45" i="542" s="1"/>
  <c r="N45" i="542"/>
  <c r="K45" i="542" a="1"/>
  <c r="K45" i="542" s="1"/>
  <c r="M45" i="542" s="1"/>
  <c r="J45" i="542" a="1"/>
  <c r="J45" i="542" s="1"/>
  <c r="H45" i="542"/>
  <c r="V44" i="542"/>
  <c r="W44" i="542" s="1"/>
  <c r="N44" i="542"/>
  <c r="K44" i="542" a="1"/>
  <c r="K44" i="542" s="1"/>
  <c r="M44" i="542" s="1"/>
  <c r="J44" i="542" a="1"/>
  <c r="J44" i="542" s="1"/>
  <c r="H44" i="542"/>
  <c r="V43" i="542"/>
  <c r="W43" i="542" s="1"/>
  <c r="N43" i="542"/>
  <c r="K43" i="542" a="1"/>
  <c r="K43" i="542" s="1"/>
  <c r="M43" i="542" s="1"/>
  <c r="J43" i="542" a="1"/>
  <c r="J43" i="542" s="1"/>
  <c r="H43" i="542"/>
  <c r="V42" i="542"/>
  <c r="W42" i="542" s="1"/>
  <c r="N42" i="542"/>
  <c r="K42" i="542"/>
  <c r="M42" i="542" s="1"/>
  <c r="K42" i="542" a="1"/>
  <c r="J42" i="542"/>
  <c r="J42" i="542" a="1"/>
  <c r="H42" i="542"/>
  <c r="V41" i="542"/>
  <c r="W41" i="542" s="1"/>
  <c r="N41" i="542"/>
  <c r="K41" i="542" a="1"/>
  <c r="K41" i="542" s="1"/>
  <c r="M41" i="542" s="1"/>
  <c r="J41" i="542" a="1"/>
  <c r="J41" i="542" s="1"/>
  <c r="H41" i="542"/>
  <c r="W40" i="542"/>
  <c r="V40" i="542"/>
  <c r="N40" i="542"/>
  <c r="K40" i="542" a="1"/>
  <c r="K40" i="542" s="1"/>
  <c r="M40" i="542" s="1"/>
  <c r="J40" i="542" a="1"/>
  <c r="J40" i="542" s="1"/>
  <c r="H40" i="542"/>
  <c r="V39" i="542"/>
  <c r="W39" i="542" s="1"/>
  <c r="N39" i="542"/>
  <c r="K39" i="542" a="1"/>
  <c r="K39" i="542" s="1"/>
  <c r="M39" i="542" s="1"/>
  <c r="J39" i="542" a="1"/>
  <c r="J39" i="542" s="1"/>
  <c r="H39" i="542"/>
  <c r="V38" i="542"/>
  <c r="W38" i="542" s="1"/>
  <c r="N38" i="542"/>
  <c r="K38" i="542"/>
  <c r="M38" i="542" s="1"/>
  <c r="K38" i="542" a="1"/>
  <c r="J38" i="542"/>
  <c r="J38" i="542" a="1"/>
  <c r="H38" i="542"/>
  <c r="V37" i="542"/>
  <c r="W37" i="542" s="1"/>
  <c r="N37" i="542"/>
  <c r="K37" i="542" a="1"/>
  <c r="K37" i="542" s="1"/>
  <c r="M37" i="542" s="1"/>
  <c r="J37" i="542" a="1"/>
  <c r="J37" i="542" s="1"/>
  <c r="H37" i="542"/>
  <c r="H36" i="542"/>
  <c r="H35" i="542"/>
  <c r="H34" i="542"/>
  <c r="V33" i="542"/>
  <c r="W33" i="542" s="1"/>
  <c r="N33" i="542"/>
  <c r="K33" i="542" a="1"/>
  <c r="K33" i="542" s="1"/>
  <c r="M33" i="542" s="1"/>
  <c r="J33" i="542" a="1"/>
  <c r="J33" i="542" s="1"/>
  <c r="H33" i="542"/>
  <c r="V32" i="542"/>
  <c r="W32" i="542" s="1"/>
  <c r="N32" i="542"/>
  <c r="K32" i="542"/>
  <c r="M32" i="542" s="1"/>
  <c r="K32" i="542" a="1"/>
  <c r="J32" i="542"/>
  <c r="J32" i="542" a="1"/>
  <c r="H32" i="542"/>
  <c r="V31" i="542"/>
  <c r="W31" i="542" s="1"/>
  <c r="N31" i="542"/>
  <c r="K31" i="542" a="1"/>
  <c r="K31" i="542" s="1"/>
  <c r="M31" i="542" s="1"/>
  <c r="J31" i="542" a="1"/>
  <c r="J31" i="542" s="1"/>
  <c r="H31" i="542"/>
  <c r="K30" i="542" a="1"/>
  <c r="K30" i="542" s="1"/>
  <c r="H30" i="542"/>
  <c r="V29" i="542"/>
  <c r="N29" i="542"/>
  <c r="N86" i="542" s="1"/>
  <c r="K29" i="542" a="1"/>
  <c r="K29" i="542" s="1"/>
  <c r="J29" i="542" a="1"/>
  <c r="J29" i="542" s="1"/>
  <c r="H29" i="542"/>
  <c r="AA28" i="542"/>
  <c r="AA164" i="542" s="1"/>
  <c r="Z28" i="542"/>
  <c r="Z164" i="542" s="1"/>
  <c r="Y28" i="542"/>
  <c r="Y164" i="542" s="1"/>
  <c r="X28" i="542"/>
  <c r="X164" i="542" s="1"/>
  <c r="U28" i="542"/>
  <c r="U164" i="542" s="1"/>
  <c r="T28" i="542"/>
  <c r="T164" i="542" s="1"/>
  <c r="S28" i="542"/>
  <c r="S164" i="542" s="1"/>
  <c r="R28" i="542"/>
  <c r="R164" i="542" s="1"/>
  <c r="Q28" i="542"/>
  <c r="Q164" i="542" s="1"/>
  <c r="P28" i="542"/>
  <c r="X167" i="542" s="1"/>
  <c r="O28" i="542"/>
  <c r="O164" i="542" s="1"/>
  <c r="I28" i="542"/>
  <c r="I164" i="542" s="1"/>
  <c r="B172" i="542" s="1"/>
  <c r="G28" i="542"/>
  <c r="C524" i="542" s="1"/>
  <c r="V27" i="542"/>
  <c r="W27" i="542" s="1"/>
  <c r="N27" i="542"/>
  <c r="K27" i="542" a="1"/>
  <c r="K27" i="542" s="1"/>
  <c r="M27" i="542" s="1"/>
  <c r="J27" i="542" a="1"/>
  <c r="J27" i="542" s="1"/>
  <c r="H27" i="542"/>
  <c r="V26" i="542"/>
  <c r="W26" i="542" s="1"/>
  <c r="N26" i="542"/>
  <c r="K26" i="542"/>
  <c r="M26" i="542" s="1"/>
  <c r="K26" i="542" a="1"/>
  <c r="J26" i="542"/>
  <c r="J26" i="542" a="1"/>
  <c r="H26" i="542"/>
  <c r="K25" i="542" a="1"/>
  <c r="K25" i="542" s="1"/>
  <c r="M25" i="542" s="1"/>
  <c r="J25" i="542" a="1"/>
  <c r="J25" i="542" s="1"/>
  <c r="H25" i="542"/>
  <c r="K24" i="542"/>
  <c r="M24" i="542" s="1"/>
  <c r="K24" i="542" a="1"/>
  <c r="J24" i="542"/>
  <c r="J24" i="542" a="1"/>
  <c r="H24" i="542"/>
  <c r="K23" i="542" a="1"/>
  <c r="K23" i="542" s="1"/>
  <c r="M23" i="542" s="1"/>
  <c r="J23" i="542" a="1"/>
  <c r="J23" i="542" s="1"/>
  <c r="H23" i="542"/>
  <c r="K22" i="542" a="1"/>
  <c r="K22" i="542" s="1"/>
  <c r="M22" i="542" s="1"/>
  <c r="J22" i="542" a="1"/>
  <c r="J22" i="542" s="1"/>
  <c r="H22" i="542"/>
  <c r="V21" i="542"/>
  <c r="W21" i="542" s="1"/>
  <c r="N21" i="542"/>
  <c r="K21" i="542" a="1"/>
  <c r="K21" i="542" s="1"/>
  <c r="M21" i="542" s="1"/>
  <c r="J21" i="542" a="1"/>
  <c r="J21" i="542" s="1"/>
  <c r="H21" i="542"/>
  <c r="V20" i="542"/>
  <c r="W20" i="542" s="1"/>
  <c r="N20" i="542"/>
  <c r="K20" i="542" a="1"/>
  <c r="K20" i="542" s="1"/>
  <c r="M20" i="542" s="1"/>
  <c r="J20" i="542" a="1"/>
  <c r="J20" i="542" s="1"/>
  <c r="H20" i="542"/>
  <c r="V19" i="542"/>
  <c r="W19" i="542" s="1"/>
  <c r="N19" i="542"/>
  <c r="K19" i="542" a="1"/>
  <c r="K19" i="542" s="1"/>
  <c r="M19" i="542" s="1"/>
  <c r="H19" i="542"/>
  <c r="N18" i="542"/>
  <c r="K18" i="542" a="1"/>
  <c r="K18" i="542" s="1"/>
  <c r="M18" i="542" s="1"/>
  <c r="J18" i="542" a="1"/>
  <c r="J18" i="542" s="1"/>
  <c r="H18" i="542"/>
  <c r="N17" i="542"/>
  <c r="K17" i="542" a="1"/>
  <c r="K17" i="542" s="1"/>
  <c r="M17" i="542" s="1"/>
  <c r="J17" i="542" a="1"/>
  <c r="J17" i="542" s="1"/>
  <c r="H17" i="542"/>
  <c r="W16" i="542"/>
  <c r="V16" i="542"/>
  <c r="N16" i="542"/>
  <c r="K16" i="542" a="1"/>
  <c r="K16" i="542" s="1"/>
  <c r="M16" i="542" s="1"/>
  <c r="J16" i="542" a="1"/>
  <c r="J16" i="542" s="1"/>
  <c r="H16" i="542"/>
  <c r="V15" i="542"/>
  <c r="W15" i="542" s="1"/>
  <c r="N15" i="542"/>
  <c r="K15" i="542" a="1"/>
  <c r="K15" i="542" s="1"/>
  <c r="M15" i="542" s="1"/>
  <c r="J15" i="542" a="1"/>
  <c r="J15" i="542" s="1"/>
  <c r="H15" i="542"/>
  <c r="N14" i="542"/>
  <c r="K14" i="542"/>
  <c r="M14" i="542" s="1"/>
  <c r="K14" i="542" a="1"/>
  <c r="H14" i="542"/>
  <c r="N13" i="542"/>
  <c r="K13" i="542" a="1"/>
  <c r="K13" i="542" s="1"/>
  <c r="M13" i="542" s="1"/>
  <c r="H13" i="542"/>
  <c r="V12" i="542"/>
  <c r="W12" i="542" s="1"/>
  <c r="N12" i="542"/>
  <c r="K12" i="542" a="1"/>
  <c r="K12" i="542" s="1"/>
  <c r="M12" i="542" s="1"/>
  <c r="J12" i="542" a="1"/>
  <c r="J12" i="542" s="1"/>
  <c r="H12" i="542"/>
  <c r="V11" i="542"/>
  <c r="W11" i="542" s="1"/>
  <c r="N11" i="542"/>
  <c r="K11" i="542" a="1"/>
  <c r="K11" i="542" s="1"/>
  <c r="M11" i="542" s="1"/>
  <c r="J11" i="542" a="1"/>
  <c r="J11" i="542" s="1"/>
  <c r="H11" i="542"/>
  <c r="V10" i="542"/>
  <c r="W10" i="542" s="1"/>
  <c r="N10" i="542"/>
  <c r="K10" i="542"/>
  <c r="M10" i="542" s="1"/>
  <c r="K10" i="542" a="1"/>
  <c r="J10" i="542"/>
  <c r="J10" i="542" a="1"/>
  <c r="H10" i="542"/>
  <c r="V9" i="542"/>
  <c r="W9" i="542" s="1"/>
  <c r="N9" i="542"/>
  <c r="K9" i="542" a="1"/>
  <c r="K9" i="542" s="1"/>
  <c r="M9" i="542" s="1"/>
  <c r="J9" i="542" a="1"/>
  <c r="J9" i="542" s="1"/>
  <c r="H9" i="542"/>
  <c r="V8" i="542"/>
  <c r="W8" i="542" s="1"/>
  <c r="N8" i="542"/>
  <c r="K8" i="542" a="1"/>
  <c r="K8" i="542" s="1"/>
  <c r="M8" i="542" s="1"/>
  <c r="J8" i="542" a="1"/>
  <c r="J8" i="542" s="1"/>
  <c r="H8" i="542"/>
  <c r="V7" i="542"/>
  <c r="N7" i="542"/>
  <c r="K7" i="542" a="1"/>
  <c r="K7" i="542" s="1"/>
  <c r="J7" i="542" a="1"/>
  <c r="J7" i="542" s="1"/>
  <c r="H7" i="542"/>
  <c r="P536" i="541"/>
  <c r="O536" i="541"/>
  <c r="N536" i="541"/>
  <c r="M536" i="541"/>
  <c r="L536" i="541"/>
  <c r="K536" i="541"/>
  <c r="I536" i="541"/>
  <c r="H536" i="541"/>
  <c r="G536" i="541"/>
  <c r="F536" i="541"/>
  <c r="E536" i="541"/>
  <c r="G517" i="541"/>
  <c r="N517" i="541" s="1"/>
  <c r="X515" i="541"/>
  <c r="X514" i="541"/>
  <c r="X513" i="541"/>
  <c r="G513" i="541"/>
  <c r="C513" i="541"/>
  <c r="X512" i="541"/>
  <c r="I512" i="541"/>
  <c r="E512" i="541"/>
  <c r="K512" i="541" s="1"/>
  <c r="M512" i="541" s="1"/>
  <c r="X511" i="541"/>
  <c r="I511" i="541"/>
  <c r="E511" i="541"/>
  <c r="K511" i="541" s="1"/>
  <c r="M511" i="541" s="1"/>
  <c r="I510" i="541"/>
  <c r="E510" i="541"/>
  <c r="K510" i="541" s="1"/>
  <c r="M510" i="541" s="1"/>
  <c r="I509" i="541"/>
  <c r="I513" i="541" s="1"/>
  <c r="E509" i="541"/>
  <c r="E513" i="541" s="1"/>
  <c r="AA506" i="541"/>
  <c r="Z506" i="541"/>
  <c r="Y506" i="541"/>
  <c r="X506" i="541"/>
  <c r="U506" i="541"/>
  <c r="T506" i="541"/>
  <c r="S506" i="541"/>
  <c r="R506" i="541"/>
  <c r="Q506" i="541"/>
  <c r="P506" i="541"/>
  <c r="O506" i="541"/>
  <c r="R514" i="541" s="1"/>
  <c r="I506" i="541"/>
  <c r="G506" i="541"/>
  <c r="J506" i="541" s="1" a="1"/>
  <c r="J506" i="541" s="1"/>
  <c r="H505" i="541"/>
  <c r="H504" i="541"/>
  <c r="H503" i="541"/>
  <c r="D502" i="541"/>
  <c r="H502" i="541" s="1"/>
  <c r="V501" i="541"/>
  <c r="W501" i="541" s="1"/>
  <c r="N501" i="541"/>
  <c r="K501" i="541" a="1"/>
  <c r="K501" i="541" s="1"/>
  <c r="M501" i="541" s="1"/>
  <c r="J501" i="541" a="1"/>
  <c r="J501" i="541" s="1"/>
  <c r="H501" i="541"/>
  <c r="H500" i="541"/>
  <c r="H499" i="541"/>
  <c r="V498" i="541"/>
  <c r="W498" i="541" s="1"/>
  <c r="N498" i="541"/>
  <c r="K498" i="541"/>
  <c r="M498" i="541" s="1"/>
  <c r="K498" i="541" a="1"/>
  <c r="J498" i="541"/>
  <c r="J498" i="541" a="1"/>
  <c r="H498" i="541"/>
  <c r="V497" i="541"/>
  <c r="W497" i="541" s="1"/>
  <c r="N497" i="541"/>
  <c r="K497" i="541" a="1"/>
  <c r="K497" i="541" s="1"/>
  <c r="M497" i="541" s="1"/>
  <c r="J497" i="541" a="1"/>
  <c r="J497" i="541" s="1"/>
  <c r="H497" i="541"/>
  <c r="H496" i="541"/>
  <c r="H495" i="541"/>
  <c r="V494" i="541"/>
  <c r="W494" i="541" s="1"/>
  <c r="N494" i="541"/>
  <c r="K494" i="541" a="1"/>
  <c r="K494" i="541" s="1"/>
  <c r="M494" i="541" s="1"/>
  <c r="J494" i="541" a="1"/>
  <c r="J494" i="541" s="1"/>
  <c r="H494" i="541"/>
  <c r="V493" i="541"/>
  <c r="W493" i="541" s="1"/>
  <c r="N493" i="541"/>
  <c r="K493" i="541" a="1"/>
  <c r="K493" i="541" s="1"/>
  <c r="M493" i="541" s="1"/>
  <c r="J493" i="541" a="1"/>
  <c r="J493" i="541" s="1"/>
  <c r="H493" i="541"/>
  <c r="V492" i="541"/>
  <c r="W492" i="541" s="1"/>
  <c r="N492" i="541"/>
  <c r="K492" i="541"/>
  <c r="M492" i="541" s="1"/>
  <c r="K492" i="541" a="1"/>
  <c r="J492" i="541"/>
  <c r="J492" i="541" a="1"/>
  <c r="H492" i="541"/>
  <c r="V491" i="541"/>
  <c r="N491" i="541"/>
  <c r="N506" i="541" s="1"/>
  <c r="K491" i="541" a="1"/>
  <c r="K491" i="541" s="1"/>
  <c r="J491" i="541" a="1"/>
  <c r="J491" i="541" s="1"/>
  <c r="H491" i="541"/>
  <c r="H506" i="541" s="1"/>
  <c r="AA490" i="541"/>
  <c r="Z490" i="541"/>
  <c r="Y490" i="541"/>
  <c r="X490" i="541"/>
  <c r="U490" i="541"/>
  <c r="T490" i="541"/>
  <c r="S490" i="541"/>
  <c r="Q490" i="541"/>
  <c r="P490" i="541"/>
  <c r="O490" i="541"/>
  <c r="I490" i="541"/>
  <c r="G490" i="541"/>
  <c r="J490" i="541" s="1" a="1"/>
  <c r="J490" i="541" s="1"/>
  <c r="V489" i="541"/>
  <c r="W489" i="541" s="1"/>
  <c r="N489" i="541"/>
  <c r="K489" i="541" a="1"/>
  <c r="K489" i="541" s="1"/>
  <c r="M489" i="541" s="1"/>
  <c r="J489" i="541" a="1"/>
  <c r="J489" i="541" s="1"/>
  <c r="H489" i="541"/>
  <c r="H487" i="541"/>
  <c r="H486" i="541"/>
  <c r="H485" i="541"/>
  <c r="V484" i="541"/>
  <c r="W484" i="541" s="1"/>
  <c r="N484" i="541"/>
  <c r="K484" i="541" a="1"/>
  <c r="K484" i="541" s="1"/>
  <c r="M484" i="541" s="1"/>
  <c r="J484" i="541" a="1"/>
  <c r="J484" i="541" s="1"/>
  <c r="H484" i="541"/>
  <c r="V483" i="541"/>
  <c r="W483" i="541" s="1"/>
  <c r="N483" i="541"/>
  <c r="K483" i="541" a="1"/>
  <c r="K483" i="541" s="1"/>
  <c r="M483" i="541" s="1"/>
  <c r="J483" i="541" a="1"/>
  <c r="J483" i="541" s="1"/>
  <c r="H483" i="541"/>
  <c r="V482" i="541"/>
  <c r="W482" i="541" s="1"/>
  <c r="N482" i="541"/>
  <c r="K482" i="541"/>
  <c r="M482" i="541" s="1"/>
  <c r="K482" i="541" a="1"/>
  <c r="J482" i="541"/>
  <c r="J482" i="541" a="1"/>
  <c r="H482" i="541"/>
  <c r="V481" i="541"/>
  <c r="W481" i="541" s="1"/>
  <c r="N481" i="541"/>
  <c r="K481" i="541" a="1"/>
  <c r="K481" i="541" s="1"/>
  <c r="M481" i="541" s="1"/>
  <c r="J481" i="541" a="1"/>
  <c r="J481" i="541" s="1"/>
  <c r="H481" i="541"/>
  <c r="V480" i="541"/>
  <c r="V490" i="541" s="1"/>
  <c r="W490" i="541" s="1"/>
  <c r="N480" i="541"/>
  <c r="N490" i="541" s="1"/>
  <c r="K480" i="541" a="1"/>
  <c r="K480" i="541" s="1"/>
  <c r="M480" i="541" s="1"/>
  <c r="J480" i="541" a="1"/>
  <c r="J480" i="541" s="1"/>
  <c r="H480" i="541"/>
  <c r="H490" i="541" s="1"/>
  <c r="AA479" i="541"/>
  <c r="Z479" i="541"/>
  <c r="Y479" i="541"/>
  <c r="X479" i="541"/>
  <c r="U479" i="541"/>
  <c r="T479" i="541"/>
  <c r="S479" i="541"/>
  <c r="Q479" i="541"/>
  <c r="P479" i="541"/>
  <c r="O479" i="541"/>
  <c r="R512" i="541" s="1"/>
  <c r="I479" i="541"/>
  <c r="G479" i="541"/>
  <c r="J479" i="541" s="1" a="1"/>
  <c r="J479" i="541" s="1"/>
  <c r="V478" i="541"/>
  <c r="W478" i="541" s="1"/>
  <c r="N478" i="541"/>
  <c r="K478" i="541" a="1"/>
  <c r="K478" i="541" s="1"/>
  <c r="M478" i="541" s="1"/>
  <c r="J478" i="541" a="1"/>
  <c r="J478" i="541" s="1"/>
  <c r="H478" i="541"/>
  <c r="V477" i="541"/>
  <c r="W477" i="541" s="1"/>
  <c r="N477" i="541"/>
  <c r="K477" i="541"/>
  <c r="M477" i="541" s="1"/>
  <c r="K477" i="541" a="1"/>
  <c r="J477" i="541"/>
  <c r="J477" i="541" a="1"/>
  <c r="H477" i="541"/>
  <c r="V476" i="541"/>
  <c r="W476" i="541" s="1"/>
  <c r="N476" i="541"/>
  <c r="K476" i="541" a="1"/>
  <c r="K476" i="541" s="1"/>
  <c r="M476" i="541" s="1"/>
  <c r="J476" i="541" a="1"/>
  <c r="J476" i="541" s="1"/>
  <c r="H476" i="541"/>
  <c r="V475" i="541"/>
  <c r="W475" i="541" s="1"/>
  <c r="N475" i="541"/>
  <c r="K475" i="541"/>
  <c r="M475" i="541" s="1"/>
  <c r="K475" i="541" a="1"/>
  <c r="J475" i="541"/>
  <c r="J475" i="541" a="1"/>
  <c r="H475" i="541"/>
  <c r="V474" i="541"/>
  <c r="W474" i="541" s="1"/>
  <c r="N474" i="541"/>
  <c r="K474" i="541" a="1"/>
  <c r="K474" i="541" s="1"/>
  <c r="M474" i="541" s="1"/>
  <c r="J474" i="541" a="1"/>
  <c r="J474" i="541" s="1"/>
  <c r="H474" i="541"/>
  <c r="V473" i="541"/>
  <c r="W473" i="541" s="1"/>
  <c r="N473" i="541"/>
  <c r="K473" i="541" a="1"/>
  <c r="K473" i="541" s="1"/>
  <c r="M473" i="541" s="1"/>
  <c r="J473" i="541" a="1"/>
  <c r="J473" i="541" s="1"/>
  <c r="H473" i="541"/>
  <c r="V472" i="541"/>
  <c r="W472" i="541" s="1"/>
  <c r="N472" i="541"/>
  <c r="M472" i="541"/>
  <c r="K472" i="541" a="1"/>
  <c r="K472" i="541" s="1"/>
  <c r="J472" i="541" a="1"/>
  <c r="J472" i="541" s="1"/>
  <c r="H472" i="541"/>
  <c r="V471" i="541"/>
  <c r="W471" i="541" s="1"/>
  <c r="N471" i="541"/>
  <c r="K471" i="541" a="1"/>
  <c r="K471" i="541" s="1"/>
  <c r="M471" i="541" s="1"/>
  <c r="J471" i="541" a="1"/>
  <c r="J471" i="541" s="1"/>
  <c r="H471" i="541"/>
  <c r="V470" i="541"/>
  <c r="W470" i="541" s="1"/>
  <c r="N470" i="541"/>
  <c r="M470" i="541"/>
  <c r="K470" i="541" a="1"/>
  <c r="K470" i="541" s="1"/>
  <c r="J470" i="541" a="1"/>
  <c r="J470" i="541" s="1"/>
  <c r="H470" i="541"/>
  <c r="V469" i="541"/>
  <c r="W469" i="541" s="1"/>
  <c r="N469" i="541"/>
  <c r="K469" i="541" a="1"/>
  <c r="K469" i="541" s="1"/>
  <c r="M469" i="541" s="1"/>
  <c r="J469" i="541" a="1"/>
  <c r="J469" i="541" s="1"/>
  <c r="H469" i="541"/>
  <c r="V468" i="541"/>
  <c r="W468" i="541" s="1"/>
  <c r="N468" i="541"/>
  <c r="M468" i="541"/>
  <c r="K468" i="541" a="1"/>
  <c r="K468" i="541" s="1"/>
  <c r="J468" i="541" a="1"/>
  <c r="J468" i="541" s="1"/>
  <c r="H468" i="541"/>
  <c r="V467" i="541"/>
  <c r="W467" i="541" s="1"/>
  <c r="N467" i="541"/>
  <c r="K467" i="541" a="1"/>
  <c r="K467" i="541" s="1"/>
  <c r="M467" i="541" s="1"/>
  <c r="J467" i="541" a="1"/>
  <c r="J467" i="541" s="1"/>
  <c r="H467" i="541"/>
  <c r="V466" i="541"/>
  <c r="W466" i="541" s="1"/>
  <c r="N466" i="541"/>
  <c r="M466" i="541"/>
  <c r="K466" i="541" a="1"/>
  <c r="K466" i="541" s="1"/>
  <c r="J466" i="541" a="1"/>
  <c r="J466" i="541" s="1"/>
  <c r="H466" i="541"/>
  <c r="V465" i="541"/>
  <c r="W465" i="541" s="1"/>
  <c r="N465" i="541"/>
  <c r="K465" i="541" a="1"/>
  <c r="K465" i="541" s="1"/>
  <c r="M465" i="541" s="1"/>
  <c r="J465" i="541" a="1"/>
  <c r="J465" i="541" s="1"/>
  <c r="H465" i="541"/>
  <c r="V464" i="541"/>
  <c r="N464" i="541"/>
  <c r="M464" i="541"/>
  <c r="K464" i="541" a="1"/>
  <c r="K464" i="541" s="1"/>
  <c r="J464" i="541" a="1"/>
  <c r="J464" i="541" s="1"/>
  <c r="H464" i="541"/>
  <c r="H479" i="541" s="1"/>
  <c r="AA463" i="541"/>
  <c r="Z463" i="541"/>
  <c r="Y463" i="541"/>
  <c r="X463" i="541"/>
  <c r="U463" i="541"/>
  <c r="T463" i="541"/>
  <c r="S463" i="541"/>
  <c r="R463" i="541"/>
  <c r="Q463" i="541"/>
  <c r="P463" i="541"/>
  <c r="O463" i="541"/>
  <c r="R511" i="541" s="1"/>
  <c r="I463" i="541"/>
  <c r="G463" i="541"/>
  <c r="V462" i="541"/>
  <c r="W462" i="541" s="1"/>
  <c r="N462" i="541"/>
  <c r="K462" i="541" a="1"/>
  <c r="K462" i="541" s="1"/>
  <c r="M462" i="541" s="1"/>
  <c r="J462" i="541" a="1"/>
  <c r="J462" i="541" s="1"/>
  <c r="H462" i="541"/>
  <c r="V461" i="541"/>
  <c r="W461" i="541" s="1"/>
  <c r="N461" i="541"/>
  <c r="K461" i="541"/>
  <c r="M461" i="541" s="1"/>
  <c r="K461" i="541" a="1"/>
  <c r="J461" i="541"/>
  <c r="J461" i="541" a="1"/>
  <c r="H461" i="541"/>
  <c r="V460" i="541"/>
  <c r="W460" i="541" s="1"/>
  <c r="N460" i="541"/>
  <c r="K460" i="541" a="1"/>
  <c r="K460" i="541" s="1"/>
  <c r="M460" i="541" s="1"/>
  <c r="J460" i="541" a="1"/>
  <c r="J460" i="541" s="1"/>
  <c r="H460" i="541"/>
  <c r="K459" i="541" a="1"/>
  <c r="K459" i="541" s="1"/>
  <c r="M459" i="541" s="1"/>
  <c r="H459" i="541"/>
  <c r="K458" i="541" a="1"/>
  <c r="K458" i="541" s="1"/>
  <c r="M458" i="541" s="1"/>
  <c r="H458" i="541"/>
  <c r="K457" i="541" a="1"/>
  <c r="K457" i="541" s="1"/>
  <c r="M457" i="541" s="1"/>
  <c r="H457" i="541"/>
  <c r="V456" i="541"/>
  <c r="W456" i="541" s="1"/>
  <c r="N456" i="541"/>
  <c r="K456" i="541" a="1"/>
  <c r="K456" i="541" s="1"/>
  <c r="M456" i="541" s="1"/>
  <c r="J456" i="541" a="1"/>
  <c r="J456" i="541" s="1"/>
  <c r="H456" i="541"/>
  <c r="V455" i="541"/>
  <c r="W455" i="541" s="1"/>
  <c r="N455" i="541"/>
  <c r="K455" i="541" a="1"/>
  <c r="K455" i="541" s="1"/>
  <c r="M455" i="541" s="1"/>
  <c r="J455" i="541" a="1"/>
  <c r="J455" i="541" s="1"/>
  <c r="H455" i="541"/>
  <c r="N454" i="541"/>
  <c r="K454" i="541"/>
  <c r="M454" i="541" s="1"/>
  <c r="K454" i="541" a="1"/>
  <c r="H454" i="541"/>
  <c r="N453" i="541"/>
  <c r="K453" i="541" a="1"/>
  <c r="K453" i="541" s="1"/>
  <c r="M453" i="541" s="1"/>
  <c r="H453" i="541"/>
  <c r="N452" i="541"/>
  <c r="K452" i="541" a="1"/>
  <c r="K452" i="541" s="1"/>
  <c r="M452" i="541" s="1"/>
  <c r="H452" i="541"/>
  <c r="N451" i="541"/>
  <c r="K451" i="541" a="1"/>
  <c r="K451" i="541" s="1"/>
  <c r="M451" i="541" s="1"/>
  <c r="H451" i="541"/>
  <c r="N450" i="541"/>
  <c r="K450" i="541"/>
  <c r="M450" i="541" s="1"/>
  <c r="K450" i="541" a="1"/>
  <c r="H450" i="541"/>
  <c r="N449" i="541"/>
  <c r="K449" i="541" a="1"/>
  <c r="K449" i="541" s="1"/>
  <c r="M449" i="541" s="1"/>
  <c r="H449" i="541"/>
  <c r="W448" i="541"/>
  <c r="V448" i="541"/>
  <c r="N448" i="541"/>
  <c r="K448" i="541" a="1"/>
  <c r="K448" i="541" s="1"/>
  <c r="M448" i="541" s="1"/>
  <c r="J448" i="541" a="1"/>
  <c r="J448" i="541" s="1"/>
  <c r="H448" i="541"/>
  <c r="V447" i="541"/>
  <c r="W447" i="541" s="1"/>
  <c r="N447" i="541"/>
  <c r="K447" i="541" a="1"/>
  <c r="K447" i="541" s="1"/>
  <c r="M447" i="541" s="1"/>
  <c r="J447" i="541" a="1"/>
  <c r="J447" i="541" s="1"/>
  <c r="H447" i="541"/>
  <c r="V446" i="541"/>
  <c r="W446" i="541" s="1"/>
  <c r="N446" i="541"/>
  <c r="K446" i="541"/>
  <c r="M446" i="541" s="1"/>
  <c r="K446" i="541" a="1"/>
  <c r="J446" i="541"/>
  <c r="J446" i="541" a="1"/>
  <c r="H446" i="541"/>
  <c r="V445" i="541"/>
  <c r="W445" i="541" s="1"/>
  <c r="N445" i="541"/>
  <c r="K445" i="541" a="1"/>
  <c r="K445" i="541" s="1"/>
  <c r="M445" i="541" s="1"/>
  <c r="J445" i="541" a="1"/>
  <c r="J445" i="541" s="1"/>
  <c r="H445" i="541"/>
  <c r="V444" i="541"/>
  <c r="W444" i="541" s="1"/>
  <c r="N444" i="541"/>
  <c r="K444" i="541" a="1"/>
  <c r="K444" i="541" s="1"/>
  <c r="M444" i="541" s="1"/>
  <c r="J444" i="541" a="1"/>
  <c r="J444" i="541" s="1"/>
  <c r="H444" i="541"/>
  <c r="V443" i="541"/>
  <c r="W443" i="541" s="1"/>
  <c r="N443" i="541"/>
  <c r="K443" i="541" a="1"/>
  <c r="K443" i="541" s="1"/>
  <c r="M443" i="541" s="1"/>
  <c r="J443" i="541" a="1"/>
  <c r="J443" i="541" s="1"/>
  <c r="H443" i="541"/>
  <c r="V442" i="541"/>
  <c r="W442" i="541" s="1"/>
  <c r="N442" i="541"/>
  <c r="K442" i="541"/>
  <c r="M442" i="541" s="1"/>
  <c r="K442" i="541" a="1"/>
  <c r="J442" i="541"/>
  <c r="J442" i="541" a="1"/>
  <c r="H442" i="541"/>
  <c r="V441" i="541"/>
  <c r="W441" i="541" s="1"/>
  <c r="N441" i="541"/>
  <c r="K441" i="541" a="1"/>
  <c r="K441" i="541" s="1"/>
  <c r="M441" i="541" s="1"/>
  <c r="J441" i="541" a="1"/>
  <c r="J441" i="541" s="1"/>
  <c r="H441" i="541"/>
  <c r="W440" i="541"/>
  <c r="V440" i="541"/>
  <c r="N440" i="541"/>
  <c r="K440" i="541" a="1"/>
  <c r="K440" i="541" s="1"/>
  <c r="M440" i="541" s="1"/>
  <c r="J440" i="541" a="1"/>
  <c r="J440" i="541" s="1"/>
  <c r="H440" i="541"/>
  <c r="V439" i="541"/>
  <c r="W439" i="541" s="1"/>
  <c r="N439" i="541"/>
  <c r="K439" i="541" a="1"/>
  <c r="K439" i="541" s="1"/>
  <c r="M439" i="541" s="1"/>
  <c r="J439" i="541" a="1"/>
  <c r="J439" i="541" s="1"/>
  <c r="H439" i="541"/>
  <c r="V438" i="541"/>
  <c r="W438" i="541" s="1"/>
  <c r="N438" i="541"/>
  <c r="K438" i="541"/>
  <c r="M438" i="541" s="1"/>
  <c r="K438" i="541" a="1"/>
  <c r="J438" i="541"/>
  <c r="J438" i="541" a="1"/>
  <c r="H438" i="541"/>
  <c r="V437" i="541"/>
  <c r="W437" i="541" s="1"/>
  <c r="N437" i="541"/>
  <c r="K437" i="541" a="1"/>
  <c r="K437" i="541" s="1"/>
  <c r="M437" i="541" s="1"/>
  <c r="J437" i="541" a="1"/>
  <c r="J437" i="541" s="1"/>
  <c r="H437" i="541"/>
  <c r="N436" i="541"/>
  <c r="K436" i="541" a="1"/>
  <c r="K436" i="541" s="1"/>
  <c r="M436" i="541" s="1"/>
  <c r="H436" i="541"/>
  <c r="V435" i="541"/>
  <c r="W435" i="541" s="1"/>
  <c r="N435" i="541"/>
  <c r="K435" i="541" a="1"/>
  <c r="K435" i="541" s="1"/>
  <c r="M435" i="541" s="1"/>
  <c r="J435" i="541" a="1"/>
  <c r="J435" i="541" s="1"/>
  <c r="H435" i="541"/>
  <c r="V434" i="541"/>
  <c r="W434" i="541" s="1"/>
  <c r="N434" i="541"/>
  <c r="K434" i="541" a="1"/>
  <c r="K434" i="541" s="1"/>
  <c r="M434" i="541" s="1"/>
  <c r="J434" i="541" a="1"/>
  <c r="J434" i="541" s="1"/>
  <c r="H434" i="541"/>
  <c r="V433" i="541"/>
  <c r="W433" i="541" s="1"/>
  <c r="N433" i="541"/>
  <c r="K433" i="541" a="1"/>
  <c r="K433" i="541" s="1"/>
  <c r="M433" i="541" s="1"/>
  <c r="J433" i="541" a="1"/>
  <c r="J433" i="541" s="1"/>
  <c r="H433" i="541"/>
  <c r="V432" i="541"/>
  <c r="W432" i="541" s="1"/>
  <c r="N432" i="541"/>
  <c r="K432" i="541" a="1"/>
  <c r="K432" i="541" s="1"/>
  <c r="M432" i="541" s="1"/>
  <c r="J432" i="541" a="1"/>
  <c r="J432" i="541" s="1"/>
  <c r="H432" i="541"/>
  <c r="V431" i="541"/>
  <c r="W431" i="541" s="1"/>
  <c r="N431" i="541"/>
  <c r="K431" i="541" a="1"/>
  <c r="K431" i="541" s="1"/>
  <c r="M431" i="541" s="1"/>
  <c r="J431" i="541" a="1"/>
  <c r="J431" i="541" s="1"/>
  <c r="H431" i="541"/>
  <c r="V430" i="541"/>
  <c r="W430" i="541" s="1"/>
  <c r="N430" i="541"/>
  <c r="K430" i="541"/>
  <c r="M430" i="541" s="1"/>
  <c r="K430" i="541" a="1"/>
  <c r="J430" i="541"/>
  <c r="J430" i="541" a="1"/>
  <c r="H430" i="541"/>
  <c r="V429" i="541"/>
  <c r="N429" i="541"/>
  <c r="K429" i="541" a="1"/>
  <c r="K429" i="541" s="1"/>
  <c r="J429" i="541" a="1"/>
  <c r="J429" i="541" s="1"/>
  <c r="H429" i="541"/>
  <c r="AA428" i="541"/>
  <c r="Z428" i="541"/>
  <c r="Y428" i="541"/>
  <c r="X428" i="541"/>
  <c r="U428" i="541"/>
  <c r="T428" i="541"/>
  <c r="S428" i="541"/>
  <c r="R428" i="541"/>
  <c r="Q428" i="541"/>
  <c r="P428" i="541"/>
  <c r="O428" i="541"/>
  <c r="R510" i="541" s="1"/>
  <c r="I428" i="541"/>
  <c r="G428" i="541"/>
  <c r="J428" i="541" s="1" a="1"/>
  <c r="J428" i="541" s="1"/>
  <c r="K427" i="541" a="1"/>
  <c r="K427" i="541" s="1"/>
  <c r="M427" i="541" s="1"/>
  <c r="H427" i="541"/>
  <c r="K426" i="541"/>
  <c r="M426" i="541" s="1"/>
  <c r="K426" i="541" a="1"/>
  <c r="H426" i="541"/>
  <c r="K425" i="541" a="1"/>
  <c r="K425" i="541" s="1"/>
  <c r="M425" i="541" s="1"/>
  <c r="H425" i="541"/>
  <c r="K424" i="541"/>
  <c r="M424" i="541" s="1"/>
  <c r="K424" i="541" a="1"/>
  <c r="H424" i="541"/>
  <c r="K423" i="541" a="1"/>
  <c r="K423" i="541" s="1"/>
  <c r="M423" i="541" s="1"/>
  <c r="H423" i="541"/>
  <c r="K422" i="541"/>
  <c r="M422" i="541" s="1"/>
  <c r="K422" i="541" a="1"/>
  <c r="H422" i="541"/>
  <c r="K421" i="541" a="1"/>
  <c r="K421" i="541" s="1"/>
  <c r="M421" i="541" s="1"/>
  <c r="H421" i="541"/>
  <c r="K420" i="541"/>
  <c r="M420" i="541" s="1"/>
  <c r="K420" i="541" a="1"/>
  <c r="H420" i="541"/>
  <c r="K419" i="541" a="1"/>
  <c r="K419" i="541" s="1"/>
  <c r="M419" i="541" s="1"/>
  <c r="H419" i="541"/>
  <c r="K418" i="541"/>
  <c r="M418" i="541" s="1"/>
  <c r="K418" i="541" a="1"/>
  <c r="H418" i="541"/>
  <c r="V417" i="541"/>
  <c r="W417" i="541" s="1"/>
  <c r="N417" i="541"/>
  <c r="K417" i="541" a="1"/>
  <c r="K417" i="541" s="1"/>
  <c r="M417" i="541" s="1"/>
  <c r="J417" i="541" a="1"/>
  <c r="J417" i="541" s="1"/>
  <c r="H417" i="541"/>
  <c r="V416" i="541"/>
  <c r="W416" i="541" s="1"/>
  <c r="N416" i="541"/>
  <c r="K416" i="541"/>
  <c r="M416" i="541" s="1"/>
  <c r="K416" i="541" a="1"/>
  <c r="J416" i="541"/>
  <c r="J416" i="541" a="1"/>
  <c r="H416" i="541"/>
  <c r="V415" i="541"/>
  <c r="W415" i="541" s="1"/>
  <c r="N415" i="541"/>
  <c r="K415" i="541" a="1"/>
  <c r="K415" i="541" s="1"/>
  <c r="M415" i="541" s="1"/>
  <c r="J415" i="541" a="1"/>
  <c r="J415" i="541" s="1"/>
  <c r="H415" i="541"/>
  <c r="V414" i="541"/>
  <c r="W414" i="541" s="1"/>
  <c r="N414" i="541"/>
  <c r="K414" i="541" a="1"/>
  <c r="K414" i="541" s="1"/>
  <c r="M414" i="541" s="1"/>
  <c r="J414" i="541" a="1"/>
  <c r="J414" i="541" s="1"/>
  <c r="H414" i="541"/>
  <c r="H413" i="541"/>
  <c r="V412" i="541"/>
  <c r="W412" i="541" s="1"/>
  <c r="N412" i="541"/>
  <c r="K412" i="541"/>
  <c r="M412" i="541" s="1"/>
  <c r="K412" i="541" a="1"/>
  <c r="J412" i="541"/>
  <c r="J412" i="541" a="1"/>
  <c r="H412" i="541"/>
  <c r="V411" i="541"/>
  <c r="W411" i="541" s="1"/>
  <c r="N411" i="541"/>
  <c r="K411" i="541" a="1"/>
  <c r="K411" i="541" s="1"/>
  <c r="M411" i="541" s="1"/>
  <c r="J411" i="541" a="1"/>
  <c r="J411" i="541" s="1"/>
  <c r="H411" i="541"/>
  <c r="H410" i="541"/>
  <c r="K409" i="541" a="1"/>
  <c r="K409" i="541" s="1"/>
  <c r="H409" i="541"/>
  <c r="V408" i="541"/>
  <c r="W408" i="541" s="1"/>
  <c r="N408" i="541"/>
  <c r="K408" i="541"/>
  <c r="M408" i="541" s="1"/>
  <c r="K408" i="541" a="1"/>
  <c r="J408" i="541"/>
  <c r="J408" i="541" a="1"/>
  <c r="H408" i="541"/>
  <c r="V407" i="541"/>
  <c r="W407" i="541" s="1"/>
  <c r="N407" i="541"/>
  <c r="K407" i="541" a="1"/>
  <c r="K407" i="541" s="1"/>
  <c r="M407" i="541" s="1"/>
  <c r="J407" i="541" a="1"/>
  <c r="J407" i="541" s="1"/>
  <c r="H407" i="541"/>
  <c r="V406" i="541"/>
  <c r="W406" i="541" s="1"/>
  <c r="N406" i="541"/>
  <c r="K406" i="541" a="1"/>
  <c r="K406" i="541" s="1"/>
  <c r="M406" i="541" s="1"/>
  <c r="J406" i="541" a="1"/>
  <c r="J406" i="541" s="1"/>
  <c r="H406" i="541"/>
  <c r="V405" i="541"/>
  <c r="W405" i="541" s="1"/>
  <c r="N405" i="541"/>
  <c r="K405" i="541" a="1"/>
  <c r="K405" i="541" s="1"/>
  <c r="M405" i="541" s="1"/>
  <c r="J405" i="541" a="1"/>
  <c r="J405" i="541" s="1"/>
  <c r="H405" i="541"/>
  <c r="V404" i="541"/>
  <c r="W404" i="541" s="1"/>
  <c r="N404" i="541"/>
  <c r="K404" i="541"/>
  <c r="M404" i="541" s="1"/>
  <c r="K404" i="541" a="1"/>
  <c r="J404" i="541"/>
  <c r="J404" i="541" a="1"/>
  <c r="H404" i="541"/>
  <c r="V403" i="541"/>
  <c r="W403" i="541" s="1"/>
  <c r="N403" i="541"/>
  <c r="K403" i="541" a="1"/>
  <c r="K403" i="541" s="1"/>
  <c r="M403" i="541" s="1"/>
  <c r="J403" i="541" a="1"/>
  <c r="J403" i="541" s="1"/>
  <c r="H403" i="541"/>
  <c r="W402" i="541"/>
  <c r="V402" i="541"/>
  <c r="N402" i="541"/>
  <c r="K402" i="541" a="1"/>
  <c r="K402" i="541" s="1"/>
  <c r="M402" i="541" s="1"/>
  <c r="J402" i="541" a="1"/>
  <c r="J402" i="541" s="1"/>
  <c r="H402" i="541"/>
  <c r="V401" i="541"/>
  <c r="W401" i="541" s="1"/>
  <c r="N401" i="541"/>
  <c r="K401" i="541" a="1"/>
  <c r="K401" i="541" s="1"/>
  <c r="M401" i="541" s="1"/>
  <c r="J401" i="541" a="1"/>
  <c r="J401" i="541" s="1"/>
  <c r="H401" i="541"/>
  <c r="V400" i="541"/>
  <c r="W400" i="541" s="1"/>
  <c r="N400" i="541"/>
  <c r="K400" i="541"/>
  <c r="M400" i="541" s="1"/>
  <c r="K400" i="541" a="1"/>
  <c r="J400" i="541"/>
  <c r="J400" i="541" a="1"/>
  <c r="H400" i="541"/>
  <c r="V399" i="541"/>
  <c r="W399" i="541" s="1"/>
  <c r="N399" i="541"/>
  <c r="K399" i="541" a="1"/>
  <c r="K399" i="541" s="1"/>
  <c r="M399" i="541" s="1"/>
  <c r="J399" i="541" a="1"/>
  <c r="J399" i="541" s="1"/>
  <c r="H399" i="541"/>
  <c r="K398" i="541" a="1"/>
  <c r="K398" i="541" s="1"/>
  <c r="M398" i="541" s="1"/>
  <c r="H398" i="541"/>
  <c r="K397" i="541" a="1"/>
  <c r="K397" i="541" s="1"/>
  <c r="M397" i="541" s="1"/>
  <c r="H397" i="541"/>
  <c r="K396" i="541" a="1"/>
  <c r="K396" i="541" s="1"/>
  <c r="M396" i="541" s="1"/>
  <c r="H396" i="541"/>
  <c r="K395" i="541" a="1"/>
  <c r="K395" i="541" s="1"/>
  <c r="M395" i="541" s="1"/>
  <c r="H395" i="541"/>
  <c r="N394" i="541"/>
  <c r="K394" i="541" a="1"/>
  <c r="K394" i="541" s="1"/>
  <c r="M394" i="541" s="1"/>
  <c r="H394" i="541"/>
  <c r="N393" i="541"/>
  <c r="K393" i="541" a="1"/>
  <c r="K393" i="541" s="1"/>
  <c r="M393" i="541" s="1"/>
  <c r="H393" i="541"/>
  <c r="N392" i="541"/>
  <c r="K392" i="541"/>
  <c r="M392" i="541" s="1"/>
  <c r="K392" i="541" a="1"/>
  <c r="H392" i="541"/>
  <c r="N391" i="541"/>
  <c r="K391" i="541" a="1"/>
  <c r="K391" i="541" s="1"/>
  <c r="M391" i="541" s="1"/>
  <c r="H391" i="541"/>
  <c r="W390" i="541"/>
  <c r="V390" i="541"/>
  <c r="N390" i="541"/>
  <c r="K390" i="541" a="1"/>
  <c r="K390" i="541" s="1"/>
  <c r="M390" i="541" s="1"/>
  <c r="J390" i="541" a="1"/>
  <c r="J390" i="541" s="1"/>
  <c r="H390" i="541"/>
  <c r="V389" i="541"/>
  <c r="W389" i="541" s="1"/>
  <c r="N389" i="541"/>
  <c r="K389" i="541" a="1"/>
  <c r="K389" i="541" s="1"/>
  <c r="M389" i="541" s="1"/>
  <c r="J389" i="541" a="1"/>
  <c r="J389" i="541" s="1"/>
  <c r="H389" i="541"/>
  <c r="V388" i="541"/>
  <c r="W388" i="541" s="1"/>
  <c r="N388" i="541"/>
  <c r="K388" i="541"/>
  <c r="M388" i="541" s="1"/>
  <c r="K388" i="541" a="1"/>
  <c r="J388" i="541"/>
  <c r="J388" i="541" a="1"/>
  <c r="H388" i="541"/>
  <c r="V387" i="541"/>
  <c r="W387" i="541" s="1"/>
  <c r="N387" i="541"/>
  <c r="K387" i="541" a="1"/>
  <c r="K387" i="541" s="1"/>
  <c r="M387" i="541" s="1"/>
  <c r="J387" i="541" a="1"/>
  <c r="J387" i="541" s="1"/>
  <c r="H387" i="541"/>
  <c r="V386" i="541"/>
  <c r="W386" i="541" s="1"/>
  <c r="N386" i="541"/>
  <c r="K386" i="541" a="1"/>
  <c r="K386" i="541" s="1"/>
  <c r="M386" i="541" s="1"/>
  <c r="J386" i="541" a="1"/>
  <c r="J386" i="541" s="1"/>
  <c r="H386" i="541"/>
  <c r="V385" i="541"/>
  <c r="W385" i="541" s="1"/>
  <c r="N385" i="541"/>
  <c r="K385" i="541" a="1"/>
  <c r="K385" i="541" s="1"/>
  <c r="M385" i="541" s="1"/>
  <c r="J385" i="541" a="1"/>
  <c r="J385" i="541" s="1"/>
  <c r="H385" i="541"/>
  <c r="V384" i="541"/>
  <c r="W384" i="541" s="1"/>
  <c r="N384" i="541"/>
  <c r="K384" i="541"/>
  <c r="M384" i="541" s="1"/>
  <c r="K384" i="541" a="1"/>
  <c r="J384" i="541"/>
  <c r="J384" i="541" a="1"/>
  <c r="H384" i="541"/>
  <c r="V383" i="541"/>
  <c r="W383" i="541" s="1"/>
  <c r="N383" i="541"/>
  <c r="K383" i="541" a="1"/>
  <c r="K383" i="541" s="1"/>
  <c r="M383" i="541" s="1"/>
  <c r="J383" i="541" a="1"/>
  <c r="J383" i="541" s="1"/>
  <c r="H383" i="541"/>
  <c r="W382" i="541"/>
  <c r="V382" i="541"/>
  <c r="N382" i="541"/>
  <c r="K382" i="541" a="1"/>
  <c r="K382" i="541" s="1"/>
  <c r="M382" i="541" s="1"/>
  <c r="J382" i="541" a="1"/>
  <c r="J382" i="541" s="1"/>
  <c r="H382" i="541"/>
  <c r="V381" i="541"/>
  <c r="W381" i="541" s="1"/>
  <c r="N381" i="541"/>
  <c r="K381" i="541" a="1"/>
  <c r="K381" i="541" s="1"/>
  <c r="M381" i="541" s="1"/>
  <c r="J381" i="541" a="1"/>
  <c r="J381" i="541" s="1"/>
  <c r="H381" i="541"/>
  <c r="V380" i="541"/>
  <c r="W380" i="541" s="1"/>
  <c r="N380" i="541"/>
  <c r="K380" i="541"/>
  <c r="M380" i="541" s="1"/>
  <c r="K380" i="541" a="1"/>
  <c r="J380" i="541"/>
  <c r="J380" i="541" a="1"/>
  <c r="H380" i="541"/>
  <c r="V379" i="541"/>
  <c r="W379" i="541" s="1"/>
  <c r="N379" i="541"/>
  <c r="K379" i="541" a="1"/>
  <c r="K379" i="541" s="1"/>
  <c r="M379" i="541" s="1"/>
  <c r="J379" i="541" a="1"/>
  <c r="J379" i="541" s="1"/>
  <c r="H379" i="541"/>
  <c r="K378" i="541" a="1"/>
  <c r="K378" i="541" s="1"/>
  <c r="M378" i="541" s="1"/>
  <c r="H378" i="541"/>
  <c r="K377" i="541" a="1"/>
  <c r="K377" i="541" s="1"/>
  <c r="M377" i="541" s="1"/>
  <c r="H377" i="541"/>
  <c r="K376" i="541" a="1"/>
  <c r="K376" i="541" s="1"/>
  <c r="M376" i="541" s="1"/>
  <c r="H376" i="541"/>
  <c r="V375" i="541"/>
  <c r="W375" i="541" s="1"/>
  <c r="N375" i="541"/>
  <c r="K375" i="541" a="1"/>
  <c r="K375" i="541" s="1"/>
  <c r="M375" i="541" s="1"/>
  <c r="J375" i="541" a="1"/>
  <c r="J375" i="541" s="1"/>
  <c r="H375" i="541"/>
  <c r="V374" i="541"/>
  <c r="W374" i="541" s="1"/>
  <c r="N374" i="541"/>
  <c r="K374" i="541" a="1"/>
  <c r="K374" i="541" s="1"/>
  <c r="M374" i="541" s="1"/>
  <c r="J374" i="541" a="1"/>
  <c r="J374" i="541" s="1"/>
  <c r="H374" i="541"/>
  <c r="V373" i="541"/>
  <c r="W373" i="541" s="1"/>
  <c r="N373" i="541"/>
  <c r="K373" i="541"/>
  <c r="M373" i="541" s="1"/>
  <c r="K373" i="541" a="1"/>
  <c r="J373" i="541"/>
  <c r="J373" i="541" a="1"/>
  <c r="H373" i="541"/>
  <c r="K372" i="541" a="1"/>
  <c r="K372" i="541" s="1"/>
  <c r="H372" i="541"/>
  <c r="V371" i="541"/>
  <c r="N371" i="541"/>
  <c r="K371" i="541"/>
  <c r="K371" i="541" a="1"/>
  <c r="J371" i="541"/>
  <c r="J371" i="541" a="1"/>
  <c r="H371" i="541"/>
  <c r="AA370" i="541"/>
  <c r="AA507" i="541" s="1"/>
  <c r="Z370" i="541"/>
  <c r="Z507" i="541" s="1"/>
  <c r="Y370" i="541"/>
  <c r="Y507" i="541" s="1"/>
  <c r="X370" i="541"/>
  <c r="X507" i="541" s="1"/>
  <c r="U370" i="541"/>
  <c r="U507" i="541" s="1"/>
  <c r="T370" i="541"/>
  <c r="T507" i="541" s="1"/>
  <c r="S370" i="541"/>
  <c r="S507" i="541" s="1"/>
  <c r="R370" i="541"/>
  <c r="R507" i="541" s="1"/>
  <c r="Q370" i="541"/>
  <c r="Q507" i="541" s="1"/>
  <c r="P370" i="541"/>
  <c r="P507" i="541" s="1"/>
  <c r="O370" i="541"/>
  <c r="I370" i="541"/>
  <c r="I507" i="541" s="1"/>
  <c r="B515" i="541" s="1"/>
  <c r="G370" i="541"/>
  <c r="G507" i="541" s="1"/>
  <c r="V369" i="541"/>
  <c r="W369" i="541" s="1"/>
  <c r="N369" i="541"/>
  <c r="K369" i="541" a="1"/>
  <c r="K369" i="541" s="1"/>
  <c r="M369" i="541" s="1"/>
  <c r="J369" i="541" a="1"/>
  <c r="J369" i="541" s="1"/>
  <c r="H369" i="541"/>
  <c r="V368" i="541"/>
  <c r="W368" i="541" s="1"/>
  <c r="N368" i="541"/>
  <c r="K368" i="541"/>
  <c r="M368" i="541" s="1"/>
  <c r="K368" i="541" a="1"/>
  <c r="J368" i="541"/>
  <c r="J368" i="541" a="1"/>
  <c r="H368" i="541"/>
  <c r="K367" i="541" a="1"/>
  <c r="K367" i="541" s="1"/>
  <c r="M367" i="541" s="1"/>
  <c r="H367" i="541"/>
  <c r="K366" i="541"/>
  <c r="M366" i="541" s="1"/>
  <c r="K366" i="541" a="1"/>
  <c r="H366" i="541"/>
  <c r="K365" i="541" a="1"/>
  <c r="K365" i="541" s="1"/>
  <c r="M365" i="541" s="1"/>
  <c r="H365" i="541"/>
  <c r="K364" i="541" a="1"/>
  <c r="K364" i="541" s="1"/>
  <c r="M364" i="541" s="1"/>
  <c r="H364" i="541"/>
  <c r="V363" i="541"/>
  <c r="W363" i="541" s="1"/>
  <c r="N363" i="541"/>
  <c r="K363" i="541" a="1"/>
  <c r="K363" i="541" s="1"/>
  <c r="M363" i="541" s="1"/>
  <c r="J363" i="541" a="1"/>
  <c r="J363" i="541" s="1"/>
  <c r="H363" i="541"/>
  <c r="V362" i="541"/>
  <c r="W362" i="541" s="1"/>
  <c r="N362" i="541"/>
  <c r="K362" i="541"/>
  <c r="M362" i="541" s="1"/>
  <c r="K362" i="541" a="1"/>
  <c r="J362" i="541"/>
  <c r="J362" i="541" a="1"/>
  <c r="H362" i="541"/>
  <c r="V361" i="541"/>
  <c r="W361" i="541" s="1"/>
  <c r="N361" i="541"/>
  <c r="K361" i="541" a="1"/>
  <c r="K361" i="541" s="1"/>
  <c r="M361" i="541" s="1"/>
  <c r="J361" i="541" a="1"/>
  <c r="J361" i="541" s="1"/>
  <c r="H361" i="541"/>
  <c r="H360" i="541"/>
  <c r="H359" i="541"/>
  <c r="W358" i="541"/>
  <c r="V358" i="541"/>
  <c r="N358" i="541"/>
  <c r="K358" i="541" a="1"/>
  <c r="K358" i="541" s="1"/>
  <c r="M358" i="541" s="1"/>
  <c r="J358" i="541" a="1"/>
  <c r="J358" i="541" s="1"/>
  <c r="H358" i="541"/>
  <c r="V357" i="541"/>
  <c r="W357" i="541" s="1"/>
  <c r="N357" i="541"/>
  <c r="K357" i="541" a="1"/>
  <c r="K357" i="541" s="1"/>
  <c r="M357" i="541" s="1"/>
  <c r="J357" i="541" a="1"/>
  <c r="J357" i="541" s="1"/>
  <c r="H357" i="541"/>
  <c r="K356" i="541" a="1"/>
  <c r="K356" i="541" s="1"/>
  <c r="M356" i="541" s="1"/>
  <c r="H356" i="541"/>
  <c r="K355" i="541" a="1"/>
  <c r="K355" i="541" s="1"/>
  <c r="M355" i="541" s="1"/>
  <c r="H355" i="541"/>
  <c r="V354" i="541"/>
  <c r="W354" i="541" s="1"/>
  <c r="N354" i="541"/>
  <c r="K354" i="541"/>
  <c r="M354" i="541" s="1"/>
  <c r="K354" i="541" a="1"/>
  <c r="J354" i="541"/>
  <c r="J354" i="541" a="1"/>
  <c r="H354" i="541"/>
  <c r="V353" i="541"/>
  <c r="W353" i="541" s="1"/>
  <c r="N353" i="541"/>
  <c r="K353" i="541" a="1"/>
  <c r="K353" i="541" s="1"/>
  <c r="M353" i="541" s="1"/>
  <c r="J353" i="541" a="1"/>
  <c r="J353" i="541" s="1"/>
  <c r="H353" i="541"/>
  <c r="W352" i="541"/>
  <c r="V352" i="541"/>
  <c r="N352" i="541"/>
  <c r="K352" i="541" a="1"/>
  <c r="K352" i="541" s="1"/>
  <c r="M352" i="541" s="1"/>
  <c r="J352" i="541" a="1"/>
  <c r="J352" i="541" s="1"/>
  <c r="H352" i="541"/>
  <c r="V351" i="541"/>
  <c r="W351" i="541" s="1"/>
  <c r="N351" i="541"/>
  <c r="K351" i="541" a="1"/>
  <c r="K351" i="541" s="1"/>
  <c r="M351" i="541" s="1"/>
  <c r="J351" i="541" a="1"/>
  <c r="J351" i="541" s="1"/>
  <c r="H351" i="541"/>
  <c r="V350" i="541"/>
  <c r="W350" i="541" s="1"/>
  <c r="N350" i="541"/>
  <c r="K350" i="541"/>
  <c r="M350" i="541" s="1"/>
  <c r="K350" i="541" a="1"/>
  <c r="J350" i="541"/>
  <c r="J350" i="541" a="1"/>
  <c r="H350" i="541"/>
  <c r="V349" i="541"/>
  <c r="N349" i="541"/>
  <c r="K349" i="541" a="1"/>
  <c r="K349" i="541" s="1"/>
  <c r="J349" i="541" a="1"/>
  <c r="J349" i="541" s="1"/>
  <c r="H349" i="541"/>
  <c r="X343" i="541"/>
  <c r="X342" i="541"/>
  <c r="X341" i="541"/>
  <c r="G341" i="541"/>
  <c r="C341" i="541"/>
  <c r="X340" i="541"/>
  <c r="I340" i="541"/>
  <c r="E340" i="541"/>
  <c r="K340" i="541" s="1"/>
  <c r="M340" i="541" s="1"/>
  <c r="I339" i="541"/>
  <c r="E339" i="541"/>
  <c r="K339" i="541" s="1"/>
  <c r="M339" i="541" s="1"/>
  <c r="I338" i="541"/>
  <c r="E338" i="541"/>
  <c r="K338" i="541" s="1"/>
  <c r="M338" i="541" s="1"/>
  <c r="X337" i="541"/>
  <c r="I337" i="541"/>
  <c r="I341" i="541" s="1"/>
  <c r="E337" i="541"/>
  <c r="E341" i="541" s="1"/>
  <c r="AA334" i="541"/>
  <c r="Z334" i="541"/>
  <c r="Y334" i="541"/>
  <c r="X334" i="541"/>
  <c r="U334" i="541"/>
  <c r="T334" i="541"/>
  <c r="S334" i="541"/>
  <c r="R334" i="541"/>
  <c r="Q334" i="541"/>
  <c r="P334" i="541"/>
  <c r="O334" i="541"/>
  <c r="R342" i="541" s="1"/>
  <c r="I334" i="541"/>
  <c r="G334" i="541"/>
  <c r="K333" i="541" a="1"/>
  <c r="K333" i="541" s="1"/>
  <c r="H333" i="541"/>
  <c r="K332" i="541" a="1"/>
  <c r="K332" i="541" s="1"/>
  <c r="H332" i="541"/>
  <c r="K331" i="541"/>
  <c r="K331" i="541" a="1"/>
  <c r="H331" i="541"/>
  <c r="V330" i="541"/>
  <c r="W330" i="541" s="1"/>
  <c r="N330" i="541"/>
  <c r="K330" i="541" a="1"/>
  <c r="K330" i="541" s="1"/>
  <c r="H330" i="541"/>
  <c r="D330" i="541"/>
  <c r="H329" i="541"/>
  <c r="K328" i="541" a="1"/>
  <c r="K328" i="541" s="1"/>
  <c r="H328" i="541"/>
  <c r="H327" i="541"/>
  <c r="V326" i="541"/>
  <c r="W326" i="541" s="1"/>
  <c r="N326" i="541"/>
  <c r="K326" i="541" a="1"/>
  <c r="K326" i="541" s="1"/>
  <c r="M326" i="541" s="1"/>
  <c r="J326" i="541" a="1"/>
  <c r="J326" i="541" s="1"/>
  <c r="H326" i="541"/>
  <c r="V325" i="541"/>
  <c r="W325" i="541" s="1"/>
  <c r="N325" i="541"/>
  <c r="K325" i="541" a="1"/>
  <c r="K325" i="541" s="1"/>
  <c r="M325" i="541" s="1"/>
  <c r="J325" i="541" a="1"/>
  <c r="J325" i="541" s="1"/>
  <c r="H325" i="541"/>
  <c r="H324" i="541"/>
  <c r="V323" i="541"/>
  <c r="W323" i="541" s="1"/>
  <c r="N323" i="541"/>
  <c r="K323" i="541"/>
  <c r="M323" i="541" s="1"/>
  <c r="K323" i="541" a="1"/>
  <c r="J323" i="541"/>
  <c r="J323" i="541" a="1"/>
  <c r="H323" i="541"/>
  <c r="V322" i="541"/>
  <c r="W322" i="541" s="1"/>
  <c r="N322" i="541"/>
  <c r="K322" i="541" a="1"/>
  <c r="K322" i="541" s="1"/>
  <c r="M322" i="541" s="1"/>
  <c r="J322" i="541" a="1"/>
  <c r="J322" i="541" s="1"/>
  <c r="H322" i="541"/>
  <c r="V321" i="541"/>
  <c r="W321" i="541" s="1"/>
  <c r="N321" i="541"/>
  <c r="K321" i="541" a="1"/>
  <c r="K321" i="541" s="1"/>
  <c r="M321" i="541" s="1"/>
  <c r="J321" i="541" a="1"/>
  <c r="J321" i="541" s="1"/>
  <c r="H321" i="541"/>
  <c r="V320" i="541"/>
  <c r="W320" i="541" s="1"/>
  <c r="N320" i="541"/>
  <c r="N334" i="541" s="1"/>
  <c r="K320" i="541" a="1"/>
  <c r="K320" i="541" s="1"/>
  <c r="J320" i="541" a="1"/>
  <c r="J320" i="541" s="1"/>
  <c r="H320" i="541"/>
  <c r="AA319" i="541"/>
  <c r="Z319" i="541"/>
  <c r="Y319" i="541"/>
  <c r="X319" i="541"/>
  <c r="U319" i="541"/>
  <c r="T319" i="541"/>
  <c r="S319" i="541"/>
  <c r="Q319" i="541"/>
  <c r="P319" i="541"/>
  <c r="O319" i="541"/>
  <c r="R341" i="541" s="1"/>
  <c r="I319" i="541"/>
  <c r="G319" i="541"/>
  <c r="V318" i="541"/>
  <c r="W318" i="541" s="1"/>
  <c r="N318" i="541"/>
  <c r="K318" i="541"/>
  <c r="M318" i="541" s="1"/>
  <c r="K318" i="541" a="1"/>
  <c r="J318" i="541"/>
  <c r="J318" i="541" a="1"/>
  <c r="H318" i="541"/>
  <c r="H316" i="541"/>
  <c r="H315" i="541"/>
  <c r="H314" i="541"/>
  <c r="V313" i="541"/>
  <c r="W313" i="541" s="1"/>
  <c r="N313" i="541"/>
  <c r="K313" i="541" a="1"/>
  <c r="K313" i="541" s="1"/>
  <c r="M313" i="541" s="1"/>
  <c r="J313" i="541" a="1"/>
  <c r="J313" i="541" s="1"/>
  <c r="H313" i="541"/>
  <c r="V312" i="541"/>
  <c r="W312" i="541" s="1"/>
  <c r="N312" i="541"/>
  <c r="K312" i="541" a="1"/>
  <c r="K312" i="541" s="1"/>
  <c r="M312" i="541" s="1"/>
  <c r="J312" i="541" a="1"/>
  <c r="J312" i="541" s="1"/>
  <c r="H312" i="541"/>
  <c r="V311" i="541"/>
  <c r="W311" i="541" s="1"/>
  <c r="N311" i="541"/>
  <c r="K311" i="541"/>
  <c r="M311" i="541" s="1"/>
  <c r="K311" i="541" a="1"/>
  <c r="J311" i="541"/>
  <c r="J311" i="541" a="1"/>
  <c r="H311" i="541"/>
  <c r="V310" i="541"/>
  <c r="W310" i="541" s="1"/>
  <c r="N310" i="541"/>
  <c r="K310" i="541" a="1"/>
  <c r="K310" i="541" s="1"/>
  <c r="M310" i="541" s="1"/>
  <c r="J310" i="541" a="1"/>
  <c r="J310" i="541" s="1"/>
  <c r="H310" i="541"/>
  <c r="V309" i="541"/>
  <c r="V319" i="541" s="1"/>
  <c r="N309" i="541"/>
  <c r="N319" i="541" s="1"/>
  <c r="K309" i="541" a="1"/>
  <c r="K309" i="541" s="1"/>
  <c r="M309" i="541" s="1"/>
  <c r="J309" i="541" a="1"/>
  <c r="J309" i="541" s="1"/>
  <c r="H309" i="541"/>
  <c r="AA308" i="541"/>
  <c r="Z308" i="541"/>
  <c r="Y308" i="541"/>
  <c r="X308" i="541"/>
  <c r="U308" i="541"/>
  <c r="T308" i="541"/>
  <c r="S308" i="541"/>
  <c r="Q308" i="541"/>
  <c r="P308" i="541"/>
  <c r="O308" i="541"/>
  <c r="I308" i="541"/>
  <c r="G308" i="541"/>
  <c r="V307" i="541"/>
  <c r="W307" i="541" s="1"/>
  <c r="N307" i="541"/>
  <c r="K307" i="541" a="1"/>
  <c r="K307" i="541" s="1"/>
  <c r="M307" i="541" s="1"/>
  <c r="J307" i="541" a="1"/>
  <c r="J307" i="541" s="1"/>
  <c r="H307" i="541"/>
  <c r="V306" i="541"/>
  <c r="W306" i="541" s="1"/>
  <c r="N306" i="541"/>
  <c r="K306" i="541" a="1"/>
  <c r="K306" i="541" s="1"/>
  <c r="M306" i="541" s="1"/>
  <c r="J306" i="541" a="1"/>
  <c r="J306" i="541" s="1"/>
  <c r="H306" i="541"/>
  <c r="V305" i="541"/>
  <c r="W305" i="541" s="1"/>
  <c r="N305" i="541"/>
  <c r="K305" i="541" a="1"/>
  <c r="K305" i="541" s="1"/>
  <c r="M305" i="541" s="1"/>
  <c r="J305" i="541" a="1"/>
  <c r="J305" i="541" s="1"/>
  <c r="H305" i="541"/>
  <c r="V304" i="541"/>
  <c r="W304" i="541" s="1"/>
  <c r="N304" i="541"/>
  <c r="K304" i="541"/>
  <c r="M304" i="541" s="1"/>
  <c r="K304" i="541" a="1"/>
  <c r="J304" i="541"/>
  <c r="J304" i="541" a="1"/>
  <c r="H304" i="541"/>
  <c r="V303" i="541"/>
  <c r="W303" i="541" s="1"/>
  <c r="N303" i="541"/>
  <c r="K303" i="541" a="1"/>
  <c r="K303" i="541" s="1"/>
  <c r="M303" i="541" s="1"/>
  <c r="J303" i="541" a="1"/>
  <c r="J303" i="541" s="1"/>
  <c r="H303" i="541"/>
  <c r="V302" i="541"/>
  <c r="W302" i="541" s="1"/>
  <c r="N302" i="541"/>
  <c r="K302" i="541" a="1"/>
  <c r="K302" i="541" s="1"/>
  <c r="M302" i="541" s="1"/>
  <c r="J302" i="541" a="1"/>
  <c r="J302" i="541" s="1"/>
  <c r="H302" i="541"/>
  <c r="V301" i="541"/>
  <c r="W301" i="541" s="1"/>
  <c r="N301" i="541"/>
  <c r="K301" i="541" a="1"/>
  <c r="K301" i="541" s="1"/>
  <c r="M301" i="541" s="1"/>
  <c r="J301" i="541" a="1"/>
  <c r="J301" i="541" s="1"/>
  <c r="H301" i="541"/>
  <c r="V300" i="541"/>
  <c r="W300" i="541" s="1"/>
  <c r="N300" i="541"/>
  <c r="K300" i="541"/>
  <c r="M300" i="541" s="1"/>
  <c r="K300" i="541" a="1"/>
  <c r="J300" i="541"/>
  <c r="J300" i="541" a="1"/>
  <c r="H300" i="541"/>
  <c r="V299" i="541"/>
  <c r="W299" i="541" s="1"/>
  <c r="N299" i="541"/>
  <c r="K299" i="541" a="1"/>
  <c r="K299" i="541" s="1"/>
  <c r="M299" i="541" s="1"/>
  <c r="J299" i="541" a="1"/>
  <c r="J299" i="541" s="1"/>
  <c r="H299" i="541"/>
  <c r="V298" i="541"/>
  <c r="W298" i="541" s="1"/>
  <c r="N298" i="541"/>
  <c r="K298" i="541" a="1"/>
  <c r="K298" i="541" s="1"/>
  <c r="M298" i="541" s="1"/>
  <c r="J298" i="541" a="1"/>
  <c r="J298" i="541" s="1"/>
  <c r="H298" i="541"/>
  <c r="V297" i="541"/>
  <c r="W297" i="541" s="1"/>
  <c r="N297" i="541"/>
  <c r="K297" i="541" a="1"/>
  <c r="K297" i="541" s="1"/>
  <c r="M297" i="541" s="1"/>
  <c r="J297" i="541" a="1"/>
  <c r="J297" i="541" s="1"/>
  <c r="H297" i="541"/>
  <c r="V296" i="541"/>
  <c r="W296" i="541" s="1"/>
  <c r="N296" i="541"/>
  <c r="K296" i="541"/>
  <c r="M296" i="541" s="1"/>
  <c r="K296" i="541" a="1"/>
  <c r="J296" i="541"/>
  <c r="J296" i="541" a="1"/>
  <c r="H296" i="541"/>
  <c r="V295" i="541"/>
  <c r="W295" i="541" s="1"/>
  <c r="N295" i="541"/>
  <c r="K295" i="541" a="1"/>
  <c r="K295" i="541" s="1"/>
  <c r="M295" i="541" s="1"/>
  <c r="J295" i="541" a="1"/>
  <c r="J295" i="541" s="1"/>
  <c r="H295" i="541"/>
  <c r="V294" i="541"/>
  <c r="W294" i="541" s="1"/>
  <c r="N294" i="541"/>
  <c r="K294" i="541" a="1"/>
  <c r="K294" i="541" s="1"/>
  <c r="M294" i="541" s="1"/>
  <c r="J294" i="541" a="1"/>
  <c r="J294" i="541" s="1"/>
  <c r="H294" i="541"/>
  <c r="V293" i="541"/>
  <c r="W293" i="541" s="1"/>
  <c r="N293" i="541"/>
  <c r="K293" i="541" a="1"/>
  <c r="K293" i="541" s="1"/>
  <c r="J293" i="541" a="1"/>
  <c r="J293" i="541" s="1"/>
  <c r="H293" i="541"/>
  <c r="AA292" i="541"/>
  <c r="Z292" i="541"/>
  <c r="Y292" i="541"/>
  <c r="X292" i="541"/>
  <c r="U292" i="541"/>
  <c r="T292" i="541"/>
  <c r="S292" i="541"/>
  <c r="R292" i="541"/>
  <c r="Q292" i="541"/>
  <c r="P292" i="541"/>
  <c r="O292" i="541"/>
  <c r="R339" i="541" s="1"/>
  <c r="I292" i="541"/>
  <c r="G292" i="541"/>
  <c r="V291" i="541"/>
  <c r="W291" i="541" s="1"/>
  <c r="N291" i="541"/>
  <c r="K291" i="541" a="1"/>
  <c r="K291" i="541" s="1"/>
  <c r="M291" i="541" s="1"/>
  <c r="J291" i="541" a="1"/>
  <c r="J291" i="541" s="1"/>
  <c r="H291" i="541"/>
  <c r="V290" i="541"/>
  <c r="W290" i="541" s="1"/>
  <c r="N290" i="541"/>
  <c r="K290" i="541" a="1"/>
  <c r="K290" i="541" s="1"/>
  <c r="M290" i="541" s="1"/>
  <c r="J290" i="541" a="1"/>
  <c r="J290" i="541" s="1"/>
  <c r="H290" i="541"/>
  <c r="V289" i="541"/>
  <c r="W289" i="541" s="1"/>
  <c r="N289" i="541"/>
  <c r="K289" i="541" a="1"/>
  <c r="K289" i="541" s="1"/>
  <c r="M289" i="541" s="1"/>
  <c r="J289" i="541" a="1"/>
  <c r="J289" i="541" s="1"/>
  <c r="H289" i="541"/>
  <c r="H288" i="541"/>
  <c r="H287" i="541"/>
  <c r="H286" i="541"/>
  <c r="V285" i="541"/>
  <c r="W285" i="541" s="1"/>
  <c r="N285" i="541"/>
  <c r="K285" i="541" a="1"/>
  <c r="K285" i="541" s="1"/>
  <c r="M285" i="541" s="1"/>
  <c r="H285" i="541"/>
  <c r="V284" i="541"/>
  <c r="W284" i="541" s="1"/>
  <c r="N284" i="541"/>
  <c r="K284" i="541"/>
  <c r="M284" i="541" s="1"/>
  <c r="K284" i="541" a="1"/>
  <c r="H284" i="541"/>
  <c r="N283" i="541"/>
  <c r="K283" i="541" a="1"/>
  <c r="K283" i="541" s="1"/>
  <c r="M283" i="541" s="1"/>
  <c r="H283" i="541"/>
  <c r="N282" i="541"/>
  <c r="K282" i="541" a="1"/>
  <c r="K282" i="541" s="1"/>
  <c r="M282" i="541" s="1"/>
  <c r="H282" i="541"/>
  <c r="N281" i="541"/>
  <c r="K281" i="541" a="1"/>
  <c r="K281" i="541" s="1"/>
  <c r="M281" i="541" s="1"/>
  <c r="H281" i="541"/>
  <c r="N280" i="541"/>
  <c r="K280" i="541"/>
  <c r="M280" i="541" s="1"/>
  <c r="K280" i="541" a="1"/>
  <c r="H280" i="541"/>
  <c r="N279" i="541"/>
  <c r="K279" i="541" a="1"/>
  <c r="K279" i="541" s="1"/>
  <c r="M279" i="541" s="1"/>
  <c r="H279" i="541"/>
  <c r="N278" i="541"/>
  <c r="K278" i="541" a="1"/>
  <c r="K278" i="541" s="1"/>
  <c r="M278" i="541" s="1"/>
  <c r="H278" i="541"/>
  <c r="V277" i="541"/>
  <c r="W277" i="541" s="1"/>
  <c r="N277" i="541"/>
  <c r="K277" i="541" a="1"/>
  <c r="K277" i="541" s="1"/>
  <c r="M277" i="541" s="1"/>
  <c r="H277" i="541"/>
  <c r="V276" i="541"/>
  <c r="W276" i="541" s="1"/>
  <c r="N276" i="541"/>
  <c r="K276" i="541"/>
  <c r="M276" i="541" s="1"/>
  <c r="K276" i="541" a="1"/>
  <c r="H276" i="541"/>
  <c r="V275" i="541"/>
  <c r="W275" i="541" s="1"/>
  <c r="N275" i="541"/>
  <c r="K275" i="541" a="1"/>
  <c r="K275" i="541" s="1"/>
  <c r="M275" i="541" s="1"/>
  <c r="H275" i="541"/>
  <c r="V274" i="541"/>
  <c r="W274" i="541" s="1"/>
  <c r="N274" i="541"/>
  <c r="K274" i="541" a="1"/>
  <c r="K274" i="541" s="1"/>
  <c r="M274" i="541" s="1"/>
  <c r="H274" i="541"/>
  <c r="V273" i="541"/>
  <c r="W273" i="541" s="1"/>
  <c r="N273" i="541"/>
  <c r="K273" i="541" a="1"/>
  <c r="K273" i="541" s="1"/>
  <c r="M273" i="541" s="1"/>
  <c r="H273" i="541"/>
  <c r="V272" i="541"/>
  <c r="W272" i="541" s="1"/>
  <c r="N272" i="541"/>
  <c r="K272" i="541"/>
  <c r="M272" i="541" s="1"/>
  <c r="K272" i="541" a="1"/>
  <c r="H272" i="541"/>
  <c r="V271" i="541"/>
  <c r="W271" i="541" s="1"/>
  <c r="N271" i="541"/>
  <c r="K271" i="541" a="1"/>
  <c r="K271" i="541" s="1"/>
  <c r="M271" i="541" s="1"/>
  <c r="H271" i="541"/>
  <c r="V270" i="541"/>
  <c r="W270" i="541" s="1"/>
  <c r="N270" i="541"/>
  <c r="K270" i="541" a="1"/>
  <c r="K270" i="541" s="1"/>
  <c r="M270" i="541" s="1"/>
  <c r="H270" i="541"/>
  <c r="V269" i="541"/>
  <c r="W269" i="541" s="1"/>
  <c r="N269" i="541"/>
  <c r="K269" i="541" a="1"/>
  <c r="K269" i="541" s="1"/>
  <c r="M269" i="541" s="1"/>
  <c r="H269" i="541"/>
  <c r="V268" i="541"/>
  <c r="W268" i="541" s="1"/>
  <c r="N268" i="541"/>
  <c r="K268" i="541"/>
  <c r="M268" i="541" s="1"/>
  <c r="K268" i="541" a="1"/>
  <c r="H268" i="541"/>
  <c r="V267" i="541"/>
  <c r="W267" i="541" s="1"/>
  <c r="N267" i="541"/>
  <c r="K267" i="541" a="1"/>
  <c r="K267" i="541" s="1"/>
  <c r="M267" i="541" s="1"/>
  <c r="H267" i="541"/>
  <c r="W266" i="541"/>
  <c r="V266" i="541"/>
  <c r="N266" i="541"/>
  <c r="K266" i="541" a="1"/>
  <c r="K266" i="541" s="1"/>
  <c r="M266" i="541" s="1"/>
  <c r="H266" i="541"/>
  <c r="N265" i="541"/>
  <c r="K265" i="541" a="1"/>
  <c r="K265" i="541" s="1"/>
  <c r="M265" i="541" s="1"/>
  <c r="H265" i="541"/>
  <c r="V264" i="541"/>
  <c r="W264" i="541" s="1"/>
  <c r="N264" i="541"/>
  <c r="K264" i="541"/>
  <c r="M264" i="541" s="1"/>
  <c r="K264" i="541" a="1"/>
  <c r="J264" i="541"/>
  <c r="J264" i="541" a="1"/>
  <c r="H264" i="541"/>
  <c r="V263" i="541"/>
  <c r="W263" i="541" s="1"/>
  <c r="N263" i="541"/>
  <c r="K263" i="541" a="1"/>
  <c r="K263" i="541" s="1"/>
  <c r="M263" i="541" s="1"/>
  <c r="J263" i="541" a="1"/>
  <c r="J263" i="541" s="1"/>
  <c r="H263" i="541"/>
  <c r="V262" i="541"/>
  <c r="W262" i="541" s="1"/>
  <c r="N262" i="541"/>
  <c r="K262" i="541" a="1"/>
  <c r="K262" i="541" s="1"/>
  <c r="M262" i="541" s="1"/>
  <c r="J262" i="541" a="1"/>
  <c r="J262" i="541" s="1"/>
  <c r="H262" i="541"/>
  <c r="V261" i="541"/>
  <c r="W261" i="541" s="1"/>
  <c r="N261" i="541"/>
  <c r="K261" i="541" a="1"/>
  <c r="K261" i="541" s="1"/>
  <c r="M261" i="541" s="1"/>
  <c r="J261" i="541" a="1"/>
  <c r="J261" i="541" s="1"/>
  <c r="H261" i="541"/>
  <c r="V260" i="541"/>
  <c r="W260" i="541" s="1"/>
  <c r="N260" i="541"/>
  <c r="K260" i="541"/>
  <c r="M260" i="541" s="1"/>
  <c r="K260" i="541" a="1"/>
  <c r="J260" i="541"/>
  <c r="J260" i="541" a="1"/>
  <c r="H260" i="541"/>
  <c r="V259" i="541"/>
  <c r="W259" i="541" s="1"/>
  <c r="N259" i="541"/>
  <c r="K259" i="541" a="1"/>
  <c r="K259" i="541" s="1"/>
  <c r="M259" i="541" s="1"/>
  <c r="J259" i="541" a="1"/>
  <c r="J259" i="541" s="1"/>
  <c r="H259" i="541"/>
  <c r="V258" i="541"/>
  <c r="W258" i="541" s="1"/>
  <c r="N258" i="541"/>
  <c r="N292" i="541" s="1"/>
  <c r="K258" i="541" a="1"/>
  <c r="K258" i="541" s="1"/>
  <c r="J258" i="541" a="1"/>
  <c r="J258" i="541" s="1"/>
  <c r="H258" i="541"/>
  <c r="AA257" i="541"/>
  <c r="Z257" i="541"/>
  <c r="Y257" i="541"/>
  <c r="X257" i="541"/>
  <c r="U257" i="541"/>
  <c r="T257" i="541"/>
  <c r="S257" i="541"/>
  <c r="R257" i="541"/>
  <c r="Q257" i="541"/>
  <c r="P257" i="541"/>
  <c r="O257" i="541"/>
  <c r="R338" i="541" s="1"/>
  <c r="I257" i="541"/>
  <c r="G257" i="541"/>
  <c r="H256" i="541"/>
  <c r="H255" i="541"/>
  <c r="H254" i="541"/>
  <c r="H253" i="541"/>
  <c r="H252" i="541"/>
  <c r="H251" i="541"/>
  <c r="K250" i="541" a="1"/>
  <c r="K250" i="541" s="1"/>
  <c r="M250" i="541" s="1"/>
  <c r="H250" i="541"/>
  <c r="K249" i="541" a="1"/>
  <c r="K249" i="541" s="1"/>
  <c r="M249" i="541" s="1"/>
  <c r="H249" i="541"/>
  <c r="M248" i="541"/>
  <c r="K248" i="541" a="1"/>
  <c r="K248" i="541" s="1"/>
  <c r="H248" i="541"/>
  <c r="K247" i="541" a="1"/>
  <c r="K247" i="541" s="1"/>
  <c r="M247" i="541" s="1"/>
  <c r="H247" i="541"/>
  <c r="V246" i="541"/>
  <c r="W246" i="541" s="1"/>
  <c r="N246" i="541"/>
  <c r="K246" i="541" a="1"/>
  <c r="K246" i="541" s="1"/>
  <c r="M246" i="541" s="1"/>
  <c r="J246" i="541" a="1"/>
  <c r="J246" i="541" s="1"/>
  <c r="H246" i="541"/>
  <c r="V245" i="541"/>
  <c r="W245" i="541" s="1"/>
  <c r="N245" i="541"/>
  <c r="K245" i="541"/>
  <c r="M245" i="541" s="1"/>
  <c r="K245" i="541" a="1"/>
  <c r="J245" i="541"/>
  <c r="J245" i="541" a="1"/>
  <c r="H245" i="541"/>
  <c r="V244" i="541"/>
  <c r="W244" i="541" s="1"/>
  <c r="N244" i="541"/>
  <c r="K244" i="541" a="1"/>
  <c r="K244" i="541" s="1"/>
  <c r="M244" i="541" s="1"/>
  <c r="J244" i="541" a="1"/>
  <c r="J244" i="541" s="1"/>
  <c r="H244" i="541"/>
  <c r="V243" i="541"/>
  <c r="W243" i="541" s="1"/>
  <c r="N243" i="541"/>
  <c r="K243" i="541" a="1"/>
  <c r="K243" i="541" s="1"/>
  <c r="M243" i="541" s="1"/>
  <c r="J243" i="541" a="1"/>
  <c r="J243" i="541" s="1"/>
  <c r="H243" i="541"/>
  <c r="M242" i="541"/>
  <c r="H242" i="541"/>
  <c r="V241" i="541"/>
  <c r="W241" i="541" s="1"/>
  <c r="N241" i="541"/>
  <c r="K241" i="541" a="1"/>
  <c r="K241" i="541" s="1"/>
  <c r="M241" i="541" s="1"/>
  <c r="J241" i="541" a="1"/>
  <c r="J241" i="541" s="1"/>
  <c r="H241" i="541"/>
  <c r="V240" i="541"/>
  <c r="W240" i="541" s="1"/>
  <c r="N240" i="541"/>
  <c r="K240" i="541"/>
  <c r="M240" i="541" s="1"/>
  <c r="K240" i="541" a="1"/>
  <c r="J240" i="541" a="1"/>
  <c r="J240" i="541" s="1"/>
  <c r="H240" i="541"/>
  <c r="K239" i="541" a="1"/>
  <c r="K239" i="541" s="1"/>
  <c r="M239" i="541" s="1"/>
  <c r="H239" i="541"/>
  <c r="H238" i="541"/>
  <c r="V237" i="541"/>
  <c r="W237" i="541" s="1"/>
  <c r="N237" i="541"/>
  <c r="K237" i="541" a="1"/>
  <c r="K237" i="541" s="1"/>
  <c r="M237" i="541" s="1"/>
  <c r="J237" i="541" a="1"/>
  <c r="J237" i="541" s="1"/>
  <c r="H237" i="541"/>
  <c r="V236" i="541"/>
  <c r="W236" i="541" s="1"/>
  <c r="N236" i="541"/>
  <c r="K236" i="541" a="1"/>
  <c r="K236" i="541" s="1"/>
  <c r="M236" i="541" s="1"/>
  <c r="J236" i="541" a="1"/>
  <c r="J236" i="541" s="1"/>
  <c r="H236" i="541"/>
  <c r="V235" i="541"/>
  <c r="W235" i="541" s="1"/>
  <c r="N235" i="541"/>
  <c r="K235" i="541" a="1"/>
  <c r="K235" i="541" s="1"/>
  <c r="M235" i="541" s="1"/>
  <c r="J235" i="541" a="1"/>
  <c r="J235" i="541" s="1"/>
  <c r="H235" i="541"/>
  <c r="V234" i="541"/>
  <c r="W234" i="541" s="1"/>
  <c r="N234" i="541"/>
  <c r="K234" i="541" a="1"/>
  <c r="K234" i="541" s="1"/>
  <c r="M234" i="541" s="1"/>
  <c r="J234" i="541" a="1"/>
  <c r="J234" i="541" s="1"/>
  <c r="H234" i="541"/>
  <c r="V233" i="541"/>
  <c r="W233" i="541" s="1"/>
  <c r="N233" i="541"/>
  <c r="K233" i="541" a="1"/>
  <c r="K233" i="541" s="1"/>
  <c r="M233" i="541" s="1"/>
  <c r="J233" i="541" a="1"/>
  <c r="J233" i="541" s="1"/>
  <c r="H233" i="541"/>
  <c r="V232" i="541"/>
  <c r="W232" i="541" s="1"/>
  <c r="N232" i="541"/>
  <c r="K232" i="541"/>
  <c r="M232" i="541" s="1"/>
  <c r="K232" i="541" a="1"/>
  <c r="J232" i="541"/>
  <c r="J232" i="541" a="1"/>
  <c r="H232" i="541"/>
  <c r="V231" i="541"/>
  <c r="W231" i="541" s="1"/>
  <c r="N231" i="541"/>
  <c r="K231" i="541" a="1"/>
  <c r="K231" i="541" s="1"/>
  <c r="M231" i="541" s="1"/>
  <c r="J231" i="541" a="1"/>
  <c r="J231" i="541" s="1"/>
  <c r="H231" i="541"/>
  <c r="V230" i="541"/>
  <c r="W230" i="541" s="1"/>
  <c r="N230" i="541"/>
  <c r="K230" i="541" a="1"/>
  <c r="K230" i="541" s="1"/>
  <c r="M230" i="541" s="1"/>
  <c r="J230" i="541" a="1"/>
  <c r="J230" i="541" s="1"/>
  <c r="H230" i="541"/>
  <c r="V229" i="541"/>
  <c r="W229" i="541" s="1"/>
  <c r="N229" i="541"/>
  <c r="K229" i="541" a="1"/>
  <c r="K229" i="541" s="1"/>
  <c r="M229" i="541" s="1"/>
  <c r="J229" i="541" a="1"/>
  <c r="J229" i="541" s="1"/>
  <c r="H229" i="541"/>
  <c r="V228" i="541"/>
  <c r="W228" i="541" s="1"/>
  <c r="N228" i="541"/>
  <c r="K228" i="541"/>
  <c r="M228" i="541" s="1"/>
  <c r="K228" i="541" a="1"/>
  <c r="J228" i="541"/>
  <c r="J228" i="541" a="1"/>
  <c r="H228" i="541"/>
  <c r="N227" i="541"/>
  <c r="K227" i="541" a="1"/>
  <c r="K227" i="541" s="1"/>
  <c r="M227" i="541" s="1"/>
  <c r="H227" i="541"/>
  <c r="N226" i="541"/>
  <c r="K226" i="541" a="1"/>
  <c r="K226" i="541" s="1"/>
  <c r="M226" i="541" s="1"/>
  <c r="H226" i="541"/>
  <c r="N225" i="541"/>
  <c r="K225" i="541" a="1"/>
  <c r="K225" i="541" s="1"/>
  <c r="M225" i="541" s="1"/>
  <c r="H225" i="541"/>
  <c r="N224" i="541"/>
  <c r="K224" i="541"/>
  <c r="M224" i="541" s="1"/>
  <c r="K224" i="541" a="1"/>
  <c r="H224" i="541"/>
  <c r="N223" i="541"/>
  <c r="K223" i="541" a="1"/>
  <c r="K223" i="541" s="1"/>
  <c r="M223" i="541" s="1"/>
  <c r="H223" i="541"/>
  <c r="N222" i="541"/>
  <c r="K222" i="541" a="1"/>
  <c r="K222" i="541" s="1"/>
  <c r="M222" i="541" s="1"/>
  <c r="H222" i="541"/>
  <c r="N221" i="541"/>
  <c r="K221" i="541" a="1"/>
  <c r="K221" i="541" s="1"/>
  <c r="M221" i="541" s="1"/>
  <c r="H221" i="541"/>
  <c r="N220" i="541"/>
  <c r="K220" i="541" a="1"/>
  <c r="K220" i="541" s="1"/>
  <c r="M220" i="541" s="1"/>
  <c r="H220" i="541"/>
  <c r="V219" i="541"/>
  <c r="W219" i="541" s="1"/>
  <c r="N219" i="541"/>
  <c r="K219" i="541" a="1"/>
  <c r="K219" i="541" s="1"/>
  <c r="M219" i="541" s="1"/>
  <c r="J219" i="541" a="1"/>
  <c r="J219" i="541" s="1"/>
  <c r="H219" i="541"/>
  <c r="V218" i="541"/>
  <c r="W218" i="541" s="1"/>
  <c r="N218" i="541"/>
  <c r="K218" i="541" a="1"/>
  <c r="K218" i="541" s="1"/>
  <c r="M218" i="541" s="1"/>
  <c r="J218" i="541" a="1"/>
  <c r="J218" i="541" s="1"/>
  <c r="H218" i="541"/>
  <c r="V217" i="541"/>
  <c r="W217" i="541" s="1"/>
  <c r="N217" i="541"/>
  <c r="K217" i="541" a="1"/>
  <c r="K217" i="541" s="1"/>
  <c r="M217" i="541" s="1"/>
  <c r="J217" i="541" a="1"/>
  <c r="J217" i="541" s="1"/>
  <c r="H217" i="541"/>
  <c r="V216" i="541"/>
  <c r="W216" i="541" s="1"/>
  <c r="N216" i="541"/>
  <c r="K216" i="541"/>
  <c r="M216" i="541" s="1"/>
  <c r="K216" i="541" a="1"/>
  <c r="J216" i="541"/>
  <c r="J216" i="541" a="1"/>
  <c r="H216" i="541"/>
  <c r="V215" i="541"/>
  <c r="W215" i="541" s="1"/>
  <c r="N215" i="541"/>
  <c r="K215" i="541" a="1"/>
  <c r="K215" i="541" s="1"/>
  <c r="M215" i="541" s="1"/>
  <c r="J215" i="541" a="1"/>
  <c r="J215" i="541" s="1"/>
  <c r="H215" i="541"/>
  <c r="V214" i="541"/>
  <c r="W214" i="541" s="1"/>
  <c r="N214" i="541"/>
  <c r="K214" i="541" a="1"/>
  <c r="K214" i="541" s="1"/>
  <c r="M214" i="541" s="1"/>
  <c r="J214" i="541" a="1"/>
  <c r="J214" i="541" s="1"/>
  <c r="H214" i="541"/>
  <c r="V213" i="541"/>
  <c r="W213" i="541" s="1"/>
  <c r="N213" i="541"/>
  <c r="K213" i="541" a="1"/>
  <c r="K213" i="541" s="1"/>
  <c r="M213" i="541" s="1"/>
  <c r="J213" i="541" a="1"/>
  <c r="J213" i="541" s="1"/>
  <c r="H213" i="541"/>
  <c r="V212" i="541"/>
  <c r="W212" i="541" s="1"/>
  <c r="N212" i="541"/>
  <c r="K212" i="541"/>
  <c r="M212" i="541" s="1"/>
  <c r="K212" i="541" a="1"/>
  <c r="J212" i="541"/>
  <c r="J212" i="541" a="1"/>
  <c r="H212" i="541"/>
  <c r="V211" i="541"/>
  <c r="W211" i="541" s="1"/>
  <c r="N211" i="541"/>
  <c r="K211" i="541" a="1"/>
  <c r="K211" i="541" s="1"/>
  <c r="M211" i="541" s="1"/>
  <c r="J211" i="541" a="1"/>
  <c r="J211" i="541" s="1"/>
  <c r="H211" i="541"/>
  <c r="V210" i="541"/>
  <c r="W210" i="541" s="1"/>
  <c r="N210" i="541"/>
  <c r="K210" i="541" a="1"/>
  <c r="K210" i="541" s="1"/>
  <c r="M210" i="541" s="1"/>
  <c r="J210" i="541" a="1"/>
  <c r="J210" i="541" s="1"/>
  <c r="H210" i="541"/>
  <c r="V209" i="541"/>
  <c r="W209" i="541" s="1"/>
  <c r="N209" i="541"/>
  <c r="K209" i="541" a="1"/>
  <c r="K209" i="541" s="1"/>
  <c r="M209" i="541" s="1"/>
  <c r="J209" i="541" a="1"/>
  <c r="J209" i="541" s="1"/>
  <c r="H209" i="541"/>
  <c r="V208" i="541"/>
  <c r="W208" i="541" s="1"/>
  <c r="N208" i="541"/>
  <c r="K208" i="541"/>
  <c r="M208" i="541" s="1"/>
  <c r="K208" i="541" a="1"/>
  <c r="J208" i="541"/>
  <c r="J208" i="541" a="1"/>
  <c r="H208" i="541"/>
  <c r="H207" i="541"/>
  <c r="H206" i="541"/>
  <c r="H205" i="541"/>
  <c r="W204" i="541"/>
  <c r="V204" i="541"/>
  <c r="N204" i="541"/>
  <c r="K204" i="541" a="1"/>
  <c r="K204" i="541" s="1"/>
  <c r="M204" i="541" s="1"/>
  <c r="J204" i="541" a="1"/>
  <c r="J204" i="541" s="1"/>
  <c r="H204" i="541"/>
  <c r="V203" i="541"/>
  <c r="W203" i="541" s="1"/>
  <c r="N203" i="541"/>
  <c r="K203" i="541"/>
  <c r="M203" i="541" s="1"/>
  <c r="K203" i="541" a="1"/>
  <c r="J203" i="541" a="1"/>
  <c r="J203" i="541" s="1"/>
  <c r="H203" i="541"/>
  <c r="W202" i="541"/>
  <c r="V202" i="541"/>
  <c r="N202" i="541"/>
  <c r="K202" i="541" a="1"/>
  <c r="K202" i="541" s="1"/>
  <c r="M202" i="541" s="1"/>
  <c r="J202" i="541" a="1"/>
  <c r="J202" i="541" s="1"/>
  <c r="H202" i="541"/>
  <c r="H201" i="541"/>
  <c r="V200" i="541"/>
  <c r="N200" i="541"/>
  <c r="K200" i="541" a="1"/>
  <c r="K200" i="541" s="1"/>
  <c r="J200" i="541" a="1"/>
  <c r="J200" i="541" s="1"/>
  <c r="H200" i="541"/>
  <c r="AA199" i="541"/>
  <c r="AA335" i="541" s="1"/>
  <c r="Z199" i="541"/>
  <c r="Z335" i="541" s="1"/>
  <c r="Y199" i="541"/>
  <c r="Y335" i="541" s="1"/>
  <c r="X199" i="541"/>
  <c r="X335" i="541" s="1"/>
  <c r="U199" i="541"/>
  <c r="U335" i="541" s="1"/>
  <c r="T199" i="541"/>
  <c r="T335" i="541" s="1"/>
  <c r="S199" i="541"/>
  <c r="S335" i="541" s="1"/>
  <c r="R199" i="541"/>
  <c r="R335" i="541" s="1"/>
  <c r="Q199" i="541"/>
  <c r="Q335" i="541" s="1"/>
  <c r="P199" i="541"/>
  <c r="O199" i="541"/>
  <c r="I199" i="541"/>
  <c r="I335" i="541" s="1"/>
  <c r="B343" i="541" s="1"/>
  <c r="G199" i="541"/>
  <c r="G335" i="541" s="1"/>
  <c r="V198" i="541"/>
  <c r="W198" i="541" s="1"/>
  <c r="N198" i="541"/>
  <c r="K198" i="541" a="1"/>
  <c r="K198" i="541" s="1"/>
  <c r="M198" i="541" s="1"/>
  <c r="J198" i="541" a="1"/>
  <c r="J198" i="541" s="1"/>
  <c r="H198" i="541"/>
  <c r="V197" i="541"/>
  <c r="W197" i="541" s="1"/>
  <c r="N197" i="541"/>
  <c r="K197" i="541" a="1"/>
  <c r="K197" i="541" s="1"/>
  <c r="M197" i="541" s="1"/>
  <c r="J197" i="541" a="1"/>
  <c r="J197" i="541" s="1"/>
  <c r="H197" i="541"/>
  <c r="K196" i="541"/>
  <c r="M196" i="541" s="1"/>
  <c r="K196" i="541" a="1"/>
  <c r="H196" i="541"/>
  <c r="K195" i="541" a="1"/>
  <c r="K195" i="541" s="1"/>
  <c r="M195" i="541" s="1"/>
  <c r="H195" i="541"/>
  <c r="K194" i="541"/>
  <c r="M194" i="541" s="1"/>
  <c r="K194" i="541" a="1"/>
  <c r="H194" i="541"/>
  <c r="K193" i="541" a="1"/>
  <c r="K193" i="541" s="1"/>
  <c r="M193" i="541" s="1"/>
  <c r="H193" i="541"/>
  <c r="V192" i="541"/>
  <c r="W192" i="541" s="1"/>
  <c r="N192" i="541"/>
  <c r="K192" i="541" a="1"/>
  <c r="K192" i="541" s="1"/>
  <c r="M192" i="541" s="1"/>
  <c r="J192" i="541" a="1"/>
  <c r="J192" i="541" s="1"/>
  <c r="H192" i="541"/>
  <c r="V191" i="541"/>
  <c r="W191" i="541" s="1"/>
  <c r="N191" i="541"/>
  <c r="K191" i="541" a="1"/>
  <c r="K191" i="541" s="1"/>
  <c r="M191" i="541" s="1"/>
  <c r="J191" i="541" a="1"/>
  <c r="J191" i="541" s="1"/>
  <c r="H191" i="541"/>
  <c r="V190" i="541"/>
  <c r="W190" i="541" s="1"/>
  <c r="N190" i="541"/>
  <c r="K190" i="541" a="1"/>
  <c r="K190" i="541" s="1"/>
  <c r="M190" i="541" s="1"/>
  <c r="J190" i="541" a="1"/>
  <c r="J190" i="541" s="1"/>
  <c r="H190" i="541"/>
  <c r="N189" i="541"/>
  <c r="K189" i="541" a="1"/>
  <c r="K189" i="541" s="1"/>
  <c r="M189" i="541" s="1"/>
  <c r="J189" i="541" a="1"/>
  <c r="J189" i="541" s="1"/>
  <c r="H189" i="541"/>
  <c r="N188" i="541"/>
  <c r="K188" i="541" a="1"/>
  <c r="K188" i="541" s="1"/>
  <c r="M188" i="541" s="1"/>
  <c r="J188" i="541" a="1"/>
  <c r="J188" i="541" s="1"/>
  <c r="H188" i="541"/>
  <c r="W187" i="541"/>
  <c r="V187" i="541"/>
  <c r="N187" i="541"/>
  <c r="K187" i="541"/>
  <c r="M187" i="541" s="1"/>
  <c r="K187" i="541" a="1"/>
  <c r="J187" i="541" a="1"/>
  <c r="J187" i="541" s="1"/>
  <c r="H187" i="541"/>
  <c r="V186" i="541"/>
  <c r="W186" i="541" s="1"/>
  <c r="N186" i="541"/>
  <c r="K186" i="541" a="1"/>
  <c r="K186" i="541" s="1"/>
  <c r="M186" i="541" s="1"/>
  <c r="J186" i="541" a="1"/>
  <c r="J186" i="541" s="1"/>
  <c r="H186" i="541"/>
  <c r="N185" i="541"/>
  <c r="K185" i="541" a="1"/>
  <c r="K185" i="541" s="1"/>
  <c r="M185" i="541" s="1"/>
  <c r="H185" i="541"/>
  <c r="N184" i="541"/>
  <c r="K184" i="541" a="1"/>
  <c r="K184" i="541" s="1"/>
  <c r="M184" i="541" s="1"/>
  <c r="H184" i="541"/>
  <c r="V183" i="541"/>
  <c r="W183" i="541" s="1"/>
  <c r="N183" i="541"/>
  <c r="K183" i="541" a="1"/>
  <c r="K183" i="541" s="1"/>
  <c r="M183" i="541" s="1"/>
  <c r="J183" i="541" a="1"/>
  <c r="J183" i="541" s="1"/>
  <c r="H183" i="541"/>
  <c r="V182" i="541"/>
  <c r="W182" i="541" s="1"/>
  <c r="N182" i="541"/>
  <c r="K182" i="541" a="1"/>
  <c r="K182" i="541" s="1"/>
  <c r="M182" i="541" s="1"/>
  <c r="J182" i="541" a="1"/>
  <c r="J182" i="541" s="1"/>
  <c r="H182" i="541"/>
  <c r="V181" i="541"/>
  <c r="W181" i="541" s="1"/>
  <c r="N181" i="541"/>
  <c r="K181" i="541" a="1"/>
  <c r="K181" i="541" s="1"/>
  <c r="M181" i="541" s="1"/>
  <c r="J181" i="541" a="1"/>
  <c r="J181" i="541" s="1"/>
  <c r="H181" i="541"/>
  <c r="V180" i="541"/>
  <c r="W180" i="541" s="1"/>
  <c r="N180" i="541"/>
  <c r="K180" i="541" a="1"/>
  <c r="K180" i="541" s="1"/>
  <c r="M180" i="541" s="1"/>
  <c r="J180" i="541" a="1"/>
  <c r="J180" i="541" s="1"/>
  <c r="H180" i="541"/>
  <c r="V179" i="541"/>
  <c r="W179" i="541" s="1"/>
  <c r="N179" i="541"/>
  <c r="K179" i="541" a="1"/>
  <c r="K179" i="541" s="1"/>
  <c r="M179" i="541" s="1"/>
  <c r="J179" i="541" a="1"/>
  <c r="J179" i="541" s="1"/>
  <c r="H179" i="541"/>
  <c r="V178" i="541"/>
  <c r="V199" i="541" s="1"/>
  <c r="N178" i="541"/>
  <c r="K178" i="541" a="1"/>
  <c r="K178" i="541" s="1"/>
  <c r="J178" i="541" a="1"/>
  <c r="J178" i="541" s="1"/>
  <c r="H178" i="541"/>
  <c r="X171" i="541"/>
  <c r="Q529" i="541" s="1"/>
  <c r="X170" i="541"/>
  <c r="Q528" i="541" s="1"/>
  <c r="G170" i="541"/>
  <c r="C170" i="541"/>
  <c r="X169" i="541"/>
  <c r="Q527" i="541" s="1"/>
  <c r="I169" i="541"/>
  <c r="E169" i="541"/>
  <c r="K169" i="541" s="1"/>
  <c r="M169" i="541" s="1"/>
  <c r="I168" i="541"/>
  <c r="E168" i="541"/>
  <c r="K168" i="541" s="1"/>
  <c r="M168" i="541" s="1"/>
  <c r="I167" i="541"/>
  <c r="E167" i="541"/>
  <c r="K167" i="541" s="1"/>
  <c r="M167" i="541" s="1"/>
  <c r="X166" i="541"/>
  <c r="Q524" i="541" s="1"/>
  <c r="I166" i="541"/>
  <c r="I170" i="541" s="1"/>
  <c r="E166" i="541"/>
  <c r="E170" i="541" s="1"/>
  <c r="AA163" i="541"/>
  <c r="Z163" i="541"/>
  <c r="Y163" i="541"/>
  <c r="X163" i="541"/>
  <c r="U163" i="541"/>
  <c r="T163" i="541"/>
  <c r="S163" i="541"/>
  <c r="R163" i="541"/>
  <c r="Q163" i="541"/>
  <c r="P163" i="541"/>
  <c r="O163" i="541"/>
  <c r="R171" i="541" s="1"/>
  <c r="I163" i="541"/>
  <c r="G163" i="541"/>
  <c r="C529" i="541" s="1"/>
  <c r="H162" i="541"/>
  <c r="H161" i="541"/>
  <c r="H160" i="541"/>
  <c r="V159" i="541"/>
  <c r="W159" i="541" s="1"/>
  <c r="N159" i="541"/>
  <c r="K159" i="541"/>
  <c r="K159" i="541" a="1"/>
  <c r="J159" i="541" a="1"/>
  <c r="J159" i="541" s="1"/>
  <c r="H159" i="541"/>
  <c r="D159" i="541"/>
  <c r="V158" i="541"/>
  <c r="W158" i="541" s="1"/>
  <c r="N158" i="541"/>
  <c r="K158" i="541" a="1"/>
  <c r="K158" i="541" s="1"/>
  <c r="M158" i="541" s="1"/>
  <c r="J158" i="541" a="1"/>
  <c r="J158" i="541" s="1"/>
  <c r="H158" i="541"/>
  <c r="H157" i="541"/>
  <c r="H156" i="541"/>
  <c r="V155" i="541"/>
  <c r="W155" i="541" s="1"/>
  <c r="N155" i="541"/>
  <c r="K155" i="541" a="1"/>
  <c r="K155" i="541" s="1"/>
  <c r="M155" i="541" s="1"/>
  <c r="J155" i="541" a="1"/>
  <c r="J155" i="541" s="1"/>
  <c r="H155" i="541"/>
  <c r="V154" i="541"/>
  <c r="W154" i="541" s="1"/>
  <c r="N154" i="541"/>
  <c r="K154" i="541"/>
  <c r="M154" i="541" s="1"/>
  <c r="K154" i="541" a="1"/>
  <c r="J154" i="541"/>
  <c r="J154" i="541" a="1"/>
  <c r="H154" i="541"/>
  <c r="H153" i="541"/>
  <c r="V152" i="541"/>
  <c r="W152" i="541" s="1"/>
  <c r="N152" i="541"/>
  <c r="K152" i="541" a="1"/>
  <c r="K152" i="541" s="1"/>
  <c r="M152" i="541" s="1"/>
  <c r="J152" i="541" a="1"/>
  <c r="J152" i="541" s="1"/>
  <c r="H152" i="541"/>
  <c r="V151" i="541"/>
  <c r="W151" i="541" s="1"/>
  <c r="N151" i="541"/>
  <c r="K151" i="541" a="1"/>
  <c r="K151" i="541" s="1"/>
  <c r="M151" i="541" s="1"/>
  <c r="J151" i="541" a="1"/>
  <c r="J151" i="541" s="1"/>
  <c r="H151" i="541"/>
  <c r="V150" i="541"/>
  <c r="W150" i="541" s="1"/>
  <c r="N150" i="541"/>
  <c r="K150" i="541"/>
  <c r="M150" i="541" s="1"/>
  <c r="K150" i="541" a="1"/>
  <c r="J150" i="541"/>
  <c r="J150" i="541" a="1"/>
  <c r="H150" i="541"/>
  <c r="V149" i="541"/>
  <c r="W149" i="541" s="1"/>
  <c r="N149" i="541"/>
  <c r="K149" i="541" a="1"/>
  <c r="K149" i="541" s="1"/>
  <c r="J149" i="541" a="1"/>
  <c r="J149" i="541" s="1"/>
  <c r="H149" i="541"/>
  <c r="AA148" i="541"/>
  <c r="Z148" i="541"/>
  <c r="Y148" i="541"/>
  <c r="X148" i="541"/>
  <c r="U148" i="541"/>
  <c r="T148" i="541"/>
  <c r="S148" i="541"/>
  <c r="Q148" i="541"/>
  <c r="P148" i="541"/>
  <c r="O148" i="541"/>
  <c r="I148" i="541"/>
  <c r="G148" i="541"/>
  <c r="C528" i="541" s="1"/>
  <c r="V147" i="541"/>
  <c r="W147" i="541" s="1"/>
  <c r="N147" i="541"/>
  <c r="K147" i="541" a="1"/>
  <c r="K147" i="541" s="1"/>
  <c r="M147" i="541" s="1"/>
  <c r="J147" i="541" a="1"/>
  <c r="J147" i="541" s="1"/>
  <c r="H147" i="541"/>
  <c r="K145" i="541" a="1"/>
  <c r="K145" i="541" s="1"/>
  <c r="H145" i="541"/>
  <c r="K144" i="541" a="1"/>
  <c r="K144" i="541" s="1"/>
  <c r="H144" i="541"/>
  <c r="K143" i="541" a="1"/>
  <c r="K143" i="541" s="1"/>
  <c r="H143" i="541"/>
  <c r="V142" i="541"/>
  <c r="W142" i="541" s="1"/>
  <c r="N142" i="541"/>
  <c r="K142" i="541"/>
  <c r="M142" i="541" s="1"/>
  <c r="K142" i="541" a="1"/>
  <c r="J142" i="541" a="1"/>
  <c r="J142" i="541" s="1"/>
  <c r="H142" i="541"/>
  <c r="V141" i="541"/>
  <c r="W141" i="541" s="1"/>
  <c r="N141" i="541"/>
  <c r="K141" i="541" a="1"/>
  <c r="K141" i="541" s="1"/>
  <c r="M141" i="541" s="1"/>
  <c r="J141" i="541" a="1"/>
  <c r="J141" i="541" s="1"/>
  <c r="H141" i="541"/>
  <c r="V140" i="541"/>
  <c r="W140" i="541" s="1"/>
  <c r="N140" i="541"/>
  <c r="K140" i="541"/>
  <c r="M140" i="541" s="1"/>
  <c r="K140" i="541" a="1"/>
  <c r="J140" i="541" a="1"/>
  <c r="J140" i="541" s="1"/>
  <c r="H140" i="541"/>
  <c r="V139" i="541"/>
  <c r="W139" i="541" s="1"/>
  <c r="N139" i="541"/>
  <c r="K139" i="541" a="1"/>
  <c r="K139" i="541" s="1"/>
  <c r="M139" i="541" s="1"/>
  <c r="J139" i="541" a="1"/>
  <c r="J139" i="541" s="1"/>
  <c r="H139" i="541"/>
  <c r="V138" i="541"/>
  <c r="V148" i="541" s="1"/>
  <c r="W148" i="541" s="1"/>
  <c r="N138" i="541"/>
  <c r="K138" i="541"/>
  <c r="M138" i="541" s="1"/>
  <c r="K138" i="541" a="1"/>
  <c r="J138" i="541" a="1"/>
  <c r="J138" i="541" s="1"/>
  <c r="H138" i="541"/>
  <c r="AA137" i="541"/>
  <c r="Z137" i="541"/>
  <c r="Y137" i="541"/>
  <c r="X137" i="541"/>
  <c r="U137" i="541"/>
  <c r="T137" i="541"/>
  <c r="S137" i="541"/>
  <c r="Q137" i="541"/>
  <c r="P137" i="541"/>
  <c r="O137" i="541"/>
  <c r="I137" i="541"/>
  <c r="G137" i="541"/>
  <c r="C527" i="541" s="1"/>
  <c r="V136" i="541"/>
  <c r="W136" i="541" s="1"/>
  <c r="N136" i="541"/>
  <c r="K136" i="541" a="1"/>
  <c r="K136" i="541" s="1"/>
  <c r="M136" i="541" s="1"/>
  <c r="J136" i="541" a="1"/>
  <c r="J136" i="541" s="1"/>
  <c r="H136" i="541"/>
  <c r="V135" i="541"/>
  <c r="W135" i="541" s="1"/>
  <c r="N135" i="541"/>
  <c r="K135" i="541" a="1"/>
  <c r="K135" i="541" s="1"/>
  <c r="M135" i="541" s="1"/>
  <c r="J135" i="541" a="1"/>
  <c r="J135" i="541" s="1"/>
  <c r="H135" i="541"/>
  <c r="V134" i="541"/>
  <c r="W134" i="541" s="1"/>
  <c r="N134" i="541"/>
  <c r="K134" i="541" a="1"/>
  <c r="K134" i="541" s="1"/>
  <c r="M134" i="541" s="1"/>
  <c r="J134" i="541" a="1"/>
  <c r="J134" i="541" s="1"/>
  <c r="H134" i="541"/>
  <c r="V133" i="541"/>
  <c r="W133" i="541" s="1"/>
  <c r="N133" i="541"/>
  <c r="K133" i="541"/>
  <c r="M133" i="541" s="1"/>
  <c r="K133" i="541" a="1"/>
  <c r="J133" i="541"/>
  <c r="J133" i="541" a="1"/>
  <c r="H133" i="541"/>
  <c r="V132" i="541"/>
  <c r="W132" i="541" s="1"/>
  <c r="N132" i="541"/>
  <c r="K132" i="541" a="1"/>
  <c r="K132" i="541" s="1"/>
  <c r="M132" i="541" s="1"/>
  <c r="J132" i="541" a="1"/>
  <c r="J132" i="541" s="1"/>
  <c r="H132" i="541"/>
  <c r="V131" i="541"/>
  <c r="W131" i="541" s="1"/>
  <c r="N131" i="541"/>
  <c r="K131" i="541" a="1"/>
  <c r="K131" i="541" s="1"/>
  <c r="M131" i="541" s="1"/>
  <c r="J131" i="541" a="1"/>
  <c r="J131" i="541" s="1"/>
  <c r="H131" i="541"/>
  <c r="V130" i="541"/>
  <c r="W130" i="541" s="1"/>
  <c r="N130" i="541"/>
  <c r="K130" i="541" a="1"/>
  <c r="K130" i="541" s="1"/>
  <c r="M130" i="541" s="1"/>
  <c r="J130" i="541" a="1"/>
  <c r="J130" i="541" s="1"/>
  <c r="H130" i="541"/>
  <c r="V129" i="541"/>
  <c r="W129" i="541" s="1"/>
  <c r="N129" i="541"/>
  <c r="K129" i="541"/>
  <c r="M129" i="541" s="1"/>
  <c r="K129" i="541" a="1"/>
  <c r="J129" i="541"/>
  <c r="J129" i="541" a="1"/>
  <c r="H129" i="541"/>
  <c r="V128" i="541"/>
  <c r="W128" i="541" s="1"/>
  <c r="N128" i="541"/>
  <c r="K128" i="541" a="1"/>
  <c r="K128" i="541" s="1"/>
  <c r="M128" i="541" s="1"/>
  <c r="J128" i="541" a="1"/>
  <c r="J128" i="541" s="1"/>
  <c r="H128" i="541"/>
  <c r="V127" i="541"/>
  <c r="W127" i="541" s="1"/>
  <c r="N127" i="541"/>
  <c r="K127" i="541" a="1"/>
  <c r="K127" i="541" s="1"/>
  <c r="M127" i="541" s="1"/>
  <c r="J127" i="541" a="1"/>
  <c r="J127" i="541" s="1"/>
  <c r="H127" i="541"/>
  <c r="V126" i="541"/>
  <c r="W126" i="541" s="1"/>
  <c r="N126" i="541"/>
  <c r="K126" i="541" a="1"/>
  <c r="K126" i="541" s="1"/>
  <c r="M126" i="541" s="1"/>
  <c r="J126" i="541" a="1"/>
  <c r="J126" i="541" s="1"/>
  <c r="H126" i="541"/>
  <c r="V125" i="541"/>
  <c r="W125" i="541" s="1"/>
  <c r="N125" i="541"/>
  <c r="K125" i="541"/>
  <c r="M125" i="541" s="1"/>
  <c r="K125" i="541" a="1"/>
  <c r="J125" i="541"/>
  <c r="J125" i="541" a="1"/>
  <c r="H125" i="541"/>
  <c r="V124" i="541"/>
  <c r="W124" i="541" s="1"/>
  <c r="N124" i="541"/>
  <c r="K124" i="541" a="1"/>
  <c r="K124" i="541" s="1"/>
  <c r="M124" i="541" s="1"/>
  <c r="J124" i="541" a="1"/>
  <c r="J124" i="541" s="1"/>
  <c r="H124" i="541"/>
  <c r="V123" i="541"/>
  <c r="W123" i="541" s="1"/>
  <c r="N123" i="541"/>
  <c r="K123" i="541" a="1"/>
  <c r="K123" i="541" s="1"/>
  <c r="M123" i="541" s="1"/>
  <c r="J123" i="541" a="1"/>
  <c r="J123" i="541" s="1"/>
  <c r="H123" i="541"/>
  <c r="V122" i="541"/>
  <c r="W122" i="541" s="1"/>
  <c r="N122" i="541"/>
  <c r="K122" i="541" a="1"/>
  <c r="K122" i="541" s="1"/>
  <c r="J122" i="541" a="1"/>
  <c r="J122" i="541" s="1"/>
  <c r="H122" i="541"/>
  <c r="AA121" i="541"/>
  <c r="Z121" i="541"/>
  <c r="Y121" i="541"/>
  <c r="X121" i="541"/>
  <c r="U121" i="541"/>
  <c r="T121" i="541"/>
  <c r="S121" i="541"/>
  <c r="R121" i="541"/>
  <c r="Q121" i="541"/>
  <c r="P121" i="541"/>
  <c r="O121" i="541"/>
  <c r="I121" i="541"/>
  <c r="G121" i="541"/>
  <c r="C526" i="541" s="1"/>
  <c r="V120" i="541"/>
  <c r="W120" i="541" s="1"/>
  <c r="N120" i="541"/>
  <c r="K120" i="541" a="1"/>
  <c r="K120" i="541" s="1"/>
  <c r="M120" i="541" s="1"/>
  <c r="J120" i="541" a="1"/>
  <c r="J120" i="541" s="1"/>
  <c r="H120" i="541"/>
  <c r="V119" i="541"/>
  <c r="W119" i="541" s="1"/>
  <c r="N119" i="541"/>
  <c r="K119" i="541"/>
  <c r="M119" i="541" s="1"/>
  <c r="K119" i="541" a="1"/>
  <c r="J119" i="541"/>
  <c r="J119" i="541" a="1"/>
  <c r="H119" i="541"/>
  <c r="V118" i="541"/>
  <c r="W118" i="541" s="1"/>
  <c r="N118" i="541"/>
  <c r="K118" i="541" a="1"/>
  <c r="K118" i="541" s="1"/>
  <c r="M118" i="541" s="1"/>
  <c r="J118" i="541" a="1"/>
  <c r="J118" i="541" s="1"/>
  <c r="H118" i="541"/>
  <c r="K117" i="541" a="1"/>
  <c r="K117" i="541" s="1"/>
  <c r="H117" i="541"/>
  <c r="K116" i="541" a="1"/>
  <c r="K116" i="541" s="1"/>
  <c r="H116" i="541"/>
  <c r="K115" i="541" a="1"/>
  <c r="K115" i="541" s="1"/>
  <c r="H115" i="541"/>
  <c r="V114" i="541"/>
  <c r="W114" i="541" s="1"/>
  <c r="N114" i="541"/>
  <c r="K114" i="541" a="1"/>
  <c r="K114" i="541" s="1"/>
  <c r="M114" i="541" s="1"/>
  <c r="H114" i="541"/>
  <c r="V113" i="541"/>
  <c r="W113" i="541" s="1"/>
  <c r="N113" i="541"/>
  <c r="K113" i="541"/>
  <c r="M113" i="541" s="1"/>
  <c r="K113" i="541" a="1"/>
  <c r="H113" i="541"/>
  <c r="N112" i="541"/>
  <c r="K112" i="541" a="1"/>
  <c r="K112" i="541" s="1"/>
  <c r="M112" i="541" s="1"/>
  <c r="H112" i="541"/>
  <c r="N111" i="541"/>
  <c r="K111" i="541" a="1"/>
  <c r="K111" i="541" s="1"/>
  <c r="M111" i="541" s="1"/>
  <c r="H111" i="541"/>
  <c r="N110" i="541"/>
  <c r="K110" i="541" a="1"/>
  <c r="K110" i="541" s="1"/>
  <c r="M110" i="541" s="1"/>
  <c r="H110" i="541"/>
  <c r="N109" i="541"/>
  <c r="K109" i="541"/>
  <c r="M109" i="541" s="1"/>
  <c r="K109" i="541" a="1"/>
  <c r="H109" i="541"/>
  <c r="N108" i="541"/>
  <c r="K108" i="541" a="1"/>
  <c r="K108" i="541" s="1"/>
  <c r="M108" i="541" s="1"/>
  <c r="H108" i="541"/>
  <c r="N107" i="541"/>
  <c r="K107" i="541" a="1"/>
  <c r="K107" i="541" s="1"/>
  <c r="M107" i="541" s="1"/>
  <c r="H107" i="541"/>
  <c r="V106" i="541"/>
  <c r="W106" i="541" s="1"/>
  <c r="N106" i="541"/>
  <c r="K106" i="541" a="1"/>
  <c r="K106" i="541" s="1"/>
  <c r="M106" i="541" s="1"/>
  <c r="H106" i="541"/>
  <c r="V105" i="541"/>
  <c r="W105" i="541" s="1"/>
  <c r="N105" i="541"/>
  <c r="K105" i="541"/>
  <c r="M105" i="541" s="1"/>
  <c r="K105" i="541" a="1"/>
  <c r="H105" i="541"/>
  <c r="V104" i="541"/>
  <c r="W104" i="541" s="1"/>
  <c r="N104" i="541"/>
  <c r="K104" i="541" a="1"/>
  <c r="K104" i="541" s="1"/>
  <c r="M104" i="541" s="1"/>
  <c r="H104" i="541"/>
  <c r="V103" i="541"/>
  <c r="W103" i="541" s="1"/>
  <c r="N103" i="541"/>
  <c r="K103" i="541" a="1"/>
  <c r="K103" i="541" s="1"/>
  <c r="M103" i="541" s="1"/>
  <c r="H103" i="541"/>
  <c r="V102" i="541"/>
  <c r="W102" i="541" s="1"/>
  <c r="N102" i="541"/>
  <c r="K102" i="541" a="1"/>
  <c r="K102" i="541" s="1"/>
  <c r="M102" i="541" s="1"/>
  <c r="H102" i="541"/>
  <c r="V101" i="541"/>
  <c r="W101" i="541" s="1"/>
  <c r="N101" i="541"/>
  <c r="K101" i="541"/>
  <c r="M101" i="541" s="1"/>
  <c r="K101" i="541" a="1"/>
  <c r="H101" i="541"/>
  <c r="V100" i="541"/>
  <c r="W100" i="541" s="1"/>
  <c r="N100" i="541"/>
  <c r="K100" i="541" a="1"/>
  <c r="K100" i="541" s="1"/>
  <c r="M100" i="541" s="1"/>
  <c r="H100" i="541"/>
  <c r="V99" i="541"/>
  <c r="W99" i="541" s="1"/>
  <c r="N99" i="541"/>
  <c r="K99" i="541" a="1"/>
  <c r="K99" i="541" s="1"/>
  <c r="M99" i="541" s="1"/>
  <c r="H99" i="541"/>
  <c r="V98" i="541"/>
  <c r="W98" i="541" s="1"/>
  <c r="N98" i="541"/>
  <c r="K98" i="541" a="1"/>
  <c r="K98" i="541" s="1"/>
  <c r="M98" i="541" s="1"/>
  <c r="H98" i="541"/>
  <c r="V97" i="541"/>
  <c r="W97" i="541" s="1"/>
  <c r="N97" i="541"/>
  <c r="K97" i="541"/>
  <c r="M97" i="541" s="1"/>
  <c r="K97" i="541" a="1"/>
  <c r="H97" i="541"/>
  <c r="V96" i="541"/>
  <c r="W96" i="541" s="1"/>
  <c r="N96" i="541"/>
  <c r="K96" i="541" a="1"/>
  <c r="K96" i="541" s="1"/>
  <c r="M96" i="541" s="1"/>
  <c r="H96" i="541"/>
  <c r="V95" i="541"/>
  <c r="W95" i="541" s="1"/>
  <c r="N95" i="541"/>
  <c r="K95" i="541" a="1"/>
  <c r="K95" i="541" s="1"/>
  <c r="M95" i="541" s="1"/>
  <c r="H95" i="541"/>
  <c r="K94" i="541" a="1"/>
  <c r="K94" i="541" s="1"/>
  <c r="M94" i="541" s="1"/>
  <c r="H94" i="541"/>
  <c r="V93" i="541"/>
  <c r="W93" i="541" s="1"/>
  <c r="N93" i="541"/>
  <c r="K93" i="541" a="1"/>
  <c r="K93" i="541" s="1"/>
  <c r="M93" i="541" s="1"/>
  <c r="J93" i="541" a="1"/>
  <c r="J93" i="541" s="1"/>
  <c r="H93" i="541"/>
  <c r="V92" i="541"/>
  <c r="W92" i="541" s="1"/>
  <c r="N92" i="541"/>
  <c r="K92" i="541"/>
  <c r="M92" i="541" s="1"/>
  <c r="K92" i="541" a="1"/>
  <c r="J92" i="541"/>
  <c r="J92" i="541" a="1"/>
  <c r="H92" i="541"/>
  <c r="V91" i="541"/>
  <c r="W91" i="541" s="1"/>
  <c r="N91" i="541"/>
  <c r="K91" i="541" a="1"/>
  <c r="K91" i="541" s="1"/>
  <c r="M91" i="541" s="1"/>
  <c r="J91" i="541" a="1"/>
  <c r="J91" i="541" s="1"/>
  <c r="H91" i="541"/>
  <c r="V90" i="541"/>
  <c r="W90" i="541" s="1"/>
  <c r="N90" i="541"/>
  <c r="K90" i="541" a="1"/>
  <c r="K90" i="541" s="1"/>
  <c r="M90" i="541" s="1"/>
  <c r="J90" i="541" a="1"/>
  <c r="J90" i="541" s="1"/>
  <c r="H90" i="541"/>
  <c r="V89" i="541"/>
  <c r="W89" i="541" s="1"/>
  <c r="N89" i="541"/>
  <c r="K89" i="541" a="1"/>
  <c r="K89" i="541" s="1"/>
  <c r="M89" i="541" s="1"/>
  <c r="J89" i="541" a="1"/>
  <c r="J89" i="541" s="1"/>
  <c r="H89" i="541"/>
  <c r="V88" i="541"/>
  <c r="W88" i="541" s="1"/>
  <c r="N88" i="541"/>
  <c r="K88" i="541"/>
  <c r="M88" i="541" s="1"/>
  <c r="K88" i="541" a="1"/>
  <c r="J88" i="541"/>
  <c r="J88" i="541" a="1"/>
  <c r="H88" i="541"/>
  <c r="V87" i="541"/>
  <c r="N87" i="541"/>
  <c r="K87" i="541" a="1"/>
  <c r="K87" i="541" s="1"/>
  <c r="J87" i="541" a="1"/>
  <c r="J87" i="541" s="1"/>
  <c r="H87" i="541"/>
  <c r="AA86" i="541"/>
  <c r="Z86" i="541"/>
  <c r="Y86" i="541"/>
  <c r="X86" i="541"/>
  <c r="U86" i="541"/>
  <c r="T86" i="541"/>
  <c r="S86" i="541"/>
  <c r="R86" i="541"/>
  <c r="Q86" i="541"/>
  <c r="P86" i="541"/>
  <c r="O86" i="541"/>
  <c r="R167" i="541" s="1"/>
  <c r="I86" i="541"/>
  <c r="G86" i="541"/>
  <c r="C525" i="541" s="1"/>
  <c r="K85" i="541" a="1"/>
  <c r="K85" i="541" s="1"/>
  <c r="H85" i="541"/>
  <c r="K84" i="541"/>
  <c r="K84" i="541" a="1"/>
  <c r="H84" i="541"/>
  <c r="K83" i="541" a="1"/>
  <c r="K83" i="541" s="1"/>
  <c r="H83" i="541"/>
  <c r="K82" i="541" a="1"/>
  <c r="K82" i="541" s="1"/>
  <c r="H82" i="541"/>
  <c r="K81" i="541" a="1"/>
  <c r="K81" i="541" s="1"/>
  <c r="H81" i="541"/>
  <c r="K80" i="541"/>
  <c r="K80" i="541" a="1"/>
  <c r="H80" i="541"/>
  <c r="K79" i="541" a="1"/>
  <c r="K79" i="541" s="1"/>
  <c r="M79" i="541" s="1"/>
  <c r="H79" i="541"/>
  <c r="K78" i="541"/>
  <c r="M78" i="541" s="1"/>
  <c r="K78" i="541" a="1"/>
  <c r="H78" i="541"/>
  <c r="K77" i="541" a="1"/>
  <c r="K77" i="541" s="1"/>
  <c r="M77" i="541" s="1"/>
  <c r="H77" i="541"/>
  <c r="K76" i="541" a="1"/>
  <c r="K76" i="541" s="1"/>
  <c r="M76" i="541" s="1"/>
  <c r="H76" i="541"/>
  <c r="V75" i="541"/>
  <c r="W75" i="541" s="1"/>
  <c r="N75" i="541"/>
  <c r="K75" i="541" a="1"/>
  <c r="K75" i="541" s="1"/>
  <c r="M75" i="541" s="1"/>
  <c r="J75" i="541" a="1"/>
  <c r="J75" i="541" s="1"/>
  <c r="H75" i="541"/>
  <c r="V74" i="541"/>
  <c r="W74" i="541" s="1"/>
  <c r="N74" i="541"/>
  <c r="K74" i="541"/>
  <c r="M74" i="541" s="1"/>
  <c r="K74" i="541" a="1"/>
  <c r="J74" i="541" a="1"/>
  <c r="J74" i="541" s="1"/>
  <c r="H74" i="541"/>
  <c r="V73" i="541"/>
  <c r="W73" i="541" s="1"/>
  <c r="N73" i="541"/>
  <c r="K73" i="541" a="1"/>
  <c r="K73" i="541" s="1"/>
  <c r="M73" i="541" s="1"/>
  <c r="J73" i="541" a="1"/>
  <c r="J73" i="541" s="1"/>
  <c r="H73" i="541"/>
  <c r="V72" i="541"/>
  <c r="W72" i="541" s="1"/>
  <c r="N72" i="541"/>
  <c r="K72" i="541"/>
  <c r="M72" i="541" s="1"/>
  <c r="K72" i="541" a="1"/>
  <c r="J72" i="541" a="1"/>
  <c r="J72" i="541" s="1"/>
  <c r="H72" i="541"/>
  <c r="H71" i="541"/>
  <c r="V70" i="541"/>
  <c r="W70" i="541" s="1"/>
  <c r="N70" i="541"/>
  <c r="K70" i="541" a="1"/>
  <c r="K70" i="541" s="1"/>
  <c r="M70" i="541" s="1"/>
  <c r="J70" i="541" a="1"/>
  <c r="J70" i="541" s="1"/>
  <c r="H70" i="541"/>
  <c r="V69" i="541"/>
  <c r="W69" i="541" s="1"/>
  <c r="N69" i="541"/>
  <c r="K69" i="541" a="1"/>
  <c r="K69" i="541" s="1"/>
  <c r="M69" i="541" s="1"/>
  <c r="J69" i="541" a="1"/>
  <c r="J69" i="541" s="1"/>
  <c r="H69" i="541"/>
  <c r="K68" i="541" a="1"/>
  <c r="K68" i="541" s="1"/>
  <c r="H68" i="541"/>
  <c r="K67" i="541"/>
  <c r="K67" i="541" a="1"/>
  <c r="H67" i="541"/>
  <c r="V66" i="541"/>
  <c r="W66" i="541" s="1"/>
  <c r="N66" i="541"/>
  <c r="K66" i="541" a="1"/>
  <c r="K66" i="541" s="1"/>
  <c r="M66" i="541" s="1"/>
  <c r="J66" i="541" a="1"/>
  <c r="J66" i="541" s="1"/>
  <c r="H66" i="541"/>
  <c r="V65" i="541"/>
  <c r="W65" i="541" s="1"/>
  <c r="N65" i="541"/>
  <c r="K65" i="541" a="1"/>
  <c r="K65" i="541" s="1"/>
  <c r="M65" i="541" s="1"/>
  <c r="J65" i="541" a="1"/>
  <c r="J65" i="541" s="1"/>
  <c r="H65" i="541"/>
  <c r="V64" i="541"/>
  <c r="W64" i="541" s="1"/>
  <c r="N64" i="541"/>
  <c r="K64" i="541" a="1"/>
  <c r="K64" i="541" s="1"/>
  <c r="M64" i="541" s="1"/>
  <c r="J64" i="541" a="1"/>
  <c r="J64" i="541" s="1"/>
  <c r="H64" i="541"/>
  <c r="V63" i="541"/>
  <c r="W63" i="541" s="1"/>
  <c r="N63" i="541"/>
  <c r="K63" i="541" a="1"/>
  <c r="K63" i="541" s="1"/>
  <c r="M63" i="541" s="1"/>
  <c r="J63" i="541" a="1"/>
  <c r="J63" i="541" s="1"/>
  <c r="H63" i="541"/>
  <c r="V62" i="541"/>
  <c r="W62" i="541" s="1"/>
  <c r="N62" i="541"/>
  <c r="K62" i="541" a="1"/>
  <c r="K62" i="541" s="1"/>
  <c r="M62" i="541" s="1"/>
  <c r="J62" i="541" a="1"/>
  <c r="J62" i="541" s="1"/>
  <c r="H62" i="541"/>
  <c r="V61" i="541"/>
  <c r="W61" i="541" s="1"/>
  <c r="N61" i="541"/>
  <c r="K61" i="541" a="1"/>
  <c r="K61" i="541" s="1"/>
  <c r="M61" i="541" s="1"/>
  <c r="J61" i="541" a="1"/>
  <c r="J61" i="541" s="1"/>
  <c r="H61" i="541"/>
  <c r="V60" i="541"/>
  <c r="W60" i="541" s="1"/>
  <c r="N60" i="541"/>
  <c r="K60" i="541" a="1"/>
  <c r="K60" i="541" s="1"/>
  <c r="M60" i="541" s="1"/>
  <c r="J60" i="541" a="1"/>
  <c r="J60" i="541" s="1"/>
  <c r="H60" i="541"/>
  <c r="V59" i="541"/>
  <c r="W59" i="541" s="1"/>
  <c r="N59" i="541"/>
  <c r="K59" i="541" a="1"/>
  <c r="K59" i="541" s="1"/>
  <c r="M59" i="541" s="1"/>
  <c r="J59" i="541" a="1"/>
  <c r="J59" i="541" s="1"/>
  <c r="H59" i="541"/>
  <c r="V58" i="541"/>
  <c r="W58" i="541" s="1"/>
  <c r="N58" i="541"/>
  <c r="K58" i="541" a="1"/>
  <c r="K58" i="541" s="1"/>
  <c r="M58" i="541" s="1"/>
  <c r="J58" i="541" a="1"/>
  <c r="J58" i="541" s="1"/>
  <c r="H58" i="541"/>
  <c r="V57" i="541"/>
  <c r="W57" i="541" s="1"/>
  <c r="N57" i="541"/>
  <c r="K57" i="541" a="1"/>
  <c r="K57" i="541" s="1"/>
  <c r="M57" i="541" s="1"/>
  <c r="J57" i="541" a="1"/>
  <c r="J57" i="541" s="1"/>
  <c r="H57" i="541"/>
  <c r="K56" i="541" a="1"/>
  <c r="K56" i="541" s="1"/>
  <c r="M56" i="541" s="1"/>
  <c r="H56" i="541"/>
  <c r="K55" i="541" a="1"/>
  <c r="K55" i="541" s="1"/>
  <c r="M55" i="541" s="1"/>
  <c r="H55" i="541"/>
  <c r="K54" i="541" a="1"/>
  <c r="K54" i="541" s="1"/>
  <c r="M54" i="541" s="1"/>
  <c r="H54" i="541"/>
  <c r="K53" i="541" a="1"/>
  <c r="K53" i="541" s="1"/>
  <c r="M53" i="541" s="1"/>
  <c r="H53" i="541"/>
  <c r="N52" i="541"/>
  <c r="K52" i="541" a="1"/>
  <c r="K52" i="541" s="1"/>
  <c r="M52" i="541" s="1"/>
  <c r="H52" i="541"/>
  <c r="N51" i="541"/>
  <c r="K51" i="541" a="1"/>
  <c r="K51" i="541" s="1"/>
  <c r="M51" i="541" s="1"/>
  <c r="H51" i="541"/>
  <c r="N50" i="541"/>
  <c r="K50" i="541"/>
  <c r="M50" i="541" s="1"/>
  <c r="K50" i="541" a="1"/>
  <c r="H50" i="541"/>
  <c r="N49" i="541"/>
  <c r="K49" i="541" a="1"/>
  <c r="K49" i="541" s="1"/>
  <c r="M49" i="541" s="1"/>
  <c r="H49" i="541"/>
  <c r="V48" i="541"/>
  <c r="W48" i="541" s="1"/>
  <c r="N48" i="541"/>
  <c r="K48" i="541" a="1"/>
  <c r="K48" i="541" s="1"/>
  <c r="M48" i="541" s="1"/>
  <c r="J48" i="541" a="1"/>
  <c r="J48" i="541" s="1"/>
  <c r="H48" i="541"/>
  <c r="V47" i="541"/>
  <c r="W47" i="541" s="1"/>
  <c r="N47" i="541"/>
  <c r="K47" i="541" a="1"/>
  <c r="K47" i="541" s="1"/>
  <c r="M47" i="541" s="1"/>
  <c r="J47" i="541" a="1"/>
  <c r="J47" i="541" s="1"/>
  <c r="H47" i="541"/>
  <c r="V46" i="541"/>
  <c r="W46" i="541" s="1"/>
  <c r="N46" i="541"/>
  <c r="K46" i="541" a="1"/>
  <c r="K46" i="541" s="1"/>
  <c r="M46" i="541" s="1"/>
  <c r="J46" i="541" a="1"/>
  <c r="J46" i="541" s="1"/>
  <c r="H46" i="541"/>
  <c r="V45" i="541"/>
  <c r="W45" i="541" s="1"/>
  <c r="N45" i="541"/>
  <c r="K45" i="541" a="1"/>
  <c r="K45" i="541" s="1"/>
  <c r="M45" i="541" s="1"/>
  <c r="J45" i="541" a="1"/>
  <c r="J45" i="541" s="1"/>
  <c r="H45" i="541"/>
  <c r="V44" i="541"/>
  <c r="W44" i="541" s="1"/>
  <c r="N44" i="541"/>
  <c r="K44" i="541" a="1"/>
  <c r="K44" i="541" s="1"/>
  <c r="M44" i="541" s="1"/>
  <c r="J44" i="541" a="1"/>
  <c r="J44" i="541" s="1"/>
  <c r="H44" i="541"/>
  <c r="V43" i="541"/>
  <c r="W43" i="541" s="1"/>
  <c r="N43" i="541"/>
  <c r="K43" i="541" a="1"/>
  <c r="K43" i="541" s="1"/>
  <c r="M43" i="541" s="1"/>
  <c r="J43" i="541" a="1"/>
  <c r="J43" i="541" s="1"/>
  <c r="H43" i="541"/>
  <c r="V42" i="541"/>
  <c r="W42" i="541" s="1"/>
  <c r="N42" i="541"/>
  <c r="K42" i="541"/>
  <c r="M42" i="541" s="1"/>
  <c r="K42" i="541" a="1"/>
  <c r="J42" i="541"/>
  <c r="J42" i="541" a="1"/>
  <c r="H42" i="541"/>
  <c r="V41" i="541"/>
  <c r="W41" i="541" s="1"/>
  <c r="N41" i="541"/>
  <c r="K41" i="541" a="1"/>
  <c r="K41" i="541" s="1"/>
  <c r="M41" i="541" s="1"/>
  <c r="J41" i="541" a="1"/>
  <c r="J41" i="541" s="1"/>
  <c r="H41" i="541"/>
  <c r="V40" i="541"/>
  <c r="W40" i="541" s="1"/>
  <c r="N40" i="541"/>
  <c r="K40" i="541" a="1"/>
  <c r="K40" i="541" s="1"/>
  <c r="M40" i="541" s="1"/>
  <c r="J40" i="541" a="1"/>
  <c r="J40" i="541" s="1"/>
  <c r="H40" i="541"/>
  <c r="V39" i="541"/>
  <c r="W39" i="541" s="1"/>
  <c r="N39" i="541"/>
  <c r="K39" i="541" a="1"/>
  <c r="K39" i="541" s="1"/>
  <c r="M39" i="541" s="1"/>
  <c r="J39" i="541" a="1"/>
  <c r="J39" i="541" s="1"/>
  <c r="H39" i="541"/>
  <c r="V38" i="541"/>
  <c r="W38" i="541" s="1"/>
  <c r="N38" i="541"/>
  <c r="K38" i="541" a="1"/>
  <c r="K38" i="541" s="1"/>
  <c r="M38" i="541" s="1"/>
  <c r="J38" i="541" a="1"/>
  <c r="J38" i="541" s="1"/>
  <c r="H38" i="541"/>
  <c r="V37" i="541"/>
  <c r="W37" i="541" s="1"/>
  <c r="N37" i="541"/>
  <c r="K37" i="541" a="1"/>
  <c r="K37" i="541" s="1"/>
  <c r="M37" i="541" s="1"/>
  <c r="J37" i="541" a="1"/>
  <c r="J37" i="541" s="1"/>
  <c r="H37" i="541"/>
  <c r="H36" i="541"/>
  <c r="H35" i="541"/>
  <c r="H34" i="541"/>
  <c r="V33" i="541"/>
  <c r="W33" i="541" s="1"/>
  <c r="N33" i="541"/>
  <c r="K33" i="541" a="1"/>
  <c r="K33" i="541" s="1"/>
  <c r="M33" i="541" s="1"/>
  <c r="J33" i="541" a="1"/>
  <c r="J33" i="541" s="1"/>
  <c r="H33" i="541"/>
  <c r="V32" i="541"/>
  <c r="W32" i="541" s="1"/>
  <c r="N32" i="541"/>
  <c r="K32" i="541" a="1"/>
  <c r="K32" i="541" s="1"/>
  <c r="M32" i="541" s="1"/>
  <c r="J32" i="541" a="1"/>
  <c r="J32" i="541" s="1"/>
  <c r="H32" i="541"/>
  <c r="V31" i="541"/>
  <c r="W31" i="541" s="1"/>
  <c r="N31" i="541"/>
  <c r="K31" i="541" a="1"/>
  <c r="K31" i="541" s="1"/>
  <c r="M31" i="541" s="1"/>
  <c r="J31" i="541" a="1"/>
  <c r="J31" i="541" s="1"/>
  <c r="H31" i="541"/>
  <c r="K30" i="541" a="1"/>
  <c r="K30" i="541" s="1"/>
  <c r="H30" i="541"/>
  <c r="V29" i="541"/>
  <c r="N29" i="541"/>
  <c r="K29" i="541" a="1"/>
  <c r="K29" i="541" s="1"/>
  <c r="J29" i="541" a="1"/>
  <c r="J29" i="541" s="1"/>
  <c r="H29" i="541"/>
  <c r="AA28" i="541"/>
  <c r="AA164" i="541" s="1"/>
  <c r="Z28" i="541"/>
  <c r="Y28" i="541"/>
  <c r="Y164" i="541" s="1"/>
  <c r="X28" i="541"/>
  <c r="U28" i="541"/>
  <c r="U164" i="541" s="1"/>
  <c r="T28" i="541"/>
  <c r="S28" i="541"/>
  <c r="S164" i="541" s="1"/>
  <c r="R28" i="541"/>
  <c r="Q28" i="541"/>
  <c r="Q164" i="541" s="1"/>
  <c r="P28" i="541"/>
  <c r="O28" i="541"/>
  <c r="O164" i="541" s="1"/>
  <c r="I28" i="541"/>
  <c r="G28" i="541"/>
  <c r="C524" i="541" s="1"/>
  <c r="V27" i="541"/>
  <c r="W27" i="541" s="1"/>
  <c r="N27" i="541"/>
  <c r="K27" i="541" a="1"/>
  <c r="K27" i="541" s="1"/>
  <c r="M27" i="541" s="1"/>
  <c r="J27" i="541" a="1"/>
  <c r="J27" i="541" s="1"/>
  <c r="H27" i="541"/>
  <c r="V26" i="541"/>
  <c r="W26" i="541" s="1"/>
  <c r="N26" i="541"/>
  <c r="K26" i="541"/>
  <c r="M26" i="541" s="1"/>
  <c r="K26" i="541" a="1"/>
  <c r="J26" i="541"/>
  <c r="J26" i="541" a="1"/>
  <c r="H26" i="541"/>
  <c r="K25" i="541" a="1"/>
  <c r="K25" i="541" s="1"/>
  <c r="M25" i="541" s="1"/>
  <c r="J25" i="541" a="1"/>
  <c r="J25" i="541" s="1"/>
  <c r="H25" i="541"/>
  <c r="K24" i="541" a="1"/>
  <c r="K24" i="541" s="1"/>
  <c r="M24" i="541" s="1"/>
  <c r="J24" i="541" a="1"/>
  <c r="J24" i="541" s="1"/>
  <c r="H24" i="541"/>
  <c r="K23" i="541" a="1"/>
  <c r="K23" i="541" s="1"/>
  <c r="M23" i="541" s="1"/>
  <c r="J23" i="541" a="1"/>
  <c r="J23" i="541" s="1"/>
  <c r="H23" i="541"/>
  <c r="K22" i="541" a="1"/>
  <c r="K22" i="541" s="1"/>
  <c r="M22" i="541" s="1"/>
  <c r="J22" i="541" a="1"/>
  <c r="J22" i="541" s="1"/>
  <c r="H22" i="541"/>
  <c r="V21" i="541"/>
  <c r="W21" i="541" s="1"/>
  <c r="N21" i="541"/>
  <c r="K21" i="541" a="1"/>
  <c r="K21" i="541" s="1"/>
  <c r="M21" i="541" s="1"/>
  <c r="J21" i="541" a="1"/>
  <c r="J21" i="541" s="1"/>
  <c r="H21" i="541"/>
  <c r="V20" i="541"/>
  <c r="W20" i="541" s="1"/>
  <c r="N20" i="541"/>
  <c r="K20" i="541" a="1"/>
  <c r="K20" i="541" s="1"/>
  <c r="M20" i="541" s="1"/>
  <c r="J20" i="541" a="1"/>
  <c r="J20" i="541" s="1"/>
  <c r="H20" i="541"/>
  <c r="V19" i="541"/>
  <c r="W19" i="541" s="1"/>
  <c r="N19" i="541"/>
  <c r="K19" i="541" a="1"/>
  <c r="K19" i="541" s="1"/>
  <c r="M19" i="541" s="1"/>
  <c r="J19" i="541" a="1"/>
  <c r="J19" i="541" s="1"/>
  <c r="H19" i="541"/>
  <c r="N18" i="541"/>
  <c r="K18" i="541" a="1"/>
  <c r="K18" i="541" s="1"/>
  <c r="M18" i="541" s="1"/>
  <c r="J18" i="541" a="1"/>
  <c r="J18" i="541" s="1"/>
  <c r="H18" i="541"/>
  <c r="N17" i="541"/>
  <c r="K17" i="541" a="1"/>
  <c r="K17" i="541" s="1"/>
  <c r="M17" i="541" s="1"/>
  <c r="J17" i="541" a="1"/>
  <c r="J17" i="541" s="1"/>
  <c r="H17" i="541"/>
  <c r="V16" i="541"/>
  <c r="W16" i="541" s="1"/>
  <c r="N16" i="541"/>
  <c r="K16" i="541" a="1"/>
  <c r="K16" i="541" s="1"/>
  <c r="M16" i="541" s="1"/>
  <c r="J16" i="541" a="1"/>
  <c r="J16" i="541" s="1"/>
  <c r="H16" i="541"/>
  <c r="W15" i="541"/>
  <c r="V15" i="541"/>
  <c r="N15" i="541"/>
  <c r="K15" i="541" a="1"/>
  <c r="K15" i="541" s="1"/>
  <c r="M15" i="541" s="1"/>
  <c r="J15" i="541" a="1"/>
  <c r="J15" i="541" s="1"/>
  <c r="H15" i="541"/>
  <c r="N14" i="541"/>
  <c r="K14" i="541" a="1"/>
  <c r="K14" i="541" s="1"/>
  <c r="M14" i="541" s="1"/>
  <c r="H14" i="541"/>
  <c r="N13" i="541"/>
  <c r="K13" i="541" a="1"/>
  <c r="K13" i="541" s="1"/>
  <c r="M13" i="541" s="1"/>
  <c r="H13" i="541"/>
  <c r="V12" i="541"/>
  <c r="W12" i="541" s="1"/>
  <c r="N12" i="541"/>
  <c r="K12" i="541" a="1"/>
  <c r="K12" i="541" s="1"/>
  <c r="M12" i="541" s="1"/>
  <c r="J12" i="541" a="1"/>
  <c r="J12" i="541" s="1"/>
  <c r="H12" i="541"/>
  <c r="V11" i="541"/>
  <c r="W11" i="541" s="1"/>
  <c r="N11" i="541"/>
  <c r="K11" i="541" a="1"/>
  <c r="K11" i="541" s="1"/>
  <c r="M11" i="541" s="1"/>
  <c r="J11" i="541" a="1"/>
  <c r="J11" i="541" s="1"/>
  <c r="H11" i="541"/>
  <c r="V10" i="541"/>
  <c r="W10" i="541" s="1"/>
  <c r="N10" i="541"/>
  <c r="K10" i="541" a="1"/>
  <c r="K10" i="541" s="1"/>
  <c r="M10" i="541" s="1"/>
  <c r="J10" i="541" a="1"/>
  <c r="J10" i="541" s="1"/>
  <c r="H10" i="541"/>
  <c r="V9" i="541"/>
  <c r="W9" i="541" s="1"/>
  <c r="N9" i="541"/>
  <c r="K9" i="541"/>
  <c r="M9" i="541" s="1"/>
  <c r="K9" i="541" a="1"/>
  <c r="J9" i="541"/>
  <c r="J9" i="541" a="1"/>
  <c r="H9" i="541"/>
  <c r="V8" i="541"/>
  <c r="W8" i="541" s="1"/>
  <c r="N8" i="541"/>
  <c r="K8" i="541" a="1"/>
  <c r="K8" i="541" s="1"/>
  <c r="M8" i="541" s="1"/>
  <c r="J8" i="541" a="1"/>
  <c r="J8" i="541" s="1"/>
  <c r="H8" i="541"/>
  <c r="V7" i="541"/>
  <c r="W7" i="541" s="1"/>
  <c r="N7" i="541"/>
  <c r="K7" i="541" a="1"/>
  <c r="K7" i="541" s="1"/>
  <c r="J7" i="541" a="1"/>
  <c r="J7" i="541" s="1"/>
  <c r="H7" i="541"/>
  <c r="W480" i="541" l="1"/>
  <c r="N190" i="508"/>
  <c r="H292" i="542"/>
  <c r="H334" i="541"/>
  <c r="N370" i="541"/>
  <c r="H428" i="541"/>
  <c r="V428" i="541"/>
  <c r="W428" i="541" s="1"/>
  <c r="N217" i="508"/>
  <c r="M308" i="542"/>
  <c r="H479" i="542"/>
  <c r="N21" i="489"/>
  <c r="H257" i="541"/>
  <c r="V257" i="541"/>
  <c r="W257" i="541" s="1"/>
  <c r="N38" i="489"/>
  <c r="N121" i="542"/>
  <c r="H137" i="542"/>
  <c r="N148" i="542"/>
  <c r="N163" i="542"/>
  <c r="N151" i="489"/>
  <c r="N191" i="489"/>
  <c r="N209" i="489"/>
  <c r="N213" i="489"/>
  <c r="N240" i="489"/>
  <c r="J534" i="542"/>
  <c r="Q534" i="542" s="1"/>
  <c r="D534" i="541"/>
  <c r="N21" i="508"/>
  <c r="N181" i="489"/>
  <c r="N182" i="489"/>
  <c r="N192" i="489"/>
  <c r="W309" i="541"/>
  <c r="N10" i="489"/>
  <c r="N16" i="489"/>
  <c r="N20" i="489"/>
  <c r="N69" i="489"/>
  <c r="N102" i="508"/>
  <c r="H103" i="489"/>
  <c r="N106" i="508"/>
  <c r="H107" i="489"/>
  <c r="N109" i="489"/>
  <c r="H111" i="489"/>
  <c r="N114" i="508"/>
  <c r="N136" i="489"/>
  <c r="V199" i="542"/>
  <c r="N187" i="489"/>
  <c r="N218" i="489"/>
  <c r="J533" i="542"/>
  <c r="D533" i="541"/>
  <c r="J535" i="542"/>
  <c r="Q535" i="542" s="1"/>
  <c r="D535" i="541"/>
  <c r="N181" i="508"/>
  <c r="N182" i="508"/>
  <c r="N192" i="508"/>
  <c r="N190" i="489"/>
  <c r="N217" i="489"/>
  <c r="J308" i="541" a="1"/>
  <c r="J308" i="541" s="1"/>
  <c r="J292" i="541" a="1"/>
  <c r="J292" i="541" s="1"/>
  <c r="J257" i="541" a="1"/>
  <c r="J257" i="541" s="1"/>
  <c r="J319" i="541" a="1"/>
  <c r="J319" i="541" s="1"/>
  <c r="H308" i="541"/>
  <c r="H152" i="489"/>
  <c r="H153" i="489"/>
  <c r="N154" i="489"/>
  <c r="H155" i="489"/>
  <c r="H161" i="489"/>
  <c r="N152" i="489"/>
  <c r="H154" i="489"/>
  <c r="N155" i="489"/>
  <c r="H156" i="489"/>
  <c r="H159" i="489"/>
  <c r="N159" i="489"/>
  <c r="J148" i="541" a="1"/>
  <c r="J148" i="541" s="1"/>
  <c r="N163" i="541"/>
  <c r="H140" i="489"/>
  <c r="H142" i="489"/>
  <c r="H144" i="508"/>
  <c r="H147" i="489"/>
  <c r="H150" i="489"/>
  <c r="H148" i="541"/>
  <c r="N148" i="541"/>
  <c r="W138" i="541"/>
  <c r="R170" i="541"/>
  <c r="H163" i="541"/>
  <c r="N140" i="489"/>
  <c r="N142" i="489"/>
  <c r="N147" i="489"/>
  <c r="N150" i="489"/>
  <c r="N137" i="541"/>
  <c r="N123" i="489"/>
  <c r="H125" i="489"/>
  <c r="H127" i="489"/>
  <c r="N129" i="489"/>
  <c r="N131" i="489"/>
  <c r="H133" i="489"/>
  <c r="S137" i="489"/>
  <c r="U137" i="489"/>
  <c r="Y137" i="489"/>
  <c r="AA137" i="489"/>
  <c r="N135" i="508"/>
  <c r="H137" i="541"/>
  <c r="R169" i="541"/>
  <c r="H123" i="489"/>
  <c r="N125" i="489"/>
  <c r="N127" i="489"/>
  <c r="H129" i="489"/>
  <c r="H131" i="489"/>
  <c r="N133" i="489"/>
  <c r="Q137" i="489"/>
  <c r="N135" i="489"/>
  <c r="H118" i="489"/>
  <c r="H120" i="489"/>
  <c r="N118" i="489"/>
  <c r="N120" i="489"/>
  <c r="H116" i="489"/>
  <c r="I164" i="541"/>
  <c r="B172" i="541" s="1"/>
  <c r="X167" i="541"/>
  <c r="R164" i="541"/>
  <c r="T164" i="541"/>
  <c r="X164" i="541"/>
  <c r="Z164" i="541"/>
  <c r="R168" i="541"/>
  <c r="N95" i="489"/>
  <c r="N96" i="508"/>
  <c r="H97" i="489"/>
  <c r="N98" i="508"/>
  <c r="H99" i="489"/>
  <c r="H100" i="508"/>
  <c r="N101" i="489"/>
  <c r="H102" i="508"/>
  <c r="N103" i="489"/>
  <c r="H104" i="508"/>
  <c r="N105" i="489"/>
  <c r="H106" i="508"/>
  <c r="N108" i="508"/>
  <c r="H110" i="508"/>
  <c r="N110" i="508"/>
  <c r="H112" i="508"/>
  <c r="N112" i="508"/>
  <c r="N113" i="489"/>
  <c r="H114" i="508"/>
  <c r="H95" i="489"/>
  <c r="H96" i="508"/>
  <c r="N97" i="489"/>
  <c r="H98" i="508"/>
  <c r="N99" i="489"/>
  <c r="N100" i="508"/>
  <c r="H101" i="489"/>
  <c r="N104" i="508"/>
  <c r="H105" i="489"/>
  <c r="N107" i="489"/>
  <c r="H109" i="489"/>
  <c r="N111" i="489"/>
  <c r="H113" i="489"/>
  <c r="V121" i="541"/>
  <c r="W121" i="541" s="1"/>
  <c r="H88" i="508"/>
  <c r="N89" i="489"/>
  <c r="H90" i="508"/>
  <c r="H91" i="508"/>
  <c r="N93" i="489"/>
  <c r="N91" i="489"/>
  <c r="N92" i="489"/>
  <c r="N121" i="541"/>
  <c r="N88" i="508"/>
  <c r="H89" i="489"/>
  <c r="N90" i="508"/>
  <c r="H92" i="489"/>
  <c r="H93" i="489"/>
  <c r="N91" i="508"/>
  <c r="N92" i="508"/>
  <c r="H86" i="541"/>
  <c r="V86" i="541"/>
  <c r="W86" i="541" s="1"/>
  <c r="N73" i="489"/>
  <c r="N75" i="489"/>
  <c r="N70" i="489"/>
  <c r="N72" i="489"/>
  <c r="N74" i="489"/>
  <c r="N49" i="489"/>
  <c r="N51" i="489"/>
  <c r="N52" i="489"/>
  <c r="N59" i="489"/>
  <c r="N61" i="489"/>
  <c r="N62" i="489"/>
  <c r="N64" i="489"/>
  <c r="N48" i="489"/>
  <c r="N50" i="489"/>
  <c r="N57" i="489"/>
  <c r="N58" i="489"/>
  <c r="N60" i="489"/>
  <c r="N63" i="489"/>
  <c r="N65" i="489"/>
  <c r="N66" i="489"/>
  <c r="N48" i="508"/>
  <c r="N40" i="489"/>
  <c r="N41" i="489"/>
  <c r="N43" i="489"/>
  <c r="N45" i="508"/>
  <c r="N45" i="489"/>
  <c r="N39" i="489"/>
  <c r="N42" i="489"/>
  <c r="N44" i="489"/>
  <c r="N86" i="541"/>
  <c r="N32" i="489"/>
  <c r="N37" i="508"/>
  <c r="N31" i="489"/>
  <c r="N33" i="489"/>
  <c r="N37" i="489"/>
  <c r="N27" i="489"/>
  <c r="N26" i="489"/>
  <c r="N19" i="508"/>
  <c r="N17" i="489"/>
  <c r="N18" i="489"/>
  <c r="N19" i="489"/>
  <c r="N13" i="489"/>
  <c r="N14" i="489"/>
  <c r="N15" i="489"/>
  <c r="N11" i="508"/>
  <c r="N11" i="489"/>
  <c r="N12" i="489"/>
  <c r="N28" i="541"/>
  <c r="H28" i="541"/>
  <c r="V28" i="541"/>
  <c r="N8" i="489"/>
  <c r="N9" i="489"/>
  <c r="N7" i="489"/>
  <c r="J163" i="541" a="1"/>
  <c r="J163" i="541" s="1"/>
  <c r="H151" i="489"/>
  <c r="H94" i="508"/>
  <c r="H136" i="489"/>
  <c r="H121" i="541"/>
  <c r="H108" i="508"/>
  <c r="N308" i="541"/>
  <c r="R340" i="541"/>
  <c r="H292" i="541"/>
  <c r="K292" i="541"/>
  <c r="V292" i="541"/>
  <c r="W292" i="541" s="1"/>
  <c r="N243" i="489"/>
  <c r="N244" i="489"/>
  <c r="N246" i="489"/>
  <c r="N241" i="489"/>
  <c r="N245" i="489"/>
  <c r="N219" i="489"/>
  <c r="N220" i="489"/>
  <c r="N222" i="489"/>
  <c r="N223" i="489"/>
  <c r="N225" i="489"/>
  <c r="N229" i="489"/>
  <c r="N230" i="489"/>
  <c r="N232" i="489"/>
  <c r="N235" i="489"/>
  <c r="N237" i="489"/>
  <c r="N221" i="489"/>
  <c r="N224" i="489"/>
  <c r="N226" i="489"/>
  <c r="N227" i="489"/>
  <c r="N228" i="489"/>
  <c r="N231" i="489"/>
  <c r="N233" i="489"/>
  <c r="N234" i="489"/>
  <c r="N236" i="489"/>
  <c r="N215" i="489"/>
  <c r="N214" i="489"/>
  <c r="N211" i="489"/>
  <c r="N210" i="489"/>
  <c r="N212" i="489"/>
  <c r="N203" i="489"/>
  <c r="N257" i="541"/>
  <c r="N202" i="489"/>
  <c r="N204" i="489"/>
  <c r="N208" i="489"/>
  <c r="N198" i="489"/>
  <c r="N197" i="508"/>
  <c r="N197" i="489"/>
  <c r="N188" i="489"/>
  <c r="N189" i="489"/>
  <c r="N184" i="489"/>
  <c r="N185" i="489"/>
  <c r="N186" i="489"/>
  <c r="N183" i="489"/>
  <c r="N180" i="489"/>
  <c r="N199" i="541"/>
  <c r="N179" i="489"/>
  <c r="H199" i="541"/>
  <c r="H319" i="541"/>
  <c r="W319" i="541"/>
  <c r="K28" i="541"/>
  <c r="M490" i="541"/>
  <c r="K479" i="541"/>
  <c r="M479" i="541"/>
  <c r="V506" i="541"/>
  <c r="V463" i="541"/>
  <c r="W463" i="541" s="1"/>
  <c r="H370" i="541"/>
  <c r="V370" i="541"/>
  <c r="N428" i="541"/>
  <c r="W371" i="541"/>
  <c r="J319" i="542" a="1"/>
  <c r="J319" i="542" s="1"/>
  <c r="J308" i="542" a="1"/>
  <c r="J308" i="542" s="1"/>
  <c r="J292" i="542" a="1"/>
  <c r="J292" i="542" s="1"/>
  <c r="J463" i="542" a="1"/>
  <c r="J463" i="542" s="1"/>
  <c r="N219" i="508"/>
  <c r="N200" i="508"/>
  <c r="N202" i="508"/>
  <c r="N216" i="508"/>
  <c r="N216" i="489"/>
  <c r="Z341" i="543"/>
  <c r="Z343" i="543"/>
  <c r="M490" i="542"/>
  <c r="N479" i="542"/>
  <c r="K479" i="542"/>
  <c r="R512" i="542"/>
  <c r="V506" i="542"/>
  <c r="H463" i="542"/>
  <c r="M463" i="542"/>
  <c r="W370" i="542"/>
  <c r="K428" i="542"/>
  <c r="H370" i="542"/>
  <c r="H507" i="542" s="1"/>
  <c r="E514" i="542" s="1"/>
  <c r="V370" i="542"/>
  <c r="N428" i="542"/>
  <c r="N507" i="542" s="1"/>
  <c r="B516" i="542" s="1"/>
  <c r="E516" i="542" s="1"/>
  <c r="W371" i="542"/>
  <c r="N208" i="508"/>
  <c r="N198" i="508"/>
  <c r="I335" i="542"/>
  <c r="B343" i="542" s="1"/>
  <c r="R335" i="542"/>
  <c r="T335" i="542"/>
  <c r="X335" i="542"/>
  <c r="Z335" i="542"/>
  <c r="V334" i="542"/>
  <c r="R342" i="542"/>
  <c r="H334" i="542"/>
  <c r="K334" i="542"/>
  <c r="W320" i="542"/>
  <c r="W334" i="542" s="1"/>
  <c r="H308" i="542"/>
  <c r="V308" i="542"/>
  <c r="W308" i="542" s="1"/>
  <c r="N292" i="542"/>
  <c r="N240" i="508"/>
  <c r="N241" i="508"/>
  <c r="N243" i="508"/>
  <c r="N244" i="508"/>
  <c r="N245" i="508"/>
  <c r="N246" i="508"/>
  <c r="N220" i="508"/>
  <c r="N221" i="508"/>
  <c r="N222" i="508"/>
  <c r="N223" i="508"/>
  <c r="N224" i="508"/>
  <c r="N225" i="508"/>
  <c r="N226" i="508"/>
  <c r="N227" i="508"/>
  <c r="N228" i="508"/>
  <c r="N229" i="508"/>
  <c r="N230" i="508"/>
  <c r="N231" i="508"/>
  <c r="N232" i="508"/>
  <c r="N233" i="508"/>
  <c r="N234" i="508"/>
  <c r="N235" i="508"/>
  <c r="N236" i="508"/>
  <c r="N237" i="508"/>
  <c r="N218" i="508"/>
  <c r="N209" i="508"/>
  <c r="N210" i="508"/>
  <c r="N211" i="508"/>
  <c r="N212" i="508"/>
  <c r="N213" i="508"/>
  <c r="N214" i="508"/>
  <c r="N215" i="508"/>
  <c r="N203" i="508"/>
  <c r="N257" i="542"/>
  <c r="J257" i="542" a="1"/>
  <c r="J257" i="542" s="1"/>
  <c r="R338" i="542"/>
  <c r="N204" i="508"/>
  <c r="N200" i="489"/>
  <c r="N199" i="542"/>
  <c r="N191" i="508"/>
  <c r="H199" i="542"/>
  <c r="N183" i="508"/>
  <c r="N184" i="508"/>
  <c r="N185" i="508"/>
  <c r="N186" i="508"/>
  <c r="N187" i="508"/>
  <c r="N188" i="508"/>
  <c r="N189" i="508"/>
  <c r="N178" i="508"/>
  <c r="N179" i="508"/>
  <c r="N180" i="508"/>
  <c r="N178" i="489"/>
  <c r="H319" i="542"/>
  <c r="G519" i="543"/>
  <c r="J148" i="542" a="1"/>
  <c r="J148" i="542" s="1"/>
  <c r="J163" i="542" a="1"/>
  <c r="J163" i="542" s="1"/>
  <c r="H138" i="508"/>
  <c r="N138" i="508"/>
  <c r="H140" i="508"/>
  <c r="N140" i="508"/>
  <c r="H142" i="508"/>
  <c r="N142" i="508"/>
  <c r="H145" i="508"/>
  <c r="H147" i="508"/>
  <c r="N147" i="508"/>
  <c r="H150" i="508"/>
  <c r="N150" i="508"/>
  <c r="H152" i="508"/>
  <c r="N152" i="508"/>
  <c r="H154" i="508"/>
  <c r="N154" i="508"/>
  <c r="H156" i="508"/>
  <c r="H159" i="508"/>
  <c r="N159" i="508"/>
  <c r="H161" i="508"/>
  <c r="H139" i="489"/>
  <c r="N139" i="489"/>
  <c r="H141" i="489"/>
  <c r="N141" i="489"/>
  <c r="H143" i="489"/>
  <c r="H144" i="489"/>
  <c r="H145" i="489"/>
  <c r="H157" i="489"/>
  <c r="H158" i="489"/>
  <c r="N158" i="489"/>
  <c r="H160" i="489"/>
  <c r="H162" i="489"/>
  <c r="H148" i="542"/>
  <c r="V148" i="542"/>
  <c r="W148" i="542" s="1"/>
  <c r="R170" i="542"/>
  <c r="H163" i="542"/>
  <c r="H139" i="508"/>
  <c r="N139" i="508"/>
  <c r="H141" i="508"/>
  <c r="N141" i="508"/>
  <c r="H143" i="508"/>
  <c r="H149" i="508"/>
  <c r="N149" i="508"/>
  <c r="H151" i="508"/>
  <c r="N151" i="508"/>
  <c r="H153" i="508"/>
  <c r="H155" i="508"/>
  <c r="N155" i="508"/>
  <c r="H157" i="508"/>
  <c r="H158" i="508"/>
  <c r="N158" i="508"/>
  <c r="H160" i="508"/>
  <c r="H162" i="508"/>
  <c r="H138" i="489"/>
  <c r="N138" i="489"/>
  <c r="H149" i="489"/>
  <c r="N149" i="489"/>
  <c r="H136" i="508"/>
  <c r="N136" i="508"/>
  <c r="N137" i="542"/>
  <c r="H123" i="508"/>
  <c r="N123" i="508"/>
  <c r="H125" i="508"/>
  <c r="N125" i="508"/>
  <c r="H127" i="508"/>
  <c r="N127" i="508"/>
  <c r="H129" i="508"/>
  <c r="N129" i="508"/>
  <c r="H131" i="508"/>
  <c r="N131" i="508"/>
  <c r="H133" i="508"/>
  <c r="N133" i="508"/>
  <c r="O137" i="508"/>
  <c r="Q137" i="508"/>
  <c r="S137" i="508"/>
  <c r="U137" i="508"/>
  <c r="Y137" i="508"/>
  <c r="AA137" i="508"/>
  <c r="H122" i="489"/>
  <c r="N122" i="489"/>
  <c r="H124" i="489"/>
  <c r="N124" i="489"/>
  <c r="H126" i="489"/>
  <c r="N126" i="489"/>
  <c r="H128" i="489"/>
  <c r="N128" i="489"/>
  <c r="H130" i="489"/>
  <c r="N130" i="489"/>
  <c r="H132" i="489"/>
  <c r="N132" i="489"/>
  <c r="H134" i="489"/>
  <c r="N134" i="489"/>
  <c r="P137" i="489"/>
  <c r="T137" i="489"/>
  <c r="X137" i="489"/>
  <c r="Z137" i="489"/>
  <c r="R169" i="542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P137" i="508"/>
  <c r="T137" i="508"/>
  <c r="X137" i="508"/>
  <c r="Z137" i="508"/>
  <c r="O137" i="489"/>
  <c r="H116" i="508"/>
  <c r="H118" i="508"/>
  <c r="N118" i="508"/>
  <c r="H120" i="508"/>
  <c r="N120" i="508"/>
  <c r="H117" i="489"/>
  <c r="H119" i="489"/>
  <c r="N119" i="489"/>
  <c r="H117" i="508"/>
  <c r="H119" i="508"/>
  <c r="N119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94" i="489"/>
  <c r="H96" i="489"/>
  <c r="N96" i="489"/>
  <c r="H98" i="489"/>
  <c r="N98" i="489"/>
  <c r="H100" i="489"/>
  <c r="N100" i="489"/>
  <c r="H102" i="489"/>
  <c r="N102" i="489"/>
  <c r="H104" i="489"/>
  <c r="N104" i="489"/>
  <c r="H106" i="489"/>
  <c r="N106" i="489"/>
  <c r="H108" i="489"/>
  <c r="N108" i="489"/>
  <c r="H110" i="489"/>
  <c r="N110" i="489"/>
  <c r="H112" i="489"/>
  <c r="N112" i="489"/>
  <c r="H114" i="489"/>
  <c r="N114" i="489"/>
  <c r="H121" i="542"/>
  <c r="V121" i="542"/>
  <c r="W121" i="542" s="1"/>
  <c r="H87" i="508"/>
  <c r="N87" i="508"/>
  <c r="H89" i="508"/>
  <c r="N89" i="508"/>
  <c r="H88" i="489"/>
  <c r="N88" i="489"/>
  <c r="H90" i="489"/>
  <c r="N90" i="489"/>
  <c r="H87" i="489"/>
  <c r="N87" i="489"/>
  <c r="N69" i="508"/>
  <c r="N70" i="508"/>
  <c r="N72" i="508"/>
  <c r="N73" i="508"/>
  <c r="N74" i="508"/>
  <c r="N75" i="508"/>
  <c r="H86" i="542"/>
  <c r="V86" i="542"/>
  <c r="W86" i="542" s="1"/>
  <c r="N49" i="508"/>
  <c r="N50" i="508"/>
  <c r="N51" i="508"/>
  <c r="N52" i="508"/>
  <c r="N57" i="508"/>
  <c r="N58" i="508"/>
  <c r="N59" i="508"/>
  <c r="N60" i="508"/>
  <c r="N61" i="508"/>
  <c r="N62" i="508"/>
  <c r="N63" i="508"/>
  <c r="N64" i="508"/>
  <c r="N65" i="508"/>
  <c r="N66" i="508"/>
  <c r="N46" i="508"/>
  <c r="N47" i="508"/>
  <c r="N46" i="489"/>
  <c r="N47" i="489"/>
  <c r="N38" i="508"/>
  <c r="N39" i="508"/>
  <c r="N40" i="508"/>
  <c r="N41" i="508"/>
  <c r="N42" i="508"/>
  <c r="N43" i="508"/>
  <c r="N44" i="508"/>
  <c r="N29" i="508"/>
  <c r="N31" i="508"/>
  <c r="N32" i="508"/>
  <c r="N33" i="508"/>
  <c r="N29" i="489"/>
  <c r="N26" i="508"/>
  <c r="N27" i="508"/>
  <c r="N20" i="508"/>
  <c r="V28" i="542"/>
  <c r="N12" i="508"/>
  <c r="N13" i="508"/>
  <c r="N14" i="508"/>
  <c r="N15" i="508"/>
  <c r="N16" i="508"/>
  <c r="N17" i="508"/>
  <c r="N18" i="508"/>
  <c r="N7" i="508"/>
  <c r="N8" i="508"/>
  <c r="N9" i="508"/>
  <c r="N10" i="508"/>
  <c r="H91" i="489"/>
  <c r="H115" i="489"/>
  <c r="H115" i="508"/>
  <c r="H92" i="508"/>
  <c r="H135" i="489"/>
  <c r="H135" i="508"/>
  <c r="M173" i="543" a="1"/>
  <c r="M173" i="543" s="1"/>
  <c r="M526" i="543"/>
  <c r="K335" i="543"/>
  <c r="E343" i="543" s="1"/>
  <c r="I343" i="543" s="1"/>
  <c r="M343" i="543" s="1"/>
  <c r="T343" i="543"/>
  <c r="T338" i="543"/>
  <c r="T341" i="543"/>
  <c r="T339" i="543"/>
  <c r="T342" i="543"/>
  <c r="Z509" i="543" a="1"/>
  <c r="Z509" i="543" s="1"/>
  <c r="M525" i="543"/>
  <c r="M528" i="543"/>
  <c r="B342" i="543"/>
  <c r="C519" i="543" s="1"/>
  <c r="J335" i="543" a="1"/>
  <c r="J335" i="543" s="1"/>
  <c r="M342" i="543" s="1"/>
  <c r="M344" i="543" a="1"/>
  <c r="M344" i="543" s="1"/>
  <c r="T340" i="543"/>
  <c r="I172" i="543"/>
  <c r="M172" i="543" s="1"/>
  <c r="E526" i="543"/>
  <c r="E528" i="543"/>
  <c r="E529" i="543"/>
  <c r="E525" i="543"/>
  <c r="L164" i="543"/>
  <c r="I171" i="543" s="1"/>
  <c r="I516" i="543"/>
  <c r="M516" i="543" s="1" a="1"/>
  <c r="M516" i="543" s="1"/>
  <c r="W507" i="543"/>
  <c r="Z515" i="543"/>
  <c r="Z514" i="543"/>
  <c r="Z511" i="543"/>
  <c r="Z512" i="543"/>
  <c r="Z513" i="543"/>
  <c r="T515" i="543"/>
  <c r="T510" i="543"/>
  <c r="T511" i="543"/>
  <c r="T512" i="543"/>
  <c r="T514" i="543"/>
  <c r="M527" i="543"/>
  <c r="W335" i="543"/>
  <c r="E527" i="543"/>
  <c r="Q530" i="543"/>
  <c r="S526" i="543" s="1"/>
  <c r="E515" i="543"/>
  <c r="I515" i="543" s="1"/>
  <c r="M515" i="543" s="1"/>
  <c r="L507" i="543"/>
  <c r="I514" i="543" s="1"/>
  <c r="T513" i="543"/>
  <c r="K28" i="542"/>
  <c r="M7" i="542"/>
  <c r="M28" i="542" s="1"/>
  <c r="H28" i="542"/>
  <c r="H164" i="542" s="1"/>
  <c r="E171" i="542" s="1"/>
  <c r="N28" i="542"/>
  <c r="N164" i="542" s="1"/>
  <c r="B173" i="542" s="1"/>
  <c r="W7" i="542"/>
  <c r="K525" i="542"/>
  <c r="K526" i="542"/>
  <c r="K199" i="542"/>
  <c r="M178" i="542"/>
  <c r="M199" i="542" s="1"/>
  <c r="W28" i="542"/>
  <c r="C520" i="542"/>
  <c r="Q525" i="542"/>
  <c r="K86" i="542"/>
  <c r="M29" i="542"/>
  <c r="M86" i="542" s="1"/>
  <c r="K121" i="542"/>
  <c r="M87" i="542"/>
  <c r="M121" i="542" s="1"/>
  <c r="K137" i="542"/>
  <c r="M122" i="542"/>
  <c r="M137" i="542" s="1"/>
  <c r="K527" i="542"/>
  <c r="K528" i="542"/>
  <c r="K163" i="542"/>
  <c r="M149" i="542"/>
  <c r="M163" i="542" s="1"/>
  <c r="K529" i="542"/>
  <c r="K257" i="542"/>
  <c r="M200" i="542"/>
  <c r="M257" i="542" s="1"/>
  <c r="C530" i="542"/>
  <c r="E524" i="542" s="1"/>
  <c r="V137" i="542"/>
  <c r="W137" i="542" s="1"/>
  <c r="K148" i="542"/>
  <c r="V163" i="542"/>
  <c r="W163" i="542" s="1"/>
  <c r="G164" i="542"/>
  <c r="P164" i="542"/>
  <c r="X168" i="542" s="1"/>
  <c r="X173" i="542" s="1"/>
  <c r="K166" i="542"/>
  <c r="R166" i="542"/>
  <c r="J335" i="542" a="1"/>
  <c r="J335" i="542" s="1"/>
  <c r="M342" i="542" s="1"/>
  <c r="B342" i="542"/>
  <c r="O335" i="542"/>
  <c r="R337" i="542"/>
  <c r="J28" i="542" a="1"/>
  <c r="J28" i="542" s="1"/>
  <c r="W29" i="542"/>
  <c r="J86" i="542" a="1"/>
  <c r="J86" i="542" s="1"/>
  <c r="W87" i="542"/>
  <c r="J121" i="542" a="1"/>
  <c r="J121" i="542" s="1"/>
  <c r="J137" i="542" a="1"/>
  <c r="J137" i="542" s="1"/>
  <c r="W178" i="542"/>
  <c r="W199" i="542" s="1"/>
  <c r="J199" i="542" a="1"/>
  <c r="J199" i="542" s="1"/>
  <c r="X338" i="542"/>
  <c r="X344" i="542" s="1"/>
  <c r="P335" i="542"/>
  <c r="X339" i="542" s="1"/>
  <c r="H257" i="542"/>
  <c r="H335" i="542" s="1"/>
  <c r="E342" i="542" s="1"/>
  <c r="W200" i="542"/>
  <c r="K292" i="542"/>
  <c r="M258" i="542"/>
  <c r="M292" i="542" s="1"/>
  <c r="K319" i="542"/>
  <c r="M309" i="542"/>
  <c r="M319" i="542" s="1"/>
  <c r="V292" i="542"/>
  <c r="W292" i="542" s="1"/>
  <c r="K308" i="542"/>
  <c r="V319" i="542"/>
  <c r="W319" i="542" s="1"/>
  <c r="R339" i="542"/>
  <c r="R340" i="542"/>
  <c r="M320" i="542"/>
  <c r="M334" i="542" s="1"/>
  <c r="M370" i="542"/>
  <c r="K337" i="542"/>
  <c r="J370" i="542" a="1"/>
  <c r="J370" i="542" s="1"/>
  <c r="K370" i="542"/>
  <c r="V463" i="542"/>
  <c r="W463" i="542" s="1"/>
  <c r="M464" i="542"/>
  <c r="M479" i="542" s="1"/>
  <c r="W464" i="542"/>
  <c r="V479" i="542"/>
  <c r="W479" i="542" s="1"/>
  <c r="B514" i="542"/>
  <c r="J507" i="542" a="1"/>
  <c r="J507" i="542" s="1"/>
  <c r="M514" i="542" s="1"/>
  <c r="R509" i="542"/>
  <c r="X509" i="542"/>
  <c r="O507" i="542"/>
  <c r="X510" i="542" s="1"/>
  <c r="M371" i="542"/>
  <c r="M428" i="542" s="1"/>
  <c r="K463" i="542"/>
  <c r="K506" i="542"/>
  <c r="M491" i="542"/>
  <c r="M506" i="542" s="1"/>
  <c r="K490" i="542"/>
  <c r="R534" i="542"/>
  <c r="S534" i="542" a="1"/>
  <c r="S534" i="542" s="1"/>
  <c r="R513" i="542"/>
  <c r="W491" i="542"/>
  <c r="W506" i="542" s="1"/>
  <c r="K513" i="542"/>
  <c r="M509" i="542"/>
  <c r="J536" i="542"/>
  <c r="Q533" i="542"/>
  <c r="R535" i="542"/>
  <c r="S535" i="542" a="1"/>
  <c r="S535" i="542" s="1"/>
  <c r="E513" i="542"/>
  <c r="T533" i="542" a="1"/>
  <c r="T533" i="542" s="1"/>
  <c r="T534" i="542" a="1"/>
  <c r="T534" i="542" s="1"/>
  <c r="T535" i="542" a="1"/>
  <c r="T535" i="542" s="1"/>
  <c r="C536" i="542"/>
  <c r="T536" i="542" s="1" a="1"/>
  <c r="T536" i="542" s="1"/>
  <c r="K121" i="541"/>
  <c r="M87" i="541"/>
  <c r="M121" i="541" s="1"/>
  <c r="K137" i="541"/>
  <c r="M122" i="541"/>
  <c r="M137" i="541" s="1"/>
  <c r="K527" i="541"/>
  <c r="K528" i="541"/>
  <c r="K163" i="541"/>
  <c r="M149" i="541"/>
  <c r="M163" i="541" s="1"/>
  <c r="K529" i="541"/>
  <c r="K257" i="541"/>
  <c r="M200" i="541"/>
  <c r="M257" i="541" s="1"/>
  <c r="W28" i="541"/>
  <c r="C520" i="541"/>
  <c r="Q525" i="541"/>
  <c r="K86" i="541"/>
  <c r="M29" i="541"/>
  <c r="M86" i="541" s="1"/>
  <c r="K525" i="541"/>
  <c r="K526" i="541"/>
  <c r="M148" i="541"/>
  <c r="K199" i="541"/>
  <c r="M178" i="541"/>
  <c r="M199" i="541" s="1"/>
  <c r="M7" i="541"/>
  <c r="M28" i="541" s="1"/>
  <c r="M164" i="541" s="1"/>
  <c r="C530" i="541"/>
  <c r="E524" i="541" s="1"/>
  <c r="V137" i="541"/>
  <c r="W137" i="541" s="1"/>
  <c r="K148" i="541"/>
  <c r="V163" i="541"/>
  <c r="W163" i="541" s="1"/>
  <c r="G164" i="541"/>
  <c r="P164" i="541"/>
  <c r="X168" i="541" s="1"/>
  <c r="X173" i="541" s="1"/>
  <c r="K166" i="541"/>
  <c r="R166" i="541"/>
  <c r="J335" i="541" a="1"/>
  <c r="J335" i="541" s="1"/>
  <c r="M342" i="541" s="1"/>
  <c r="B342" i="541"/>
  <c r="O335" i="541"/>
  <c r="R337" i="541"/>
  <c r="K308" i="541"/>
  <c r="M293" i="541"/>
  <c r="M308" i="541" s="1"/>
  <c r="M319" i="541"/>
  <c r="K334" i="541"/>
  <c r="M320" i="541"/>
  <c r="M334" i="541" s="1"/>
  <c r="W334" i="541"/>
  <c r="J28" i="541" a="1"/>
  <c r="J28" i="541" s="1"/>
  <c r="W29" i="541"/>
  <c r="J86" i="541" a="1"/>
  <c r="J86" i="541" s="1"/>
  <c r="W87" i="541"/>
  <c r="J121" i="541" a="1"/>
  <c r="J121" i="541" s="1"/>
  <c r="J137" i="541" a="1"/>
  <c r="J137" i="541" s="1"/>
  <c r="W178" i="541"/>
  <c r="W199" i="541" s="1"/>
  <c r="J199" i="541" a="1"/>
  <c r="J199" i="541" s="1"/>
  <c r="X338" i="541"/>
  <c r="P335" i="541"/>
  <c r="X339" i="541" s="1"/>
  <c r="W200" i="541"/>
  <c r="V308" i="541"/>
  <c r="W308" i="541" s="1"/>
  <c r="K319" i="541"/>
  <c r="V334" i="541"/>
  <c r="K337" i="541"/>
  <c r="K370" i="541"/>
  <c r="M349" i="541"/>
  <c r="M370" i="541" s="1"/>
  <c r="M258" i="541"/>
  <c r="M292" i="541" s="1"/>
  <c r="K428" i="541"/>
  <c r="K463" i="541"/>
  <c r="M429" i="541"/>
  <c r="M463" i="541" s="1"/>
  <c r="B514" i="541"/>
  <c r="J507" i="541" a="1"/>
  <c r="J507" i="541" s="1"/>
  <c r="M514" i="541" s="1"/>
  <c r="X509" i="541"/>
  <c r="O507" i="541"/>
  <c r="X510" i="541" s="1"/>
  <c r="R509" i="541"/>
  <c r="M371" i="541"/>
  <c r="M428" i="541" s="1"/>
  <c r="H463" i="541"/>
  <c r="H507" i="541" s="1"/>
  <c r="E514" i="541" s="1"/>
  <c r="N463" i="541"/>
  <c r="W429" i="541"/>
  <c r="J463" i="541" a="1"/>
  <c r="J463" i="541" s="1"/>
  <c r="N479" i="541"/>
  <c r="W349" i="541"/>
  <c r="W370" i="541" s="1"/>
  <c r="J370" i="541" a="1"/>
  <c r="J370" i="541" s="1"/>
  <c r="W464" i="541"/>
  <c r="V479" i="541"/>
  <c r="W479" i="541" s="1"/>
  <c r="K506" i="541"/>
  <c r="M491" i="541"/>
  <c r="M506" i="541" s="1"/>
  <c r="K490" i="541"/>
  <c r="R513" i="541"/>
  <c r="W491" i="541"/>
  <c r="W506" i="541" s="1"/>
  <c r="K509" i="541"/>
  <c r="AC486" i="489"/>
  <c r="AC487" i="489"/>
  <c r="AC359" i="489"/>
  <c r="AC360" i="489"/>
  <c r="AC315" i="489"/>
  <c r="AC316" i="489"/>
  <c r="AC144" i="489"/>
  <c r="AC145" i="489"/>
  <c r="N335" i="542" l="1"/>
  <c r="B344" i="542" s="1"/>
  <c r="C533" i="541"/>
  <c r="D533" i="508"/>
  <c r="D536" i="541"/>
  <c r="D534" i="508"/>
  <c r="C534" i="541"/>
  <c r="C535" i="541"/>
  <c r="D535" i="508"/>
  <c r="X344" i="541"/>
  <c r="Z341" i="541" s="1"/>
  <c r="N164" i="541"/>
  <c r="B173" i="541" s="1"/>
  <c r="E173" i="541" s="1"/>
  <c r="H164" i="541"/>
  <c r="E171" i="541" s="1"/>
  <c r="Z167" i="541"/>
  <c r="Z170" i="541"/>
  <c r="Z169" i="541"/>
  <c r="Z171" i="541"/>
  <c r="K164" i="541"/>
  <c r="E172" i="541" s="1"/>
  <c r="N335" i="541"/>
  <c r="B344" i="541" s="1"/>
  <c r="E344" i="541" s="1"/>
  <c r="H335" i="541"/>
  <c r="E342" i="541" s="1"/>
  <c r="N507" i="541"/>
  <c r="B516" i="541" s="1"/>
  <c r="E529" i="541"/>
  <c r="E527" i="541"/>
  <c r="E525" i="541"/>
  <c r="E528" i="541"/>
  <c r="E526" i="541"/>
  <c r="E344" i="542"/>
  <c r="L335" i="543"/>
  <c r="I342" i="543" s="1"/>
  <c r="Z337" i="542" a="1"/>
  <c r="Z337" i="542" s="1"/>
  <c r="Z343" i="542"/>
  <c r="Z340" i="542"/>
  <c r="Z341" i="542"/>
  <c r="Z342" i="542"/>
  <c r="E530" i="543"/>
  <c r="Z169" i="542"/>
  <c r="Z171" i="542"/>
  <c r="Z170" i="542"/>
  <c r="E529" i="542"/>
  <c r="E528" i="542"/>
  <c r="O519" i="543" a="1"/>
  <c r="O519" i="543" s="1"/>
  <c r="G520" i="543"/>
  <c r="K520" i="543" s="1"/>
  <c r="O520" i="543" s="1"/>
  <c r="K521" i="543"/>
  <c r="O521" i="543" s="1" a="1"/>
  <c r="O521" i="543" s="1"/>
  <c r="S527" i="543"/>
  <c r="S529" i="543"/>
  <c r="S524" i="543" a="1"/>
  <c r="S524" i="543" s="1"/>
  <c r="S528" i="543"/>
  <c r="S525" i="543"/>
  <c r="E527" i="542"/>
  <c r="E525" i="542"/>
  <c r="E526" i="542"/>
  <c r="R533" i="542"/>
  <c r="R536" i="542" s="1"/>
  <c r="Q536" i="542"/>
  <c r="S536" i="542" s="1" a="1"/>
  <c r="S536" i="542" s="1"/>
  <c r="S533" i="542" a="1"/>
  <c r="S533" i="542" s="1"/>
  <c r="X516" i="542"/>
  <c r="Z509" i="542" s="1" a="1"/>
  <c r="Z509" i="542" s="1"/>
  <c r="V507" i="542"/>
  <c r="Z339" i="542"/>
  <c r="M166" i="542"/>
  <c r="K170" i="542"/>
  <c r="M170" i="542" s="1"/>
  <c r="J164" i="542" a="1"/>
  <c r="J164" i="542" s="1"/>
  <c r="M171" i="542" s="1"/>
  <c r="B171" i="542"/>
  <c r="C519" i="542" s="1"/>
  <c r="V164" i="542"/>
  <c r="I173" i="542" s="1"/>
  <c r="M335" i="542"/>
  <c r="C521" i="542"/>
  <c r="G521" i="542" s="1"/>
  <c r="E173" i="542"/>
  <c r="M164" i="542"/>
  <c r="M513" i="542"/>
  <c r="Z510" i="542"/>
  <c r="R516" i="542"/>
  <c r="T509" i="542" s="1" a="1"/>
  <c r="T509" i="542" s="1"/>
  <c r="K507" i="542"/>
  <c r="M337" i="542"/>
  <c r="K341" i="542"/>
  <c r="M341" i="542" s="1"/>
  <c r="M507" i="542"/>
  <c r="Z338" i="542"/>
  <c r="W335" i="542"/>
  <c r="R344" i="542"/>
  <c r="T337" i="542" s="1" a="1"/>
  <c r="T337" i="542" s="1"/>
  <c r="Z172" i="542"/>
  <c r="Z166" i="542" a="1"/>
  <c r="Z166" i="542" s="1"/>
  <c r="K524" i="542"/>
  <c r="R173" i="542"/>
  <c r="T166" i="542" s="1" a="1"/>
  <c r="T166" i="542" s="1"/>
  <c r="Q526" i="542"/>
  <c r="Z168" i="542"/>
  <c r="Z167" i="542"/>
  <c r="W164" i="542"/>
  <c r="V335" i="542"/>
  <c r="I344" i="542" s="1"/>
  <c r="M344" i="542" s="1" a="1"/>
  <c r="M344" i="542" s="1"/>
  <c r="K335" i="542"/>
  <c r="G519" i="542"/>
  <c r="K164" i="542"/>
  <c r="E172" i="542" s="1"/>
  <c r="I172" i="541"/>
  <c r="M172" i="541" s="1"/>
  <c r="E516" i="541"/>
  <c r="C521" i="541"/>
  <c r="G521" i="541" s="1"/>
  <c r="R516" i="541"/>
  <c r="T509" i="541" s="1" a="1"/>
  <c r="T509" i="541" s="1"/>
  <c r="X516" i="541"/>
  <c r="Z509" i="541" s="1" a="1"/>
  <c r="Z509" i="541" s="1"/>
  <c r="M507" i="541"/>
  <c r="M337" i="541"/>
  <c r="K341" i="541"/>
  <c r="M341" i="541" s="1"/>
  <c r="Z339" i="541"/>
  <c r="M166" i="541"/>
  <c r="K170" i="541"/>
  <c r="M170" i="541" s="1"/>
  <c r="J164" i="541" a="1"/>
  <c r="J164" i="541" s="1"/>
  <c r="M171" i="541" s="1"/>
  <c r="B171" i="541"/>
  <c r="C519" i="541" s="1"/>
  <c r="V335" i="541"/>
  <c r="I344" i="541" s="1"/>
  <c r="M344" i="541" s="1" a="1"/>
  <c r="M344" i="541" s="1"/>
  <c r="K335" i="541"/>
  <c r="W164" i="541"/>
  <c r="K513" i="541"/>
  <c r="M513" i="541" s="1"/>
  <c r="M509" i="541"/>
  <c r="Z510" i="541"/>
  <c r="Z342" i="541"/>
  <c r="Z337" i="541" a="1"/>
  <c r="Z337" i="541" s="1"/>
  <c r="V507" i="541"/>
  <c r="K507" i="541"/>
  <c r="Z343" i="541"/>
  <c r="Z338" i="541"/>
  <c r="W335" i="541"/>
  <c r="Z340" i="541"/>
  <c r="R344" i="541"/>
  <c r="T337" i="541" s="1" a="1"/>
  <c r="T337" i="541" s="1"/>
  <c r="Z172" i="541"/>
  <c r="Z166" i="541" a="1"/>
  <c r="Z166" i="541" s="1"/>
  <c r="K524" i="541"/>
  <c r="R173" i="541"/>
  <c r="Q526" i="541"/>
  <c r="Z168" i="541"/>
  <c r="M335" i="541"/>
  <c r="V164" i="541"/>
  <c r="I173" i="541" s="1"/>
  <c r="D533" i="544" l="1"/>
  <c r="J533" i="541"/>
  <c r="T533" i="541" a="1"/>
  <c r="T533" i="541" s="1"/>
  <c r="C536" i="541"/>
  <c r="T536" i="541" s="1" a="1"/>
  <c r="T536" i="541" s="1"/>
  <c r="C533" i="508"/>
  <c r="D535" i="544"/>
  <c r="T535" i="541" a="1"/>
  <c r="T535" i="541" s="1"/>
  <c r="J535" i="541"/>
  <c r="Q535" i="541" s="1"/>
  <c r="C535" i="508"/>
  <c r="D534" i="544"/>
  <c r="J534" i="541"/>
  <c r="Q534" i="541" s="1"/>
  <c r="C534" i="508"/>
  <c r="T534" i="541" a="1"/>
  <c r="T534" i="541" s="1"/>
  <c r="G519" i="541"/>
  <c r="L164" i="541"/>
  <c r="I171" i="541" s="1"/>
  <c r="E530" i="541"/>
  <c r="T513" i="541"/>
  <c r="E530" i="542"/>
  <c r="S530" i="543"/>
  <c r="K519" i="543"/>
  <c r="O519" i="542" a="1"/>
  <c r="O519" i="542" s="1"/>
  <c r="I516" i="542"/>
  <c r="M516" i="542" s="1" a="1"/>
  <c r="M516" i="542" s="1"/>
  <c r="W507" i="542"/>
  <c r="I172" i="542"/>
  <c r="M172" i="542" s="1"/>
  <c r="E343" i="542"/>
  <c r="I343" i="542" s="1"/>
  <c r="M343" i="542" s="1"/>
  <c r="L335" i="542"/>
  <c r="I342" i="542" s="1"/>
  <c r="Q530" i="542"/>
  <c r="S526" i="542" s="1"/>
  <c r="K530" i="542"/>
  <c r="T172" i="542"/>
  <c r="T167" i="542"/>
  <c r="T168" i="542"/>
  <c r="T169" i="542"/>
  <c r="T170" i="542"/>
  <c r="T171" i="542"/>
  <c r="T343" i="542"/>
  <c r="T338" i="542"/>
  <c r="T341" i="542"/>
  <c r="T342" i="542"/>
  <c r="T340" i="542"/>
  <c r="E515" i="542"/>
  <c r="I515" i="542" s="1"/>
  <c r="M515" i="542" s="1"/>
  <c r="L507" i="542"/>
  <c r="I514" i="542" s="1"/>
  <c r="T515" i="542"/>
  <c r="T512" i="542"/>
  <c r="T514" i="542"/>
  <c r="T510" i="542"/>
  <c r="T511" i="542"/>
  <c r="T513" i="542"/>
  <c r="K521" i="542"/>
  <c r="O521" i="542" s="1" a="1"/>
  <c r="O521" i="542" s="1"/>
  <c r="M173" i="542" a="1"/>
  <c r="M173" i="542" s="1"/>
  <c r="L164" i="542"/>
  <c r="I171" i="542" s="1"/>
  <c r="T339" i="542"/>
  <c r="Z515" i="542"/>
  <c r="Z514" i="542"/>
  <c r="Z511" i="542"/>
  <c r="Z512" i="542"/>
  <c r="Z513" i="542"/>
  <c r="M173" i="541" a="1"/>
  <c r="M173" i="541" s="1"/>
  <c r="Q530" i="541"/>
  <c r="K530" i="541"/>
  <c r="T172" i="541"/>
  <c r="T169" i="541"/>
  <c r="T170" i="541"/>
  <c r="T171" i="541"/>
  <c r="T167" i="541"/>
  <c r="T168" i="541"/>
  <c r="E515" i="541"/>
  <c r="I515" i="541" s="1"/>
  <c r="M515" i="541" s="1"/>
  <c r="L507" i="541"/>
  <c r="I514" i="541" s="1"/>
  <c r="O519" i="541" a="1"/>
  <c r="O519" i="541" s="1"/>
  <c r="T166" i="541" a="1"/>
  <c r="T166" i="541" s="1"/>
  <c r="M524" i="541" a="1"/>
  <c r="M524" i="541" s="1"/>
  <c r="T343" i="541"/>
  <c r="T339" i="541"/>
  <c r="T340" i="541"/>
  <c r="T341" i="541"/>
  <c r="T342" i="541"/>
  <c r="T338" i="541"/>
  <c r="I516" i="541"/>
  <c r="M516" i="541" s="1" a="1"/>
  <c r="M516" i="541" s="1"/>
  <c r="W507" i="541"/>
  <c r="E343" i="541"/>
  <c r="L335" i="541"/>
  <c r="I342" i="541" s="1"/>
  <c r="Z515" i="541"/>
  <c r="Z514" i="541"/>
  <c r="Z513" i="541"/>
  <c r="Z512" i="541"/>
  <c r="Z511" i="541"/>
  <c r="T515" i="541"/>
  <c r="T512" i="541"/>
  <c r="T514" i="541"/>
  <c r="T511" i="541"/>
  <c r="T510" i="541"/>
  <c r="S534" i="541" l="1" a="1"/>
  <c r="S534" i="541" s="1"/>
  <c r="R534" i="541"/>
  <c r="C534" i="544"/>
  <c r="R535" i="541"/>
  <c r="S535" i="541" a="1"/>
  <c r="S535" i="541" s="1"/>
  <c r="C535" i="544"/>
  <c r="J536" i="541"/>
  <c r="Q533" i="541"/>
  <c r="D536" i="544"/>
  <c r="C533" i="544"/>
  <c r="M528" i="542"/>
  <c r="M526" i="542"/>
  <c r="M529" i="542"/>
  <c r="M527" i="542"/>
  <c r="M525" i="542"/>
  <c r="G520" i="542"/>
  <c r="S528" i="542"/>
  <c r="S527" i="542"/>
  <c r="S529" i="542"/>
  <c r="S524" i="542" a="1"/>
  <c r="S524" i="542" s="1"/>
  <c r="S525" i="542"/>
  <c r="M524" i="542" a="1"/>
  <c r="M524" i="542" s="1"/>
  <c r="I343" i="541"/>
  <c r="M343" i="541" s="1"/>
  <c r="G520" i="541"/>
  <c r="S528" i="541"/>
  <c r="S527" i="541"/>
  <c r="S529" i="541"/>
  <c r="S524" i="541" a="1"/>
  <c r="S524" i="541" s="1"/>
  <c r="S525" i="541"/>
  <c r="M529" i="541"/>
  <c r="M527" i="541"/>
  <c r="M525" i="541"/>
  <c r="M528" i="541"/>
  <c r="M526" i="541"/>
  <c r="S526" i="541"/>
  <c r="K521" i="541"/>
  <c r="O521" i="541" s="1" a="1"/>
  <c r="O521" i="541" s="1"/>
  <c r="J533" i="544" l="1"/>
  <c r="D533" i="545"/>
  <c r="C536" i="544"/>
  <c r="T536" i="544" s="1" a="1"/>
  <c r="T536" i="544" s="1"/>
  <c r="T533" i="544" a="1"/>
  <c r="T533" i="544" s="1"/>
  <c r="Q536" i="541"/>
  <c r="S536" i="541" s="1" a="1"/>
  <c r="S536" i="541" s="1"/>
  <c r="R533" i="541"/>
  <c r="R536" i="541" s="1"/>
  <c r="S533" i="541" a="1"/>
  <c r="S533" i="541" s="1"/>
  <c r="J535" i="544"/>
  <c r="Q535" i="544" s="1"/>
  <c r="D535" i="545"/>
  <c r="T535" i="544" a="1"/>
  <c r="T535" i="544" s="1"/>
  <c r="J534" i="544"/>
  <c r="Q534" i="544" s="1"/>
  <c r="D534" i="545"/>
  <c r="T534" i="544" a="1"/>
  <c r="T534" i="544" s="1"/>
  <c r="S530" i="542"/>
  <c r="K520" i="542"/>
  <c r="O520" i="542" s="1"/>
  <c r="K519" i="542"/>
  <c r="S530" i="541"/>
  <c r="K520" i="541"/>
  <c r="O520" i="541" s="1"/>
  <c r="K519" i="541"/>
  <c r="C534" i="545" l="1"/>
  <c r="C535" i="545"/>
  <c r="D536" i="545"/>
  <c r="C533" i="545"/>
  <c r="R534" i="544"/>
  <c r="S534" i="544" a="1"/>
  <c r="S534" i="544" s="1"/>
  <c r="S535" i="544" a="1"/>
  <c r="S535" i="544" s="1"/>
  <c r="R535" i="544"/>
  <c r="Q533" i="544"/>
  <c r="J536" i="544"/>
  <c r="K10" i="534"/>
  <c r="I11" i="534"/>
  <c r="F11" i="534"/>
  <c r="C11" i="534"/>
  <c r="J10" i="534"/>
  <c r="G10" i="534"/>
  <c r="D10" i="534"/>
  <c r="Q536" i="544" l="1"/>
  <c r="S536" i="544" s="1" a="1"/>
  <c r="S536" i="544" s="1"/>
  <c r="R533" i="544"/>
  <c r="R536" i="544" s="1"/>
  <c r="S533" i="544" a="1"/>
  <c r="S533" i="544" s="1"/>
  <c r="J533" i="545"/>
  <c r="T533" i="545" a="1"/>
  <c r="T533" i="545" s="1"/>
  <c r="C536" i="545"/>
  <c r="T536" i="545" s="1" a="1"/>
  <c r="T536" i="545" s="1"/>
  <c r="J535" i="545"/>
  <c r="Q535" i="545" s="1"/>
  <c r="T535" i="545" a="1"/>
  <c r="T535" i="545" s="1"/>
  <c r="J534" i="545"/>
  <c r="Q534" i="545" s="1"/>
  <c r="T534" i="545" a="1"/>
  <c r="T534" i="545" s="1"/>
  <c r="H486" i="434"/>
  <c r="H487" i="434"/>
  <c r="H486" i="508"/>
  <c r="H487" i="508"/>
  <c r="H486" i="505"/>
  <c r="H487" i="505"/>
  <c r="H486" i="489"/>
  <c r="H487" i="489"/>
  <c r="H316" i="434"/>
  <c r="H316" i="508"/>
  <c r="H316" i="505"/>
  <c r="H316" i="489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H145" i="434"/>
  <c r="R535" i="545" l="1"/>
  <c r="S535" i="545" a="1"/>
  <c r="S535" i="545" s="1"/>
  <c r="J536" i="545"/>
  <c r="Q533" i="545"/>
  <c r="R534" i="545"/>
  <c r="S534" i="545" a="1"/>
  <c r="S534" i="545" s="1"/>
  <c r="J315" i="505" a="1"/>
  <c r="J315" i="505" s="1"/>
  <c r="J314" i="505" a="1"/>
  <c r="J314" i="505" s="1"/>
  <c r="J312" i="505" a="1"/>
  <c r="J312" i="505" s="1"/>
  <c r="J142" i="505" a="1"/>
  <c r="J142" i="505" s="1"/>
  <c r="Q536" i="545" l="1"/>
  <c r="S536" i="545" s="1" a="1"/>
  <c r="S536" i="545" s="1"/>
  <c r="R533" i="545"/>
  <c r="R536" i="545" s="1"/>
  <c r="S533" i="545" a="1"/>
  <c r="S533" i="545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J313" i="505" a="1"/>
  <c r="J313" i="505" s="1"/>
  <c r="K318" i="505" l="1" a="1"/>
  <c r="K318" i="505" s="1"/>
  <c r="H315" i="434" l="1"/>
  <c r="H314" i="434"/>
  <c r="H315" i="508"/>
  <c r="H315" i="505"/>
  <c r="H315" i="489"/>
  <c r="H144" i="434"/>
  <c r="H314" i="505" l="1"/>
  <c r="H314" i="489" l="1"/>
  <c r="K143" i="489" a="1"/>
  <c r="K143" i="489" s="1"/>
  <c r="H314" i="508"/>
  <c r="K143" i="508" a="1"/>
  <c r="K143" i="508" s="1"/>
  <c r="P536" i="508" l="1"/>
  <c r="O536" i="508"/>
  <c r="N536" i="508"/>
  <c r="M536" i="508"/>
  <c r="L536" i="508"/>
  <c r="K536" i="508"/>
  <c r="I536" i="508"/>
  <c r="H536" i="508"/>
  <c r="G536" i="508"/>
  <c r="F536" i="508"/>
  <c r="E536" i="508"/>
  <c r="D536" i="508"/>
  <c r="G517" i="508"/>
  <c r="N517" i="508" s="1"/>
  <c r="G513" i="508"/>
  <c r="E513" i="508"/>
  <c r="I512" i="508"/>
  <c r="E512" i="508"/>
  <c r="K512" i="508" s="1"/>
  <c r="M512" i="508" s="1"/>
  <c r="I511" i="508"/>
  <c r="E511" i="508"/>
  <c r="K511" i="508" s="1"/>
  <c r="M511" i="508" s="1"/>
  <c r="I510" i="508"/>
  <c r="E510" i="508"/>
  <c r="K510" i="508" s="1"/>
  <c r="M510" i="508" s="1"/>
  <c r="I509" i="508"/>
  <c r="I513" i="508" s="1"/>
  <c r="E509" i="508"/>
  <c r="K509" i="508" s="1"/>
  <c r="H505" i="508"/>
  <c r="H504" i="508"/>
  <c r="H503" i="508"/>
  <c r="D502" i="508"/>
  <c r="N501" i="508"/>
  <c r="K501" i="508" a="1"/>
  <c r="K501" i="508" s="1"/>
  <c r="H500" i="508"/>
  <c r="H499" i="508"/>
  <c r="V498" i="508"/>
  <c r="W498" i="508" s="1"/>
  <c r="K498" i="508" a="1"/>
  <c r="K498" i="508" s="1"/>
  <c r="V497" i="508"/>
  <c r="N497" i="508"/>
  <c r="K497" i="508" a="1"/>
  <c r="K497" i="508" s="1"/>
  <c r="H496" i="508"/>
  <c r="H495" i="508"/>
  <c r="V494" i="508"/>
  <c r="K494" i="508" a="1"/>
  <c r="K494" i="508" s="1"/>
  <c r="V493" i="508"/>
  <c r="N493" i="508"/>
  <c r="K493" i="508" a="1"/>
  <c r="K493" i="508" s="1"/>
  <c r="V492" i="508"/>
  <c r="W492" i="508" s="1"/>
  <c r="K492" i="508" a="1"/>
  <c r="K492" i="508" s="1"/>
  <c r="M492" i="508" s="1"/>
  <c r="AA506" i="508"/>
  <c r="Z506" i="508"/>
  <c r="Y506" i="508"/>
  <c r="X506" i="508"/>
  <c r="V491" i="508"/>
  <c r="U506" i="508"/>
  <c r="T506" i="508"/>
  <c r="S506" i="508"/>
  <c r="R506" i="508"/>
  <c r="Q506" i="508"/>
  <c r="P506" i="508"/>
  <c r="O506" i="508"/>
  <c r="N491" i="508"/>
  <c r="I506" i="508"/>
  <c r="G506" i="508"/>
  <c r="V489" i="508"/>
  <c r="N489" i="508"/>
  <c r="K489" i="508" a="1"/>
  <c r="K489" i="508" s="1"/>
  <c r="H485" i="508"/>
  <c r="V484" i="508"/>
  <c r="N484" i="508"/>
  <c r="K484" i="508" a="1"/>
  <c r="K484" i="508" s="1"/>
  <c r="M484" i="508" s="1"/>
  <c r="J483" i="508" a="1"/>
  <c r="J483" i="508" s="1"/>
  <c r="H483" i="508"/>
  <c r="K483" i="508" a="1"/>
  <c r="K483" i="508" s="1"/>
  <c r="M483" i="508" s="1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AA490" i="508"/>
  <c r="Z490" i="508"/>
  <c r="Y490" i="508"/>
  <c r="X490" i="508"/>
  <c r="U490" i="508"/>
  <c r="T490" i="508"/>
  <c r="S490" i="508"/>
  <c r="Q490" i="508"/>
  <c r="P490" i="508"/>
  <c r="N480" i="508"/>
  <c r="I490" i="508"/>
  <c r="G490" i="508"/>
  <c r="V478" i="508"/>
  <c r="N478" i="508"/>
  <c r="K478" i="508" a="1"/>
  <c r="K478" i="508" s="1"/>
  <c r="N477" i="508"/>
  <c r="K477" i="508" a="1"/>
  <c r="K477" i="508" s="1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V469" i="508"/>
  <c r="K469" i="508" a="1"/>
  <c r="K469" i="508" s="1"/>
  <c r="V468" i="508"/>
  <c r="N468" i="508"/>
  <c r="K468" i="508" a="1"/>
  <c r="K468" i="508" s="1"/>
  <c r="V467" i="508"/>
  <c r="K467" i="508" a="1"/>
  <c r="K467" i="508" s="1"/>
  <c r="M467" i="508" s="1"/>
  <c r="V466" i="508"/>
  <c r="N466" i="508"/>
  <c r="K466" i="508" a="1"/>
  <c r="K466" i="508" s="1"/>
  <c r="V465" i="508"/>
  <c r="K465" i="508" a="1"/>
  <c r="K465" i="508" s="1"/>
  <c r="M465" i="508" s="1"/>
  <c r="AA479" i="508"/>
  <c r="Y479" i="508"/>
  <c r="V464" i="508"/>
  <c r="T479" i="508"/>
  <c r="R479" i="508"/>
  <c r="P479" i="508"/>
  <c r="N464" i="508"/>
  <c r="K464" i="508" a="1"/>
  <c r="K464" i="508" s="1"/>
  <c r="K461" i="508" a="1"/>
  <c r="K461" i="508" s="1"/>
  <c r="M461" i="508" s="1"/>
  <c r="K460" i="508" a="1"/>
  <c r="K460" i="508" s="1"/>
  <c r="M460" i="508" s="1"/>
  <c r="K459" i="508" a="1"/>
  <c r="K459" i="508" s="1"/>
  <c r="K458" i="508" a="1"/>
  <c r="K458" i="508" s="1"/>
  <c r="M458" i="508" s="1"/>
  <c r="K457" i="508" a="1"/>
  <c r="K457" i="508" s="1"/>
  <c r="N455" i="508"/>
  <c r="K455" i="508" a="1"/>
  <c r="K455" i="508" s="1"/>
  <c r="K454" i="508" a="1"/>
  <c r="K454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V448" i="508"/>
  <c r="N448" i="508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K436" i="508" a="1"/>
  <c r="K436" i="508" s="1"/>
  <c r="V435" i="508"/>
  <c r="N435" i="508"/>
  <c r="K435" i="508" a="1"/>
  <c r="K435" i="508" s="1"/>
  <c r="V434" i="508"/>
  <c r="W434" i="508" s="1"/>
  <c r="K434" i="508" a="1"/>
  <c r="K434" i="508" s="1"/>
  <c r="V433" i="508"/>
  <c r="X514" i="508"/>
  <c r="N433" i="508"/>
  <c r="K433" i="508" a="1"/>
  <c r="K433" i="508" s="1"/>
  <c r="V432" i="508"/>
  <c r="K432" i="508" a="1"/>
  <c r="K432" i="508" s="1"/>
  <c r="V431" i="508"/>
  <c r="N431" i="508"/>
  <c r="K431" i="508" a="1"/>
  <c r="K431" i="508" s="1"/>
  <c r="V430" i="508"/>
  <c r="K430" i="508" a="1"/>
  <c r="K430" i="508" s="1"/>
  <c r="AA463" i="508"/>
  <c r="Y463" i="508"/>
  <c r="V429" i="508"/>
  <c r="U463" i="508"/>
  <c r="T463" i="508"/>
  <c r="S463" i="508"/>
  <c r="R463" i="508"/>
  <c r="Q463" i="508"/>
  <c r="P463" i="508"/>
  <c r="O463" i="508"/>
  <c r="N429" i="508"/>
  <c r="G463" i="508"/>
  <c r="K427" i="508" a="1"/>
  <c r="K427" i="508" s="1"/>
  <c r="K426" i="508" a="1"/>
  <c r="K426" i="508" s="1"/>
  <c r="M426" i="508" s="1"/>
  <c r="K425" i="508" a="1"/>
  <c r="K425" i="508" s="1"/>
  <c r="K424" i="508" a="1"/>
  <c r="K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V417" i="508"/>
  <c r="N417" i="508"/>
  <c r="K417" i="508" a="1"/>
  <c r="K417" i="508" s="1"/>
  <c r="V416" i="508"/>
  <c r="K416" i="508" a="1"/>
  <c r="K416" i="508" s="1"/>
  <c r="V415" i="508"/>
  <c r="N415" i="508"/>
  <c r="K415" i="508" a="1"/>
  <c r="K415" i="508" s="1"/>
  <c r="V414" i="508"/>
  <c r="K414" i="508" a="1"/>
  <c r="K414" i="508" s="1"/>
  <c r="H413" i="508"/>
  <c r="V412" i="508"/>
  <c r="K412" i="508" a="1"/>
  <c r="K412" i="508" s="1"/>
  <c r="V411" i="508"/>
  <c r="N411" i="508"/>
  <c r="K411" i="508" a="1"/>
  <c r="K411" i="508" s="1"/>
  <c r="H410" i="508"/>
  <c r="K409" i="508" a="1"/>
  <c r="K409" i="508" s="1"/>
  <c r="J407" i="508" a="1"/>
  <c r="J407" i="508" s="1"/>
  <c r="J405" i="508" a="1"/>
  <c r="J405" i="508" s="1"/>
  <c r="J403" i="508" a="1"/>
  <c r="J403" i="508" s="1"/>
  <c r="J401" i="508" a="1"/>
  <c r="J401" i="508" s="1"/>
  <c r="N399" i="508"/>
  <c r="J399" i="508" a="1"/>
  <c r="J399" i="508" s="1"/>
  <c r="K398" i="508" a="1"/>
  <c r="K398" i="508" s="1"/>
  <c r="K397" i="508" a="1"/>
  <c r="K397" i="508" s="1"/>
  <c r="M397" i="508" s="1"/>
  <c r="K396" i="508" a="1"/>
  <c r="K396" i="508" s="1"/>
  <c r="H395" i="508"/>
  <c r="K395" i="508" a="1"/>
  <c r="K395" i="508" s="1"/>
  <c r="M395" i="508" s="1"/>
  <c r="N394" i="508"/>
  <c r="K394" i="508" a="1"/>
  <c r="K394" i="508" s="1"/>
  <c r="M394" i="508" s="1"/>
  <c r="K393" i="508" a="1"/>
  <c r="K393" i="508" s="1"/>
  <c r="M393" i="508" s="1"/>
  <c r="K392" i="508" a="1"/>
  <c r="K392" i="508" s="1"/>
  <c r="H391" i="508"/>
  <c r="K391" i="508" a="1"/>
  <c r="K391" i="508" s="1"/>
  <c r="M391" i="508" s="1"/>
  <c r="V390" i="508"/>
  <c r="N390" i="508"/>
  <c r="K390" i="508" a="1"/>
  <c r="K390" i="508" s="1"/>
  <c r="M390" i="508" s="1"/>
  <c r="J389" i="508" a="1"/>
  <c r="J389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V382" i="508"/>
  <c r="N382" i="508"/>
  <c r="K382" i="508" a="1"/>
  <c r="K382" i="508" s="1"/>
  <c r="M382" i="508" s="1"/>
  <c r="J381" i="508" a="1"/>
  <c r="J381" i="508" s="1"/>
  <c r="H381" i="508"/>
  <c r="K381" i="508" a="1"/>
  <c r="K381" i="508" s="1"/>
  <c r="M381" i="508" s="1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K378" i="508" a="1"/>
  <c r="K378" i="508" s="1"/>
  <c r="M378" i="508" s="1"/>
  <c r="H378" i="508"/>
  <c r="K377" i="508" a="1"/>
  <c r="K377" i="508" s="1"/>
  <c r="M377" i="508" s="1"/>
  <c r="H377" i="508"/>
  <c r="K376" i="508" a="1"/>
  <c r="K376" i="508" s="1"/>
  <c r="M376" i="508" s="1"/>
  <c r="H376" i="508"/>
  <c r="V375" i="508"/>
  <c r="X513" i="508"/>
  <c r="K375" i="508" a="1"/>
  <c r="K375" i="508" s="1"/>
  <c r="M375" i="508" s="1"/>
  <c r="X512" i="508"/>
  <c r="J374" i="508" a="1"/>
  <c r="J374" i="508" s="1"/>
  <c r="H374" i="508"/>
  <c r="K374" i="508" a="1"/>
  <c r="K374" i="508" s="1"/>
  <c r="M374" i="508" s="1"/>
  <c r="V373" i="508"/>
  <c r="X511" i="508"/>
  <c r="K373" i="508" a="1"/>
  <c r="K373" i="508" s="1"/>
  <c r="M373" i="508" s="1"/>
  <c r="K372" i="508" a="1"/>
  <c r="K372" i="508" s="1"/>
  <c r="Z428" i="508"/>
  <c r="X428" i="508"/>
  <c r="T428" i="508"/>
  <c r="R428" i="508"/>
  <c r="Q428" i="508"/>
  <c r="P428" i="508"/>
  <c r="J371" i="508" a="1"/>
  <c r="J371" i="508" s="1"/>
  <c r="I428" i="508"/>
  <c r="H371" i="508"/>
  <c r="G428" i="508"/>
  <c r="V369" i="508"/>
  <c r="N369" i="508"/>
  <c r="K369" i="508" a="1"/>
  <c r="K369" i="508" s="1"/>
  <c r="K368" i="508" a="1"/>
  <c r="K368" i="508" s="1"/>
  <c r="M368" i="508" s="1"/>
  <c r="H368" i="508"/>
  <c r="K367" i="508" a="1"/>
  <c r="K367" i="508" s="1"/>
  <c r="K366" i="508" a="1"/>
  <c r="K366" i="508" s="1"/>
  <c r="M366" i="508" s="1"/>
  <c r="H366" i="508"/>
  <c r="K365" i="508" a="1"/>
  <c r="K365" i="508" s="1"/>
  <c r="V364" i="508"/>
  <c r="W364" i="508" s="1"/>
  <c r="K364" i="508" a="1"/>
  <c r="K364" i="508" s="1"/>
  <c r="M364" i="508" s="1"/>
  <c r="V363" i="508"/>
  <c r="N363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H360" i="508"/>
  <c r="H359" i="508"/>
  <c r="V358" i="508"/>
  <c r="W358" i="508" s="1"/>
  <c r="K358" i="508" a="1"/>
  <c r="K358" i="508" s="1"/>
  <c r="M358" i="508" s="1"/>
  <c r="V357" i="508"/>
  <c r="N357" i="508"/>
  <c r="K357" i="508" a="1"/>
  <c r="K357" i="508" s="1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/>
  <c r="K350" i="508"/>
  <c r="U370" i="508"/>
  <c r="S370" i="508"/>
  <c r="Q370" i="508"/>
  <c r="O370" i="508"/>
  <c r="E341" i="508"/>
  <c r="I340" i="508"/>
  <c r="K340" i="508" s="1"/>
  <c r="M340" i="508" s="1"/>
  <c r="E340" i="508"/>
  <c r="I339" i="508"/>
  <c r="K339" i="508" s="1"/>
  <c r="M339" i="508" s="1"/>
  <c r="E339" i="508"/>
  <c r="I338" i="508"/>
  <c r="K338" i="508" s="1"/>
  <c r="M338" i="508" s="1"/>
  <c r="E338" i="508"/>
  <c r="E337" i="508"/>
  <c r="K333" i="508" a="1"/>
  <c r="K333" i="508" s="1"/>
  <c r="K332" i="508" a="1"/>
  <c r="K332" i="508" s="1"/>
  <c r="M332" i="508" s="1"/>
  <c r="H332" i="508"/>
  <c r="K331" i="508" a="1"/>
  <c r="K331" i="508" s="1"/>
  <c r="J330" i="508" a="1"/>
  <c r="J330" i="508" s="1"/>
  <c r="D330" i="508"/>
  <c r="H329" i="508"/>
  <c r="K328" i="508" a="1"/>
  <c r="K328" i="508" s="1"/>
  <c r="H327" i="508"/>
  <c r="N326" i="508"/>
  <c r="K326" i="508" a="1"/>
  <c r="K326" i="508" s="1"/>
  <c r="V325" i="508"/>
  <c r="N325" i="508"/>
  <c r="K325" i="508" a="1"/>
  <c r="K325" i="508" s="1"/>
  <c r="H324" i="508"/>
  <c r="V323" i="508"/>
  <c r="N323" i="508"/>
  <c r="K323" i="508" a="1"/>
  <c r="K323" i="508" s="1"/>
  <c r="N322" i="508"/>
  <c r="K322" i="508" a="1"/>
  <c r="K322" i="508" s="1"/>
  <c r="V321" i="508"/>
  <c r="N321" i="508"/>
  <c r="K321" i="508" a="1"/>
  <c r="K321" i="508" s="1"/>
  <c r="AA334" i="508"/>
  <c r="Y334" i="508"/>
  <c r="U334" i="508"/>
  <c r="T334" i="508"/>
  <c r="S334" i="508"/>
  <c r="R334" i="508"/>
  <c r="Q334" i="508"/>
  <c r="P334" i="508"/>
  <c r="O334" i="508"/>
  <c r="G334" i="508"/>
  <c r="V318" i="508"/>
  <c r="N318" i="508"/>
  <c r="K318" i="508" a="1"/>
  <c r="K318" i="508" s="1"/>
  <c r="J313" i="508" a="1"/>
  <c r="J313" i="508" s="1"/>
  <c r="H313" i="508"/>
  <c r="K313" i="508" a="1"/>
  <c r="K313" i="508" s="1"/>
  <c r="M313" i="508" s="1"/>
  <c r="V312" i="508"/>
  <c r="N312" i="508"/>
  <c r="K312" i="508" a="1"/>
  <c r="K312" i="508" s="1"/>
  <c r="M312" i="508" s="1"/>
  <c r="J311" i="508" a="1"/>
  <c r="J311" i="508" s="1"/>
  <c r="H311" i="508"/>
  <c r="K311" i="508" a="1"/>
  <c r="K311" i="508" s="1"/>
  <c r="M311" i="508" s="1"/>
  <c r="V310" i="508"/>
  <c r="N310" i="508"/>
  <c r="K310" i="508" a="1"/>
  <c r="K310" i="508" s="1"/>
  <c r="M310" i="508" s="1"/>
  <c r="AA319" i="508"/>
  <c r="Z319" i="508"/>
  <c r="Y319" i="508"/>
  <c r="X319" i="508"/>
  <c r="U319" i="508"/>
  <c r="T319" i="508"/>
  <c r="S319" i="508"/>
  <c r="Q319" i="508"/>
  <c r="P319" i="508"/>
  <c r="O319" i="508"/>
  <c r="J309" i="508" a="1"/>
  <c r="J309" i="508" s="1"/>
  <c r="I319" i="508"/>
  <c r="H309" i="508"/>
  <c r="G319" i="508"/>
  <c r="J319" i="508" s="1" a="1"/>
  <c r="J319" i="508" s="1"/>
  <c r="V307" i="508"/>
  <c r="N307" i="508"/>
  <c r="K307" i="508" a="1"/>
  <c r="K307" i="508" s="1"/>
  <c r="V306" i="508"/>
  <c r="W306" i="508" s="1"/>
  <c r="K306" i="508" a="1"/>
  <c r="K306" i="508" s="1"/>
  <c r="V305" i="508"/>
  <c r="N305" i="508"/>
  <c r="V304" i="508"/>
  <c r="N303" i="508"/>
  <c r="V302" i="508"/>
  <c r="N302" i="508"/>
  <c r="N301" i="508"/>
  <c r="J300" i="508" a="1"/>
  <c r="J300" i="508" s="1"/>
  <c r="J298" i="508" a="1"/>
  <c r="J298" i="508" s="1"/>
  <c r="J296" i="508" a="1"/>
  <c r="J296" i="508" s="1"/>
  <c r="J294" i="508" a="1"/>
  <c r="J294" i="508" s="1"/>
  <c r="Z308" i="508"/>
  <c r="Y308" i="508"/>
  <c r="X308" i="508"/>
  <c r="U308" i="508"/>
  <c r="T308" i="508"/>
  <c r="S308" i="508"/>
  <c r="R308" i="508"/>
  <c r="Q308" i="508"/>
  <c r="P308" i="508"/>
  <c r="O308" i="508"/>
  <c r="I308" i="508"/>
  <c r="L562" i="508" s="1"/>
  <c r="G308" i="508"/>
  <c r="N291" i="508"/>
  <c r="K291" i="508" a="1"/>
  <c r="K291" i="508" s="1"/>
  <c r="V290" i="508"/>
  <c r="N290" i="508"/>
  <c r="K290" i="508" a="1"/>
  <c r="K290" i="508" s="1"/>
  <c r="N289" i="508"/>
  <c r="K289" i="508" a="1"/>
  <c r="K289" i="508" s="1"/>
  <c r="H288" i="508"/>
  <c r="H287" i="508"/>
  <c r="H286" i="508"/>
  <c r="V285" i="508"/>
  <c r="N285" i="508"/>
  <c r="K285" i="508" a="1"/>
  <c r="K285" i="508" s="1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V277" i="508"/>
  <c r="W277" i="508" s="1"/>
  <c r="K277" i="508" a="1"/>
  <c r="K277" i="508" s="1"/>
  <c r="V276" i="508"/>
  <c r="N276" i="508"/>
  <c r="K276" i="508" a="1"/>
  <c r="K276" i="508" s="1"/>
  <c r="V275" i="508"/>
  <c r="W275" i="508" s="1"/>
  <c r="K275" i="508" a="1"/>
  <c r="K275" i="508" s="1"/>
  <c r="V274" i="508"/>
  <c r="N274" i="508"/>
  <c r="K274" i="508" a="1"/>
  <c r="K274" i="508" s="1"/>
  <c r="V273" i="508"/>
  <c r="W273" i="508" s="1"/>
  <c r="K273" i="508" a="1"/>
  <c r="K273" i="508" s="1"/>
  <c r="V272" i="508"/>
  <c r="N272" i="508"/>
  <c r="K272" i="508" a="1"/>
  <c r="K272" i="508" s="1"/>
  <c r="V271" i="508"/>
  <c r="N271" i="508"/>
  <c r="K271" i="508" a="1"/>
  <c r="K271" i="508" s="1"/>
  <c r="V270" i="508"/>
  <c r="W270" i="508" s="1"/>
  <c r="K270" i="508" a="1"/>
  <c r="K270" i="508" s="1"/>
  <c r="M270" i="508" s="1"/>
  <c r="V269" i="508"/>
  <c r="N269" i="508"/>
  <c r="K269" i="508" a="1"/>
  <c r="K269" i="508" s="1"/>
  <c r="V268" i="508"/>
  <c r="W268" i="508" s="1"/>
  <c r="K268" i="508" a="1"/>
  <c r="K268" i="508" s="1"/>
  <c r="M268" i="508" s="1"/>
  <c r="V267" i="508"/>
  <c r="N267" i="508"/>
  <c r="K267" i="508" a="1"/>
  <c r="K267" i="508" s="1"/>
  <c r="V266" i="508"/>
  <c r="W266" i="508" s="1"/>
  <c r="K266" i="508" a="1"/>
  <c r="K266" i="508" s="1"/>
  <c r="M266" i="508" s="1"/>
  <c r="N265" i="508"/>
  <c r="K265" i="508" a="1"/>
  <c r="K265" i="508" s="1"/>
  <c r="V264" i="508"/>
  <c r="N264" i="508"/>
  <c r="K264" i="508" a="1"/>
  <c r="K264" i="508" s="1"/>
  <c r="N263" i="508"/>
  <c r="K263" i="508" a="1"/>
  <c r="K263" i="508" s="1"/>
  <c r="V262" i="508"/>
  <c r="X343" i="508"/>
  <c r="N262" i="508"/>
  <c r="K262" i="508" a="1"/>
  <c r="K262" i="508" s="1"/>
  <c r="N261" i="508"/>
  <c r="K261" i="508" a="1"/>
  <c r="K261" i="508" s="1"/>
  <c r="V260" i="508"/>
  <c r="N260" i="508"/>
  <c r="K260" i="508" a="1"/>
  <c r="K260" i="508" s="1"/>
  <c r="N259" i="508"/>
  <c r="K259" i="508" a="1"/>
  <c r="K259" i="508" s="1"/>
  <c r="V258" i="508"/>
  <c r="T292" i="508"/>
  <c r="R292" i="508"/>
  <c r="P292" i="508"/>
  <c r="N258" i="508"/>
  <c r="G292" i="508"/>
  <c r="H256" i="508"/>
  <c r="H255" i="508"/>
  <c r="H254" i="508"/>
  <c r="H253" i="508"/>
  <c r="H252" i="508"/>
  <c r="H251" i="508"/>
  <c r="K250" i="508" a="1"/>
  <c r="K250" i="508" s="1"/>
  <c r="K249" i="508" a="1"/>
  <c r="K249" i="508" s="1"/>
  <c r="K248" i="508" a="1"/>
  <c r="K248" i="508" s="1"/>
  <c r="K247" i="508" a="1"/>
  <c r="K247" i="508" s="1"/>
  <c r="K246" i="508" a="1"/>
  <c r="K246" i="508" s="1"/>
  <c r="V245" i="508"/>
  <c r="W245" i="508" s="1"/>
  <c r="K245" i="508" a="1"/>
  <c r="K245" i="508" s="1"/>
  <c r="K244" i="508" a="1"/>
  <c r="K244" i="508" s="1"/>
  <c r="V243" i="508"/>
  <c r="W243" i="508" s="1"/>
  <c r="K243" i="508" a="1"/>
  <c r="K243" i="508" s="1"/>
  <c r="M242" i="508"/>
  <c r="H242" i="508"/>
  <c r="V241" i="508"/>
  <c r="K241" i="508" a="1"/>
  <c r="K241" i="508" s="1"/>
  <c r="V240" i="508"/>
  <c r="K240" i="508" a="1"/>
  <c r="K240" i="508" s="1"/>
  <c r="K239" i="508" a="1"/>
  <c r="K239" i="508" s="1"/>
  <c r="H238" i="508"/>
  <c r="K237" i="508" a="1"/>
  <c r="K237" i="508" s="1"/>
  <c r="V236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V219" i="508"/>
  <c r="K219" i="508" a="1"/>
  <c r="K219" i="508" s="1"/>
  <c r="V218" i="508"/>
  <c r="K218" i="508" a="1"/>
  <c r="K218" i="508" s="1"/>
  <c r="V217" i="508"/>
  <c r="K217" i="508" a="1"/>
  <c r="K217" i="508" s="1"/>
  <c r="V216" i="508"/>
  <c r="H216" i="508"/>
  <c r="K216" i="508" a="1"/>
  <c r="K216" i="508" s="1"/>
  <c r="V215" i="508"/>
  <c r="K215" i="508" a="1"/>
  <c r="K215" i="508" s="1"/>
  <c r="M215" i="508" s="1"/>
  <c r="J214" i="508" a="1"/>
  <c r="J214" i="508" s="1"/>
  <c r="H214" i="508"/>
  <c r="K214" i="508" a="1"/>
  <c r="K214" i="508" s="1"/>
  <c r="M214" i="508" s="1"/>
  <c r="V213" i="508"/>
  <c r="K213" i="508" a="1"/>
  <c r="K213" i="508" s="1"/>
  <c r="V212" i="508"/>
  <c r="K212" i="508" a="1"/>
  <c r="K212" i="508" s="1"/>
  <c r="M212" i="508" s="1"/>
  <c r="V211" i="508"/>
  <c r="K211" i="508" a="1"/>
  <c r="K211" i="508" s="1"/>
  <c r="M211" i="508" s="1"/>
  <c r="K210" i="508" a="1"/>
  <c r="K210" i="508" s="1"/>
  <c r="M210" i="508" s="1"/>
  <c r="K208" i="508" a="1"/>
  <c r="K208" i="508" s="1"/>
  <c r="M208" i="508" s="1"/>
  <c r="H207" i="508"/>
  <c r="H206" i="508"/>
  <c r="H205" i="508"/>
  <c r="V204" i="508"/>
  <c r="W204" i="508" s="1"/>
  <c r="X342" i="508"/>
  <c r="K204" i="508" a="1"/>
  <c r="K204" i="508" s="1"/>
  <c r="V203" i="508"/>
  <c r="X341" i="508"/>
  <c r="K203" i="508" a="1"/>
  <c r="K203" i="508" s="1"/>
  <c r="X340" i="508"/>
  <c r="K202" i="508" a="1"/>
  <c r="K202" i="508" s="1"/>
  <c r="H201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L560" i="508" s="1"/>
  <c r="K200" i="508" a="1"/>
  <c r="K200" i="508" s="1"/>
  <c r="X337" i="508"/>
  <c r="K198" i="508" a="1"/>
  <c r="K198" i="508" s="1"/>
  <c r="J194" i="508" a="1"/>
  <c r="J194" i="508" s="1"/>
  <c r="H194" i="508"/>
  <c r="K194" i="508" a="1"/>
  <c r="K194" i="508" s="1"/>
  <c r="M194" i="508" s="1"/>
  <c r="V193" i="508"/>
  <c r="K193" i="508" a="1"/>
  <c r="K193" i="508" s="1"/>
  <c r="K192" i="508" a="1"/>
  <c r="K192" i="508" s="1"/>
  <c r="M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J188" i="508" a="1"/>
  <c r="J188" i="508" s="1"/>
  <c r="H188" i="508"/>
  <c r="K188" i="508" a="1"/>
  <c r="K188" i="508" s="1"/>
  <c r="M188" i="508" s="1"/>
  <c r="V187" i="508"/>
  <c r="K187" i="508" a="1"/>
  <c r="K187" i="508" s="1"/>
  <c r="M187" i="508" s="1"/>
  <c r="K186" i="508" a="1"/>
  <c r="K186" i="508" s="1"/>
  <c r="M186" i="508" s="1"/>
  <c r="H184" i="508"/>
  <c r="K184" i="508" a="1"/>
  <c r="K184" i="508" s="1"/>
  <c r="M184" i="508" s="1"/>
  <c r="J183" i="508" a="1"/>
  <c r="J183" i="508" s="1"/>
  <c r="J182" i="508" a="1"/>
  <c r="J182" i="508" s="1"/>
  <c r="H182" i="508"/>
  <c r="K182" i="508" a="1"/>
  <c r="K182" i="508" s="1"/>
  <c r="M182" i="508" s="1"/>
  <c r="V181" i="508"/>
  <c r="J181" i="508" a="1"/>
  <c r="J181" i="508" s="1"/>
  <c r="J180" i="508" a="1"/>
  <c r="J180" i="508" s="1"/>
  <c r="H180" i="508"/>
  <c r="K180" i="508" a="1"/>
  <c r="K180" i="508" s="1"/>
  <c r="M180" i="508" s="1"/>
  <c r="V179" i="508"/>
  <c r="J179" i="508" a="1"/>
  <c r="J179" i="508" s="1"/>
  <c r="E170" i="508"/>
  <c r="I169" i="508"/>
  <c r="K169" i="508" s="1"/>
  <c r="M169" i="508" s="1"/>
  <c r="E169" i="508"/>
  <c r="I168" i="508"/>
  <c r="K168" i="508" s="1"/>
  <c r="M168" i="508" s="1"/>
  <c r="E168" i="508"/>
  <c r="I167" i="508"/>
  <c r="K167" i="508" s="1"/>
  <c r="M167" i="508" s="1"/>
  <c r="E167" i="508"/>
  <c r="E166" i="508"/>
  <c r="K161" i="508" a="1"/>
  <c r="K161" i="508" s="1"/>
  <c r="K160" i="508" a="1"/>
  <c r="K160" i="508" s="1"/>
  <c r="V159" i="508"/>
  <c r="W159" i="508" s="1"/>
  <c r="K159" i="508" a="1"/>
  <c r="K159" i="508" s="1"/>
  <c r="D159" i="508"/>
  <c r="K158" i="508" a="1"/>
  <c r="K158" i="508" s="1"/>
  <c r="M158" i="508" s="1"/>
  <c r="K155" i="508" a="1"/>
  <c r="K155" i="508" s="1"/>
  <c r="V154" i="508"/>
  <c r="W154" i="508" s="1"/>
  <c r="K154" i="508" a="1"/>
  <c r="K154" i="508" s="1"/>
  <c r="V152" i="508"/>
  <c r="K152" i="508" a="1"/>
  <c r="K152" i="508" s="1"/>
  <c r="M152" i="508" s="1"/>
  <c r="K151" i="508" a="1"/>
  <c r="K151" i="508" s="1"/>
  <c r="M151" i="508" s="1"/>
  <c r="K150" i="508" a="1"/>
  <c r="K150" i="508" s="1"/>
  <c r="J149" i="508" a="1"/>
  <c r="J149" i="508" s="1"/>
  <c r="V147" i="508"/>
  <c r="K147" i="508" a="1"/>
  <c r="K147" i="508" s="1"/>
  <c r="M147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8" i="508"/>
  <c r="X148" i="508"/>
  <c r="U148" i="508"/>
  <c r="T148" i="508"/>
  <c r="S148" i="508"/>
  <c r="Q148" i="508"/>
  <c r="P148" i="508"/>
  <c r="O148" i="508"/>
  <c r="I148" i="508"/>
  <c r="G148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5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1" i="508"/>
  <c r="K33" i="508" a="1"/>
  <c r="K33" i="508" s="1"/>
  <c r="X170" i="508"/>
  <c r="K32" i="508" a="1"/>
  <c r="K32" i="508" s="1"/>
  <c r="V31" i="508"/>
  <c r="X169" i="508"/>
  <c r="K31" i="508" a="1"/>
  <c r="K31" i="508" s="1"/>
  <c r="K30" i="508" a="1"/>
  <c r="K30" i="508" s="1"/>
  <c r="Z86" i="508"/>
  <c r="X86" i="508"/>
  <c r="T86" i="508"/>
  <c r="R86" i="508"/>
  <c r="I86" i="508"/>
  <c r="L553" i="508" s="1"/>
  <c r="V27" i="508"/>
  <c r="X166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9" i="508" l="1"/>
  <c r="J490" i="508" a="1"/>
  <c r="J490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4" i="508" s="1"/>
  <c r="P121" i="508"/>
  <c r="R121" i="508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8" i="508" s="1"/>
  <c r="Y148" i="508"/>
  <c r="AA148" i="508"/>
  <c r="P163" i="508"/>
  <c r="R163" i="508"/>
  <c r="T163" i="508"/>
  <c r="X163" i="508"/>
  <c r="Z163" i="508"/>
  <c r="M150" i="508"/>
  <c r="V150" i="508"/>
  <c r="V155" i="508"/>
  <c r="W155" i="508" s="1"/>
  <c r="C170" i="508"/>
  <c r="G170" i="508"/>
  <c r="J185" i="508" a="1"/>
  <c r="J185" i="508" s="1"/>
  <c r="V185" i="508"/>
  <c r="V186" i="508"/>
  <c r="V210" i="508"/>
  <c r="W216" i="508"/>
  <c r="W219" i="508"/>
  <c r="W231" i="508"/>
  <c r="W235" i="508"/>
  <c r="V237" i="508"/>
  <c r="W237" i="508" s="1"/>
  <c r="V244" i="508"/>
  <c r="W244" i="508" s="1"/>
  <c r="V246" i="508"/>
  <c r="W246" i="508" s="1"/>
  <c r="Y292" i="508"/>
  <c r="AA292" i="508"/>
  <c r="M259" i="508"/>
  <c r="V259" i="508"/>
  <c r="W259" i="508" s="1"/>
  <c r="M261" i="508"/>
  <c r="V261" i="508"/>
  <c r="W261" i="508" s="1"/>
  <c r="M263" i="508"/>
  <c r="V263" i="508"/>
  <c r="W263" i="508" s="1"/>
  <c r="M265" i="508"/>
  <c r="N266" i="508"/>
  <c r="N268" i="508"/>
  <c r="N270" i="508"/>
  <c r="N273" i="508"/>
  <c r="N275" i="508"/>
  <c r="N277" i="508"/>
  <c r="V284" i="508"/>
  <c r="W284" i="508" s="1"/>
  <c r="V289" i="508"/>
  <c r="W289" i="508" s="1"/>
  <c r="V291" i="508"/>
  <c r="W291" i="508" s="1"/>
  <c r="AA308" i="508"/>
  <c r="J295" i="508" a="1"/>
  <c r="J295" i="508" s="1"/>
  <c r="J297" i="508" a="1"/>
  <c r="J297" i="508" s="1"/>
  <c r="J299" i="508" a="1"/>
  <c r="J299" i="508" s="1"/>
  <c r="V301" i="508"/>
  <c r="N304" i="508"/>
  <c r="N306" i="508"/>
  <c r="H310" i="508"/>
  <c r="J310" i="508" a="1"/>
  <c r="J310" i="508" s="1"/>
  <c r="N311" i="508"/>
  <c r="V311" i="508"/>
  <c r="W311" i="508" s="1"/>
  <c r="H312" i="508"/>
  <c r="J312" i="508" a="1"/>
  <c r="J312" i="508" s="1"/>
  <c r="N313" i="508"/>
  <c r="V313" i="508"/>
  <c r="W313" i="508" s="1"/>
  <c r="I334" i="508"/>
  <c r="L563" i="508" s="1"/>
  <c r="X334" i="508"/>
  <c r="Z334" i="508"/>
  <c r="V322" i="508"/>
  <c r="W322" i="508" s="1"/>
  <c r="V326" i="508"/>
  <c r="W326" i="508" s="1"/>
  <c r="H330" i="508"/>
  <c r="C341" i="508"/>
  <c r="G341" i="508"/>
  <c r="I370" i="508"/>
  <c r="X370" i="508"/>
  <c r="Z370" i="508"/>
  <c r="N350" i="508"/>
  <c r="V350" i="508"/>
  <c r="W350" i="508" s="1"/>
  <c r="H351" i="508"/>
  <c r="J351" i="508" a="1"/>
  <c r="J351" i="508" s="1"/>
  <c r="N352" i="508"/>
  <c r="N354" i="508"/>
  <c r="N356" i="508"/>
  <c r="N358" i="508"/>
  <c r="N362" i="508"/>
  <c r="N364" i="508"/>
  <c r="N371" i="508"/>
  <c r="S428" i="508"/>
  <c r="U428" i="508"/>
  <c r="Y428" i="508"/>
  <c r="AA428" i="508"/>
  <c r="H372" i="508"/>
  <c r="H373" i="508"/>
  <c r="J373" i="508" a="1"/>
  <c r="J373" i="508" s="1"/>
  <c r="V374" i="508"/>
  <c r="W374" i="508" s="1"/>
  <c r="H375" i="508"/>
  <c r="J375" i="508" a="1"/>
  <c r="J375" i="508" s="1"/>
  <c r="N379" i="508"/>
  <c r="V379" i="508"/>
  <c r="W379" i="508" s="1"/>
  <c r="H380" i="508"/>
  <c r="J380" i="508" a="1"/>
  <c r="J380" i="508" s="1"/>
  <c r="N381" i="508"/>
  <c r="V381" i="508"/>
  <c r="W381" i="508" s="1"/>
  <c r="H382" i="508"/>
  <c r="J382" i="508" a="1"/>
  <c r="J382" i="508" s="1"/>
  <c r="N383" i="508"/>
  <c r="V383" i="508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N389" i="508"/>
  <c r="V389" i="508"/>
  <c r="W389" i="508" s="1"/>
  <c r="H390" i="508"/>
  <c r="J390" i="508" a="1"/>
  <c r="J390" i="508" s="1"/>
  <c r="M392" i="508"/>
  <c r="N392" i="508"/>
  <c r="H393" i="508"/>
  <c r="J400" i="508" a="1"/>
  <c r="J400" i="508" s="1"/>
  <c r="J402" i="508" a="1"/>
  <c r="J402" i="508" s="1"/>
  <c r="J404" i="508" a="1"/>
  <c r="J404" i="508" s="1"/>
  <c r="J406" i="508" a="1"/>
  <c r="J406" i="508" s="1"/>
  <c r="J408" i="508" a="1"/>
  <c r="J408" i="508" s="1"/>
  <c r="N412" i="508"/>
  <c r="N414" i="508"/>
  <c r="N416" i="508"/>
  <c r="N430" i="508"/>
  <c r="N432" i="508"/>
  <c r="N436" i="508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V447" i="508"/>
  <c r="W447" i="508" s="1"/>
  <c r="N450" i="508"/>
  <c r="N452" i="508"/>
  <c r="N454" i="508"/>
  <c r="V455" i="508"/>
  <c r="W455" i="508" s="1"/>
  <c r="N456" i="508"/>
  <c r="V456" i="508"/>
  <c r="W456" i="508" s="1"/>
  <c r="H457" i="508"/>
  <c r="H460" i="508"/>
  <c r="J460" i="508" a="1"/>
  <c r="J460" i="508" s="1"/>
  <c r="V460" i="508"/>
  <c r="W460" i="508" s="1"/>
  <c r="H461" i="508"/>
  <c r="J461" i="508" a="1"/>
  <c r="J461" i="508" s="1"/>
  <c r="J462" i="508" a="1"/>
  <c r="J462" i="508" s="1"/>
  <c r="N465" i="508"/>
  <c r="N467" i="508"/>
  <c r="N469" i="508"/>
  <c r="W482" i="508"/>
  <c r="N492" i="508"/>
  <c r="N494" i="508"/>
  <c r="N498" i="508"/>
  <c r="V501" i="508"/>
  <c r="W501" i="508" s="1"/>
  <c r="H502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1" i="508" a="1"/>
  <c r="J151" i="508" s="1"/>
  <c r="J158" i="508" a="1"/>
  <c r="J158" i="508" s="1"/>
  <c r="V183" i="508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M193" i="508"/>
  <c r="R338" i="508"/>
  <c r="V202" i="508"/>
  <c r="W202" i="508" s="1"/>
  <c r="H208" i="508"/>
  <c r="J208" i="508" a="1"/>
  <c r="J208" i="508" s="1"/>
  <c r="J209" i="508" a="1"/>
  <c r="J209" i="508" s="1"/>
  <c r="V209" i="508"/>
  <c r="M213" i="508"/>
  <c r="W229" i="508"/>
  <c r="W233" i="508"/>
  <c r="W310" i="508"/>
  <c r="W312" i="508"/>
  <c r="K330" i="508" a="1"/>
  <c r="K330" i="508" s="1"/>
  <c r="W351" i="508"/>
  <c r="W373" i="508"/>
  <c r="W375" i="508"/>
  <c r="W380" i="508"/>
  <c r="W382" i="508"/>
  <c r="W384" i="508"/>
  <c r="W386" i="508"/>
  <c r="W388" i="508"/>
  <c r="W412" i="508"/>
  <c r="W414" i="508"/>
  <c r="W416" i="508"/>
  <c r="M419" i="508"/>
  <c r="M421" i="508"/>
  <c r="W430" i="508"/>
  <c r="W432" i="508"/>
  <c r="M457" i="508"/>
  <c r="W465" i="508"/>
  <c r="W467" i="508"/>
  <c r="M469" i="508"/>
  <c r="W469" i="508"/>
  <c r="M471" i="508"/>
  <c r="V471" i="508"/>
  <c r="W471" i="508" s="1"/>
  <c r="M473" i="508"/>
  <c r="V473" i="508"/>
  <c r="W473" i="508" s="1"/>
  <c r="M475" i="508"/>
  <c r="V475" i="508"/>
  <c r="W475" i="508" s="1"/>
  <c r="M477" i="508"/>
  <c r="V477" i="508"/>
  <c r="W477" i="508" s="1"/>
  <c r="H480" i="508"/>
  <c r="J480" i="508" a="1"/>
  <c r="J480" i="508" s="1"/>
  <c r="N481" i="508"/>
  <c r="V481" i="508"/>
  <c r="W481" i="508" s="1"/>
  <c r="H482" i="508"/>
  <c r="J482" i="508" a="1"/>
  <c r="J482" i="508" s="1"/>
  <c r="N483" i="508"/>
  <c r="V483" i="508"/>
  <c r="W483" i="508" s="1"/>
  <c r="H484" i="508"/>
  <c r="J484" i="508" a="1"/>
  <c r="J484" i="508" s="1"/>
  <c r="C513" i="508"/>
  <c r="G370" i="508"/>
  <c r="N349" i="508"/>
  <c r="P370" i="508"/>
  <c r="P507" i="508" s="1"/>
  <c r="R370" i="508"/>
  <c r="R507" i="508" s="1"/>
  <c r="T370" i="508"/>
  <c r="T507" i="508" s="1"/>
  <c r="V349" i="508"/>
  <c r="Y370" i="508"/>
  <c r="AA370" i="508"/>
  <c r="M351" i="508"/>
  <c r="K371" i="508" a="1"/>
  <c r="K371" i="508" s="1"/>
  <c r="W383" i="508"/>
  <c r="K383" i="508" a="1"/>
  <c r="K383" i="508" s="1"/>
  <c r="M383" i="508" s="1"/>
  <c r="N391" i="508"/>
  <c r="H392" i="508"/>
  <c r="N393" i="508"/>
  <c r="H394" i="508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K407" i="508" a="1"/>
  <c r="K407" i="508" s="1"/>
  <c r="M407" i="508" s="1"/>
  <c r="K408" i="508" a="1"/>
  <c r="K408" i="508" s="1"/>
  <c r="M408" i="508" s="1"/>
  <c r="W411" i="508"/>
  <c r="W415" i="508"/>
  <c r="W417" i="508"/>
  <c r="W431" i="508"/>
  <c r="W433" i="508"/>
  <c r="W435" i="508"/>
  <c r="W353" i="508"/>
  <c r="W355" i="508"/>
  <c r="W357" i="508"/>
  <c r="W361" i="508"/>
  <c r="W363" i="508"/>
  <c r="W369" i="508"/>
  <c r="W390" i="508"/>
  <c r="H397" i="508"/>
  <c r="H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N407" i="508"/>
  <c r="V407" i="508"/>
  <c r="W407" i="508" s="1"/>
  <c r="H408" i="508"/>
  <c r="N408" i="508"/>
  <c r="V408" i="508"/>
  <c r="W408" i="508" s="1"/>
  <c r="H409" i="508"/>
  <c r="M411" i="508"/>
  <c r="M415" i="508"/>
  <c r="M417" i="508"/>
  <c r="H419" i="508"/>
  <c r="H421" i="508"/>
  <c r="H426" i="508"/>
  <c r="I463" i="508"/>
  <c r="X515" i="508"/>
  <c r="N434" i="508"/>
  <c r="W438" i="508"/>
  <c r="M459" i="508"/>
  <c r="W440" i="508"/>
  <c r="W442" i="508"/>
  <c r="W444" i="508"/>
  <c r="W446" i="508"/>
  <c r="W448" i="508"/>
  <c r="K462" i="508" a="1"/>
  <c r="K462" i="508" s="1"/>
  <c r="M462" i="508" s="1"/>
  <c r="W466" i="508"/>
  <c r="W468" i="508"/>
  <c r="W470" i="508"/>
  <c r="W472" i="508"/>
  <c r="W474" i="508"/>
  <c r="W476" i="508"/>
  <c r="W478" i="508"/>
  <c r="W484" i="508"/>
  <c r="W489" i="508"/>
  <c r="M497" i="508"/>
  <c r="M501" i="508"/>
  <c r="X463" i="508"/>
  <c r="Z463" i="508"/>
  <c r="M431" i="508"/>
  <c r="M433" i="508"/>
  <c r="M435" i="508"/>
  <c r="M438" i="508"/>
  <c r="M440" i="508"/>
  <c r="M442" i="508"/>
  <c r="M444" i="508"/>
  <c r="M446" i="508"/>
  <c r="M448" i="508"/>
  <c r="H458" i="508"/>
  <c r="H459" i="508"/>
  <c r="N460" i="508"/>
  <c r="N461" i="508"/>
  <c r="V461" i="508"/>
  <c r="W461" i="508" s="1"/>
  <c r="H462" i="508"/>
  <c r="N462" i="508"/>
  <c r="V462" i="508"/>
  <c r="W462" i="508" s="1"/>
  <c r="O479" i="508"/>
  <c r="Q479" i="508"/>
  <c r="Q507" i="508" s="1"/>
  <c r="S479" i="508"/>
  <c r="S507" i="508" s="1"/>
  <c r="U479" i="508"/>
  <c r="U507" i="508" s="1"/>
  <c r="X479" i="508"/>
  <c r="Z479" i="508"/>
  <c r="K480" i="508" a="1"/>
  <c r="K480" i="508" s="1"/>
  <c r="M489" i="508"/>
  <c r="V506" i="508"/>
  <c r="W493" i="508"/>
  <c r="W497" i="508"/>
  <c r="K179" i="508" a="1"/>
  <c r="K179" i="508" s="1"/>
  <c r="M179" i="508" s="1"/>
  <c r="W179" i="508"/>
  <c r="K181" i="508" a="1"/>
  <c r="K181" i="508" s="1"/>
  <c r="M181" i="508" s="1"/>
  <c r="W181" i="508"/>
  <c r="K183" i="508" a="1"/>
  <c r="K183" i="508" s="1"/>
  <c r="M183" i="508" s="1"/>
  <c r="W183" i="508"/>
  <c r="J184" i="508" a="1"/>
  <c r="J184" i="508" s="1"/>
  <c r="K185" i="508" a="1"/>
  <c r="K185" i="508" s="1"/>
  <c r="M185" i="508" s="1"/>
  <c r="W185" i="508"/>
  <c r="I199" i="508"/>
  <c r="O199" i="508"/>
  <c r="Q199" i="508"/>
  <c r="S199" i="508"/>
  <c r="U199" i="508"/>
  <c r="Y199" i="508"/>
  <c r="Y335" i="508" s="1"/>
  <c r="AA199" i="508"/>
  <c r="AA335" i="508" s="1"/>
  <c r="H179" i="508"/>
  <c r="V180" i="508"/>
  <c r="W180" i="508" s="1"/>
  <c r="H181" i="508"/>
  <c r="V182" i="508"/>
  <c r="W182" i="508" s="1"/>
  <c r="H183" i="508"/>
  <c r="V184" i="508"/>
  <c r="W184" i="508" s="1"/>
  <c r="H185" i="508"/>
  <c r="G199" i="508"/>
  <c r="P199" i="508"/>
  <c r="R199" i="508"/>
  <c r="R335" i="508" s="1"/>
  <c r="T199" i="508"/>
  <c r="T335" i="508" s="1"/>
  <c r="X199" i="508"/>
  <c r="Z199" i="508"/>
  <c r="H187" i="508"/>
  <c r="J187" i="508" a="1"/>
  <c r="J187" i="508" s="1"/>
  <c r="V188" i="508"/>
  <c r="W188" i="508" s="1"/>
  <c r="H189" i="508"/>
  <c r="J189" i="508" a="1"/>
  <c r="J189" i="508" s="1"/>
  <c r="V190" i="508"/>
  <c r="W190" i="508" s="1"/>
  <c r="H191" i="508"/>
  <c r="J191" i="508" a="1"/>
  <c r="J191" i="508" s="1"/>
  <c r="V192" i="508"/>
  <c r="W192" i="508" s="1"/>
  <c r="H193" i="508"/>
  <c r="J193" i="508" a="1"/>
  <c r="J193" i="508" s="1"/>
  <c r="V194" i="508"/>
  <c r="W194" i="508" s="1"/>
  <c r="W187" i="508"/>
  <c r="W193" i="508"/>
  <c r="H200" i="508"/>
  <c r="J200" i="508" a="1"/>
  <c r="J200" i="508" s="1"/>
  <c r="W203" i="508"/>
  <c r="K209" i="508" a="1"/>
  <c r="K209" i="508" s="1"/>
  <c r="M209" i="508" s="1"/>
  <c r="W209" i="508"/>
  <c r="H210" i="508"/>
  <c r="J210" i="508" a="1"/>
  <c r="J210" i="508" s="1"/>
  <c r="M203" i="508"/>
  <c r="V208" i="508"/>
  <c r="W208" i="508" s="1"/>
  <c r="H209" i="508"/>
  <c r="W210" i="508"/>
  <c r="N292" i="508"/>
  <c r="W258" i="508"/>
  <c r="W260" i="508"/>
  <c r="W262" i="508"/>
  <c r="W264" i="508"/>
  <c r="W267" i="508"/>
  <c r="W269" i="508"/>
  <c r="W271" i="508"/>
  <c r="W272" i="508"/>
  <c r="I292" i="508"/>
  <c r="L561" i="508" s="1"/>
  <c r="O292" i="508"/>
  <c r="Q292" i="508"/>
  <c r="S292" i="508"/>
  <c r="S335" i="508" s="1"/>
  <c r="U292" i="508"/>
  <c r="X292" i="508"/>
  <c r="Z292" i="508"/>
  <c r="W274" i="508"/>
  <c r="W276" i="508"/>
  <c r="W285" i="508"/>
  <c r="W290" i="508"/>
  <c r="K293" i="508" a="1"/>
  <c r="K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K300" i="508" a="1"/>
  <c r="K300" i="508" s="1"/>
  <c r="M300" i="508" s="1"/>
  <c r="W301" i="508"/>
  <c r="W307" i="508"/>
  <c r="W318" i="508"/>
  <c r="W321" i="508"/>
  <c r="W323" i="508"/>
  <c r="W325" i="508"/>
  <c r="M330" i="508"/>
  <c r="M272" i="508"/>
  <c r="M274" i="508"/>
  <c r="M276" i="508"/>
  <c r="M278" i="508"/>
  <c r="M279" i="508"/>
  <c r="M280" i="508"/>
  <c r="M281" i="508"/>
  <c r="M282" i="508"/>
  <c r="M283" i="508"/>
  <c r="M284" i="508"/>
  <c r="M285" i="508"/>
  <c r="M290" i="508"/>
  <c r="H293" i="508"/>
  <c r="J293" i="508" a="1"/>
  <c r="J293" i="508" s="1"/>
  <c r="R340" i="508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H300" i="508"/>
  <c r="N300" i="508"/>
  <c r="V300" i="508"/>
  <c r="W300" i="508" s="1"/>
  <c r="V303" i="508"/>
  <c r="W303" i="508" s="1"/>
  <c r="M307" i="508"/>
  <c r="K309" i="508" a="1"/>
  <c r="K309" i="508" s="1"/>
  <c r="M318" i="508"/>
  <c r="N320" i="508"/>
  <c r="V320" i="508"/>
  <c r="M321" i="508"/>
  <c r="M323" i="508"/>
  <c r="M325" i="508"/>
  <c r="H328" i="508"/>
  <c r="N330" i="508"/>
  <c r="V330" i="508"/>
  <c r="W330" i="508" s="1"/>
  <c r="H331" i="508"/>
  <c r="M333" i="508"/>
  <c r="M243" i="508"/>
  <c r="M245" i="508"/>
  <c r="M247" i="508"/>
  <c r="M248" i="508"/>
  <c r="M249" i="508"/>
  <c r="M250" i="508"/>
  <c r="M239" i="508"/>
  <c r="M220" i="508"/>
  <c r="M221" i="508"/>
  <c r="M222" i="508"/>
  <c r="M223" i="508"/>
  <c r="M224" i="508"/>
  <c r="M225" i="508"/>
  <c r="M226" i="508"/>
  <c r="M227" i="508"/>
  <c r="M228" i="508"/>
  <c r="M230" i="508"/>
  <c r="M232" i="508"/>
  <c r="M234" i="508"/>
  <c r="M236" i="508"/>
  <c r="W228" i="508"/>
  <c r="W230" i="508"/>
  <c r="W232" i="508"/>
  <c r="W234" i="508"/>
  <c r="W236" i="508"/>
  <c r="V214" i="508"/>
  <c r="W214" i="508" s="1"/>
  <c r="H215" i="508"/>
  <c r="J215" i="508" a="1"/>
  <c r="J215" i="508" s="1"/>
  <c r="W215" i="508"/>
  <c r="M218" i="508"/>
  <c r="W218" i="508"/>
  <c r="W217" i="508"/>
  <c r="H178" i="508"/>
  <c r="J178" i="508" a="1"/>
  <c r="J178" i="508" s="1"/>
  <c r="K178" i="508" a="1"/>
  <c r="K178" i="508" s="1"/>
  <c r="M178" i="508" s="1"/>
  <c r="H212" i="508"/>
  <c r="J212" i="508" a="1"/>
  <c r="J212" i="508" s="1"/>
  <c r="W212" i="508"/>
  <c r="H213" i="508"/>
  <c r="J213" i="508" a="1"/>
  <c r="J213" i="508" s="1"/>
  <c r="W213" i="508"/>
  <c r="H211" i="508"/>
  <c r="J211" i="508" a="1"/>
  <c r="J211" i="508" s="1"/>
  <c r="W211" i="508"/>
  <c r="H186" i="508"/>
  <c r="J186" i="508" a="1"/>
  <c r="J186" i="508" s="1"/>
  <c r="W186" i="508"/>
  <c r="W240" i="508"/>
  <c r="G257" i="508"/>
  <c r="M240" i="508"/>
  <c r="W241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M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70" i="508"/>
  <c r="K528" i="508" s="1"/>
  <c r="J147" i="508" a="1"/>
  <c r="J147" i="508" s="1"/>
  <c r="G163" i="508"/>
  <c r="C529" i="508" s="1"/>
  <c r="I163" i="508"/>
  <c r="L556" i="508" s="1"/>
  <c r="K149" i="508" a="1"/>
  <c r="K149" i="508" s="1"/>
  <c r="K163" i="508" s="1"/>
  <c r="O163" i="508"/>
  <c r="Q163" i="508"/>
  <c r="S163" i="508"/>
  <c r="U163" i="508"/>
  <c r="Y163" i="508"/>
  <c r="AA163" i="508"/>
  <c r="J150" i="508" a="1"/>
  <c r="J150" i="508" s="1"/>
  <c r="V151" i="508"/>
  <c r="W151" i="508" s="1"/>
  <c r="J152" i="508" a="1"/>
  <c r="J152" i="508" s="1"/>
  <c r="V158" i="508"/>
  <c r="W158" i="508" s="1"/>
  <c r="W135" i="508"/>
  <c r="W147" i="508"/>
  <c r="W150" i="508"/>
  <c r="W152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6" i="508"/>
  <c r="J553" i="508"/>
  <c r="M553" i="508" s="1"/>
  <c r="C525" i="508"/>
  <c r="J86" i="508" a="1"/>
  <c r="J86" i="508" s="1"/>
  <c r="M29" i="508"/>
  <c r="Q528" i="508"/>
  <c r="J554" i="508"/>
  <c r="C526" i="508"/>
  <c r="M118" i="508"/>
  <c r="M119" i="508"/>
  <c r="M120" i="508"/>
  <c r="J555" i="508"/>
  <c r="M555" i="508" s="1"/>
  <c r="J137" i="508" a="1"/>
  <c r="J137" i="508" s="1"/>
  <c r="W122" i="508"/>
  <c r="C528" i="508"/>
  <c r="J148" i="508" a="1"/>
  <c r="J148" i="508" s="1"/>
  <c r="M139" i="508"/>
  <c r="M140" i="508"/>
  <c r="M141" i="508"/>
  <c r="M142" i="508"/>
  <c r="M149" i="508"/>
  <c r="M159" i="508"/>
  <c r="M160" i="508"/>
  <c r="J552" i="508"/>
  <c r="J544" i="508"/>
  <c r="C524" i="508"/>
  <c r="M8" i="508"/>
  <c r="M10" i="508"/>
  <c r="M12" i="508"/>
  <c r="M14" i="508"/>
  <c r="M16" i="508"/>
  <c r="M18" i="508"/>
  <c r="M20" i="508"/>
  <c r="M22" i="508"/>
  <c r="M26" i="508"/>
  <c r="Q524" i="508"/>
  <c r="Q527" i="508"/>
  <c r="M32" i="508"/>
  <c r="Q529" i="508"/>
  <c r="M72" i="508"/>
  <c r="M74" i="508"/>
  <c r="M76" i="508"/>
  <c r="M77" i="508"/>
  <c r="M78" i="508"/>
  <c r="M79" i="508"/>
  <c r="W148" i="508"/>
  <c r="M154" i="508"/>
  <c r="M155" i="508"/>
  <c r="M161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8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9" i="508"/>
  <c r="J154" i="508" a="1"/>
  <c r="J154" i="508" s="1"/>
  <c r="J155" i="508" a="1"/>
  <c r="J155" i="508" s="1"/>
  <c r="J159" i="508" a="1"/>
  <c r="J159" i="508" s="1"/>
  <c r="I166" i="508"/>
  <c r="J559" i="508"/>
  <c r="J199" i="508" a="1"/>
  <c r="J199" i="508" s="1"/>
  <c r="L559" i="508"/>
  <c r="I335" i="508"/>
  <c r="B343" i="508" s="1"/>
  <c r="X338" i="508"/>
  <c r="P335" i="508"/>
  <c r="X339" i="508" s="1"/>
  <c r="V178" i="508"/>
  <c r="K195" i="508" a="1"/>
  <c r="K195" i="508" s="1"/>
  <c r="H195" i="508"/>
  <c r="K197" i="508" a="1"/>
  <c r="K197" i="508" s="1"/>
  <c r="M197" i="508" s="1"/>
  <c r="H197" i="508"/>
  <c r="M198" i="508"/>
  <c r="M202" i="508"/>
  <c r="M204" i="508"/>
  <c r="M217" i="508"/>
  <c r="M219" i="508"/>
  <c r="M229" i="508"/>
  <c r="M231" i="508"/>
  <c r="M233" i="508"/>
  <c r="M235" i="508"/>
  <c r="M237" i="508"/>
  <c r="M241" i="508"/>
  <c r="M244" i="508"/>
  <c r="M246" i="508"/>
  <c r="R339" i="508"/>
  <c r="M260" i="508"/>
  <c r="M262" i="508"/>
  <c r="M264" i="508"/>
  <c r="M267" i="508"/>
  <c r="M269" i="508"/>
  <c r="M271" i="508"/>
  <c r="M273" i="508"/>
  <c r="M275" i="508"/>
  <c r="M277" i="508"/>
  <c r="M289" i="508"/>
  <c r="M291" i="508"/>
  <c r="M293" i="508"/>
  <c r="P86" i="508"/>
  <c r="K87" i="508" a="1"/>
  <c r="K87" i="508" s="1"/>
  <c r="R337" i="508"/>
  <c r="O335" i="508"/>
  <c r="M195" i="508"/>
  <c r="K196" i="508" a="1"/>
  <c r="K196" i="508" s="1"/>
  <c r="M196" i="508" s="1"/>
  <c r="H196" i="508"/>
  <c r="J560" i="508"/>
  <c r="M560" i="508" s="1"/>
  <c r="J257" i="508" a="1"/>
  <c r="J257" i="508" s="1"/>
  <c r="K257" i="508"/>
  <c r="M200" i="508"/>
  <c r="M216" i="508"/>
  <c r="J561" i="508"/>
  <c r="M561" i="508" s="1"/>
  <c r="J292" i="508" a="1"/>
  <c r="J292" i="508" s="1"/>
  <c r="J216" i="508" a="1"/>
  <c r="J216" i="508" s="1"/>
  <c r="H217" i="508"/>
  <c r="J217" i="508" a="1"/>
  <c r="J217" i="508" s="1"/>
  <c r="H218" i="508"/>
  <c r="J218" i="508" a="1"/>
  <c r="J218" i="508" s="1"/>
  <c r="H219" i="508"/>
  <c r="J219" i="508" a="1"/>
  <c r="J219" i="508" s="1"/>
  <c r="H220" i="508"/>
  <c r="H221" i="508"/>
  <c r="H222" i="508"/>
  <c r="H223" i="508"/>
  <c r="H224" i="508"/>
  <c r="H225" i="508"/>
  <c r="H226" i="508"/>
  <c r="H227" i="508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37" i="508"/>
  <c r="J237" i="508" a="1"/>
  <c r="J237" i="508" s="1"/>
  <c r="H289" i="508"/>
  <c r="J289" i="508" a="1"/>
  <c r="J289" i="508" s="1"/>
  <c r="H290" i="508"/>
  <c r="J290" i="508" a="1"/>
  <c r="J290" i="508" s="1"/>
  <c r="H291" i="508"/>
  <c r="J291" i="508" a="1"/>
  <c r="J291" i="508" s="1"/>
  <c r="V292" i="508"/>
  <c r="W292" i="508" s="1"/>
  <c r="J562" i="508"/>
  <c r="M562" i="508" s="1"/>
  <c r="J308" i="508" a="1"/>
  <c r="J308" i="508" s="1"/>
  <c r="N293" i="508"/>
  <c r="N308" i="508" s="1"/>
  <c r="V293" i="508"/>
  <c r="K301" i="508" a="1"/>
  <c r="K301" i="508" s="1"/>
  <c r="M301" i="508" s="1"/>
  <c r="J301" i="508" a="1"/>
  <c r="J301" i="508" s="1"/>
  <c r="H301" i="508"/>
  <c r="K303" i="508" a="1"/>
  <c r="K303" i="508" s="1"/>
  <c r="J303" i="508" a="1"/>
  <c r="J303" i="508" s="1"/>
  <c r="H303" i="508"/>
  <c r="K305" i="508" a="1"/>
  <c r="K305" i="508" s="1"/>
  <c r="M305" i="508" s="1"/>
  <c r="J305" i="508" a="1"/>
  <c r="J305" i="508" s="1"/>
  <c r="H305" i="508"/>
  <c r="W305" i="508"/>
  <c r="M306" i="508"/>
  <c r="R341" i="508"/>
  <c r="R342" i="508"/>
  <c r="M322" i="508"/>
  <c r="M326" i="508"/>
  <c r="J565" i="508"/>
  <c r="J370" i="508" a="1"/>
  <c r="J370" i="508" s="1"/>
  <c r="N370" i="508"/>
  <c r="V370" i="508"/>
  <c r="M350" i="508"/>
  <c r="M353" i="508"/>
  <c r="M355" i="508"/>
  <c r="M357" i="508"/>
  <c r="M361" i="508"/>
  <c r="M363" i="508"/>
  <c r="M365" i="508"/>
  <c r="M367" i="508"/>
  <c r="M369" i="508"/>
  <c r="K428" i="508"/>
  <c r="M371" i="508"/>
  <c r="H198" i="508"/>
  <c r="V200" i="508"/>
  <c r="H202" i="508"/>
  <c r="J202" i="508" a="1"/>
  <c r="J202" i="508" s="1"/>
  <c r="H203" i="508"/>
  <c r="J203" i="508" a="1"/>
  <c r="J203" i="508" s="1"/>
  <c r="H204" i="508"/>
  <c r="J204" i="508" a="1"/>
  <c r="J204" i="508" s="1"/>
  <c r="H239" i="508"/>
  <c r="H240" i="508"/>
  <c r="J240" i="508" a="1"/>
  <c r="J240" i="508" s="1"/>
  <c r="H241" i="508"/>
  <c r="J241" i="508" a="1"/>
  <c r="J241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J246" i="508" a="1"/>
  <c r="J246" i="508" s="1"/>
  <c r="H247" i="508"/>
  <c r="H248" i="508"/>
  <c r="H249" i="508"/>
  <c r="H250" i="508"/>
  <c r="H258" i="508"/>
  <c r="J258" i="508" a="1"/>
  <c r="J258" i="508" s="1"/>
  <c r="K258" i="508" a="1"/>
  <c r="K258" i="508" s="1"/>
  <c r="K292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J264" i="508" a="1"/>
  <c r="J264" i="508" s="1"/>
  <c r="H265" i="508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J277" i="508" a="1"/>
  <c r="J277" i="508" s="1"/>
  <c r="H278" i="508"/>
  <c r="H279" i="508"/>
  <c r="H280" i="508"/>
  <c r="H281" i="508"/>
  <c r="H282" i="508"/>
  <c r="H283" i="508"/>
  <c r="H284" i="508"/>
  <c r="J284" i="508" a="1"/>
  <c r="J284" i="508" s="1"/>
  <c r="H285" i="508"/>
  <c r="J285" i="508" a="1"/>
  <c r="J285" i="508" s="1"/>
  <c r="K302" i="508" a="1"/>
  <c r="K302" i="508" s="1"/>
  <c r="M302" i="508" s="1"/>
  <c r="J302" i="508" a="1"/>
  <c r="J302" i="508" s="1"/>
  <c r="H302" i="508"/>
  <c r="W302" i="508"/>
  <c r="M303" i="508"/>
  <c r="K304" i="508" a="1"/>
  <c r="K304" i="508" s="1"/>
  <c r="M304" i="508" s="1"/>
  <c r="J304" i="508" a="1"/>
  <c r="J304" i="508" s="1"/>
  <c r="H304" i="508"/>
  <c r="W304" i="508"/>
  <c r="M309" i="508"/>
  <c r="M319" i="508" s="1"/>
  <c r="K319" i="508"/>
  <c r="J563" i="508"/>
  <c r="M563" i="508" s="1"/>
  <c r="J334" i="508" a="1"/>
  <c r="J334" i="508" s="1"/>
  <c r="L565" i="508"/>
  <c r="R509" i="508"/>
  <c r="H306" i="508"/>
  <c r="J306" i="508" a="1"/>
  <c r="J306" i="508" s="1"/>
  <c r="H307" i="508"/>
  <c r="J307" i="508" a="1"/>
  <c r="J307" i="508" s="1"/>
  <c r="N309" i="508"/>
  <c r="N319" i="508" s="1"/>
  <c r="V309" i="508"/>
  <c r="H318" i="508"/>
  <c r="H319" i="508" s="1"/>
  <c r="J318" i="508" a="1"/>
  <c r="J318" i="508" s="1"/>
  <c r="H320" i="508"/>
  <c r="J320" i="508" a="1"/>
  <c r="J320" i="508" s="1"/>
  <c r="K320" i="508" a="1"/>
  <c r="K320" i="508" s="1"/>
  <c r="K334" i="508" s="1"/>
  <c r="W320" i="508"/>
  <c r="H321" i="508"/>
  <c r="J321" i="508" a="1"/>
  <c r="J321" i="508" s="1"/>
  <c r="H322" i="508"/>
  <c r="J322" i="508" a="1"/>
  <c r="J322" i="508" s="1"/>
  <c r="H323" i="508"/>
  <c r="J323" i="508" a="1"/>
  <c r="J323" i="508" s="1"/>
  <c r="H325" i="508"/>
  <c r="J325" i="508" a="1"/>
  <c r="J325" i="508" s="1"/>
  <c r="H326" i="508"/>
  <c r="J326" i="508" a="1"/>
  <c r="J326" i="508" s="1"/>
  <c r="H333" i="508"/>
  <c r="I337" i="508"/>
  <c r="H349" i="508"/>
  <c r="J349" i="508" a="1"/>
  <c r="J349" i="508" s="1"/>
  <c r="K349" i="508" a="1"/>
  <c r="K349" i="508" s="1"/>
  <c r="K370" i="508" s="1"/>
  <c r="W349" i="508"/>
  <c r="H350" i="508"/>
  <c r="J350" i="508" a="1"/>
  <c r="J350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7" i="508"/>
  <c r="J357" i="508" a="1"/>
  <c r="J357" i="508" s="1"/>
  <c r="H358" i="508"/>
  <c r="J358" i="508" a="1"/>
  <c r="J358" i="508" s="1"/>
  <c r="H361" i="508"/>
  <c r="J361" i="508" a="1"/>
  <c r="J361" i="508" s="1"/>
  <c r="H362" i="508"/>
  <c r="J362" i="508" a="1"/>
  <c r="J362" i="508" s="1"/>
  <c r="H363" i="508"/>
  <c r="J363" i="508" a="1"/>
  <c r="J363" i="508" s="1"/>
  <c r="H364" i="508"/>
  <c r="J364" i="508" a="1"/>
  <c r="J364" i="508" s="1"/>
  <c r="H365" i="508"/>
  <c r="H367" i="508"/>
  <c r="H369" i="508"/>
  <c r="J369" i="508" a="1"/>
  <c r="J369" i="508" s="1"/>
  <c r="J566" i="508"/>
  <c r="J545" i="508"/>
  <c r="J428" i="508" a="1"/>
  <c r="J428" i="508" s="1"/>
  <c r="L566" i="508"/>
  <c r="L545" i="508"/>
  <c r="V371" i="508"/>
  <c r="N373" i="508"/>
  <c r="N374" i="508"/>
  <c r="N375" i="508"/>
  <c r="M396" i="508"/>
  <c r="M398" i="508"/>
  <c r="M412" i="508"/>
  <c r="M414" i="508"/>
  <c r="M416" i="508"/>
  <c r="M418" i="508"/>
  <c r="M420" i="508"/>
  <c r="M422" i="508"/>
  <c r="M423" i="508"/>
  <c r="M424" i="508"/>
  <c r="M425" i="508"/>
  <c r="M427" i="508"/>
  <c r="M430" i="508"/>
  <c r="M432" i="508"/>
  <c r="M434" i="508"/>
  <c r="M436" i="508"/>
  <c r="M437" i="508"/>
  <c r="M439" i="508"/>
  <c r="M441" i="508"/>
  <c r="M443" i="508"/>
  <c r="M445" i="508"/>
  <c r="M447" i="508"/>
  <c r="M449" i="508"/>
  <c r="M450" i="508"/>
  <c r="M451" i="508"/>
  <c r="M452" i="508"/>
  <c r="M453" i="508"/>
  <c r="M454" i="508"/>
  <c r="M455" i="508"/>
  <c r="O428" i="508"/>
  <c r="R510" i="508" s="1"/>
  <c r="H396" i="508"/>
  <c r="H398" i="508"/>
  <c r="J567" i="508"/>
  <c r="J546" i="508"/>
  <c r="J463" i="508" a="1"/>
  <c r="J463" i="508" s="1"/>
  <c r="L567" i="508"/>
  <c r="L546" i="508"/>
  <c r="K456" i="508" a="1"/>
  <c r="K456" i="508" s="1"/>
  <c r="M456" i="508" s="1"/>
  <c r="M493" i="508"/>
  <c r="H411" i="508"/>
  <c r="J411" i="508" a="1"/>
  <c r="J411" i="508" s="1"/>
  <c r="H412" i="508"/>
  <c r="J412" i="508" a="1"/>
  <c r="J412" i="508" s="1"/>
  <c r="H414" i="508"/>
  <c r="J414" i="508" a="1"/>
  <c r="J414" i="508" s="1"/>
  <c r="H415" i="508"/>
  <c r="J415" i="508" a="1"/>
  <c r="J415" i="508" s="1"/>
  <c r="H416" i="508"/>
  <c r="J416" i="508" a="1"/>
  <c r="J416" i="508" s="1"/>
  <c r="H417" i="508"/>
  <c r="J417" i="508" a="1"/>
  <c r="J417" i="508" s="1"/>
  <c r="H418" i="508"/>
  <c r="H420" i="508"/>
  <c r="H422" i="508"/>
  <c r="H423" i="508"/>
  <c r="H424" i="508"/>
  <c r="H425" i="508"/>
  <c r="H427" i="508"/>
  <c r="H429" i="508"/>
  <c r="J429" i="508" a="1"/>
  <c r="J429" i="508" s="1"/>
  <c r="K429" i="508" a="1"/>
  <c r="K429" i="508" s="1"/>
  <c r="R511" i="508"/>
  <c r="W429" i="508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J434" i="508" a="1"/>
  <c r="J434" i="508" s="1"/>
  <c r="H435" i="508"/>
  <c r="J435" i="508" a="1"/>
  <c r="J435" i="508" s="1"/>
  <c r="H436" i="508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J447" i="508" a="1"/>
  <c r="J447" i="508" s="1"/>
  <c r="H448" i="508"/>
  <c r="J448" i="508" a="1"/>
  <c r="J448" i="508" s="1"/>
  <c r="H449" i="508"/>
  <c r="H450" i="508"/>
  <c r="H451" i="508"/>
  <c r="H452" i="508"/>
  <c r="H453" i="508"/>
  <c r="H454" i="508"/>
  <c r="H455" i="508"/>
  <c r="J455" i="508" a="1"/>
  <c r="J455" i="508" s="1"/>
  <c r="H456" i="508"/>
  <c r="J456" i="508" a="1"/>
  <c r="J456" i="508" s="1"/>
  <c r="M464" i="508"/>
  <c r="R512" i="508"/>
  <c r="M466" i="508"/>
  <c r="M468" i="508"/>
  <c r="M470" i="508"/>
  <c r="M472" i="508"/>
  <c r="M474" i="508"/>
  <c r="M476" i="508"/>
  <c r="M478" i="508"/>
  <c r="K490" i="508"/>
  <c r="M480" i="508"/>
  <c r="M490" i="508" s="1"/>
  <c r="G479" i="508"/>
  <c r="I479" i="508"/>
  <c r="O490" i="508"/>
  <c r="R513" i="508" s="1"/>
  <c r="J569" i="508"/>
  <c r="J506" i="508" a="1"/>
  <c r="J506" i="508" s="1"/>
  <c r="L569" i="508"/>
  <c r="L548" i="508"/>
  <c r="W506" i="508"/>
  <c r="M494" i="508"/>
  <c r="W494" i="508"/>
  <c r="M509" i="508"/>
  <c r="K513" i="508"/>
  <c r="M513" i="508" s="1"/>
  <c r="H464" i="508"/>
  <c r="J464" i="508" a="1"/>
  <c r="J464" i="508" s="1"/>
  <c r="W464" i="508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H477" i="508"/>
  <c r="J477" i="508" a="1"/>
  <c r="J477" i="508" s="1"/>
  <c r="H478" i="508"/>
  <c r="J478" i="508" a="1"/>
  <c r="J478" i="508" s="1"/>
  <c r="V480" i="508"/>
  <c r="H489" i="508"/>
  <c r="H490" i="508" s="1"/>
  <c r="J489" i="508" a="1"/>
  <c r="J489" i="508" s="1"/>
  <c r="H491" i="508"/>
  <c r="J491" i="508" a="1"/>
  <c r="J491" i="508" s="1"/>
  <c r="K491" i="508" a="1"/>
  <c r="K491" i="508" s="1"/>
  <c r="K506" i="508" s="1"/>
  <c r="R514" i="508"/>
  <c r="W491" i="508"/>
  <c r="H492" i="508"/>
  <c r="J492" i="508" a="1"/>
  <c r="J492" i="508" s="1"/>
  <c r="H493" i="508"/>
  <c r="J493" i="508" a="1"/>
  <c r="J493" i="508" s="1"/>
  <c r="H494" i="508"/>
  <c r="J494" i="508" a="1"/>
  <c r="J494" i="508" s="1"/>
  <c r="M498" i="508"/>
  <c r="H497" i="508"/>
  <c r="J497" i="508" a="1"/>
  <c r="J497" i="508" s="1"/>
  <c r="H498" i="508"/>
  <c r="J498" i="508" a="1"/>
  <c r="J498" i="508" s="1"/>
  <c r="H501" i="508"/>
  <c r="J501" i="508" a="1"/>
  <c r="J501" i="508" s="1"/>
  <c r="J28" i="508" l="1" a="1"/>
  <c r="J28" i="508" s="1"/>
  <c r="L552" i="508"/>
  <c r="L544" i="508"/>
  <c r="M544" i="508" s="1"/>
  <c r="I164" i="508"/>
  <c r="B172" i="508" s="1"/>
  <c r="J121" i="508" a="1"/>
  <c r="J121" i="508" s="1"/>
  <c r="M554" i="508"/>
  <c r="M137" i="508"/>
  <c r="N479" i="508"/>
  <c r="W370" i="508"/>
  <c r="R167" i="508"/>
  <c r="J556" i="508"/>
  <c r="M556" i="508" s="1"/>
  <c r="G335" i="508"/>
  <c r="J335" i="508" s="1" a="1"/>
  <c r="J335" i="508" s="1"/>
  <c r="M342" i="508" s="1"/>
  <c r="U335" i="508"/>
  <c r="Q335" i="508"/>
  <c r="Y507" i="508"/>
  <c r="R168" i="508"/>
  <c r="K526" i="508" s="1"/>
  <c r="N506" i="508"/>
  <c r="J163" i="508" a="1"/>
  <c r="J163" i="508" s="1"/>
  <c r="X335" i="508"/>
  <c r="V479" i="508"/>
  <c r="M138" i="508"/>
  <c r="M148" i="508" s="1"/>
  <c r="K137" i="508"/>
  <c r="J548" i="508"/>
  <c r="M548" i="508" s="1"/>
  <c r="K121" i="508"/>
  <c r="G164" i="508"/>
  <c r="V137" i="508"/>
  <c r="W137" i="508" s="1"/>
  <c r="H199" i="508"/>
  <c r="K559" i="508" s="1"/>
  <c r="K86" i="508"/>
  <c r="Z335" i="508"/>
  <c r="AA507" i="508"/>
  <c r="K463" i="508"/>
  <c r="K507" i="508" s="1"/>
  <c r="E515" i="508" s="1"/>
  <c r="W28" i="508"/>
  <c r="N490" i="508"/>
  <c r="M258" i="508"/>
  <c r="M292" i="508" s="1"/>
  <c r="X507" i="508"/>
  <c r="N463" i="508"/>
  <c r="R164" i="508"/>
  <c r="Z507" i="508"/>
  <c r="H428" i="508"/>
  <c r="K566" i="508" s="1"/>
  <c r="M491" i="508"/>
  <c r="M506" i="508" s="1"/>
  <c r="N428" i="508"/>
  <c r="M566" i="508"/>
  <c r="M349" i="508"/>
  <c r="M370" i="508" s="1"/>
  <c r="V463" i="508"/>
  <c r="W463" i="508" s="1"/>
  <c r="K199" i="508"/>
  <c r="K308" i="508"/>
  <c r="V334" i="508"/>
  <c r="W334" i="508" s="1"/>
  <c r="H334" i="508"/>
  <c r="K563" i="508" s="1"/>
  <c r="H308" i="508"/>
  <c r="K562" i="508" s="1"/>
  <c r="N334" i="508"/>
  <c r="H257" i="508"/>
  <c r="K560" i="508" s="1"/>
  <c r="Y164" i="508"/>
  <c r="S164" i="508"/>
  <c r="T164" i="508"/>
  <c r="X164" i="508"/>
  <c r="Z164" i="508"/>
  <c r="AA164" i="508"/>
  <c r="U164" i="508"/>
  <c r="Q164" i="508"/>
  <c r="R171" i="508"/>
  <c r="K529" i="508" s="1"/>
  <c r="M546" i="508"/>
  <c r="H86" i="508"/>
  <c r="K553" i="508" s="1"/>
  <c r="H28" i="508"/>
  <c r="K552" i="508" s="1"/>
  <c r="K525" i="508"/>
  <c r="V490" i="508"/>
  <c r="W490" i="508" s="1"/>
  <c r="W480" i="508"/>
  <c r="J568" i="508"/>
  <c r="J547" i="508"/>
  <c r="J549" i="508" s="1"/>
  <c r="J479" i="508" a="1"/>
  <c r="J479" i="508" s="1"/>
  <c r="H463" i="508"/>
  <c r="W479" i="508"/>
  <c r="K337" i="508"/>
  <c r="I341" i="508"/>
  <c r="O507" i="508"/>
  <c r="X510" i="508" s="1"/>
  <c r="X509" i="508"/>
  <c r="M428" i="508"/>
  <c r="G507" i="508"/>
  <c r="V308" i="508"/>
  <c r="W308" i="508" s="1"/>
  <c r="W293" i="508"/>
  <c r="M257" i="508"/>
  <c r="M308" i="508"/>
  <c r="B342" i="508"/>
  <c r="J564" i="508" s="1"/>
  <c r="K166" i="508"/>
  <c r="I170" i="508"/>
  <c r="V163" i="508"/>
  <c r="W163" i="508" s="1"/>
  <c r="W149" i="508"/>
  <c r="W87" i="508"/>
  <c r="V121" i="508"/>
  <c r="W121" i="508" s="1"/>
  <c r="K164" i="508"/>
  <c r="X167" i="508"/>
  <c r="M552" i="508"/>
  <c r="M86" i="508"/>
  <c r="K524" i="508"/>
  <c r="H506" i="508"/>
  <c r="H479" i="508"/>
  <c r="M569" i="508"/>
  <c r="L568" i="508"/>
  <c r="L547" i="508"/>
  <c r="M479" i="508"/>
  <c r="M429" i="508"/>
  <c r="M463" i="508" s="1"/>
  <c r="M567" i="508"/>
  <c r="V428" i="508"/>
  <c r="W428" i="508" s="1"/>
  <c r="W371" i="508"/>
  <c r="M545" i="508"/>
  <c r="H370" i="508"/>
  <c r="M320" i="508"/>
  <c r="M334" i="508" s="1"/>
  <c r="V319" i="508"/>
  <c r="W319" i="508" s="1"/>
  <c r="W309" i="508"/>
  <c r="R516" i="508"/>
  <c r="T515" i="508" s="1"/>
  <c r="I507" i="508"/>
  <c r="B515" i="508" s="1"/>
  <c r="H292" i="508"/>
  <c r="K561" i="508" s="1"/>
  <c r="V257" i="508"/>
  <c r="W257" i="508" s="1"/>
  <c r="W200" i="508"/>
  <c r="M565" i="508"/>
  <c r="X344" i="508"/>
  <c r="Z338" i="508" s="1"/>
  <c r="R344" i="508"/>
  <c r="M87" i="508"/>
  <c r="M121" i="508" s="1"/>
  <c r="V199" i="508"/>
  <c r="W178" i="508"/>
  <c r="W199" i="508" s="1"/>
  <c r="M559" i="508"/>
  <c r="V86" i="508"/>
  <c r="W29" i="508"/>
  <c r="M7" i="508"/>
  <c r="M28" i="508" s="1"/>
  <c r="P164" i="508"/>
  <c r="X168" i="508" s="1"/>
  <c r="M199" i="508"/>
  <c r="M163" i="508"/>
  <c r="C527" i="508"/>
  <c r="J164" i="508" l="1" a="1"/>
  <c r="J164" i="508" s="1"/>
  <c r="M171" i="508" s="1"/>
  <c r="I515" i="508"/>
  <c r="M515" i="508" s="1"/>
  <c r="B171" i="508"/>
  <c r="V507" i="508"/>
  <c r="E172" i="508"/>
  <c r="I172" i="508" s="1"/>
  <c r="M172" i="508" s="1"/>
  <c r="K335" i="508"/>
  <c r="L335" i="508" s="1"/>
  <c r="I342" i="508" s="1"/>
  <c r="M335" i="508"/>
  <c r="N507" i="508"/>
  <c r="B516" i="508" s="1"/>
  <c r="T509" i="508" a="1"/>
  <c r="T509" i="508" s="1"/>
  <c r="C520" i="508"/>
  <c r="J535" i="508"/>
  <c r="Q535" i="508" s="1"/>
  <c r="T535" i="508" a="1"/>
  <c r="T535" i="508" s="1"/>
  <c r="J534" i="508"/>
  <c r="Q534" i="508" s="1"/>
  <c r="T534" i="508" a="1"/>
  <c r="T534" i="508" s="1"/>
  <c r="C536" i="508"/>
  <c r="T536" i="508" s="1" a="1"/>
  <c r="T536" i="508" s="1"/>
  <c r="J533" i="508"/>
  <c r="T533" i="508" a="1"/>
  <c r="T533" i="508" s="1"/>
  <c r="M507" i="508"/>
  <c r="N199" i="508"/>
  <c r="N257" i="508"/>
  <c r="V335" i="508"/>
  <c r="I344" i="508" s="1"/>
  <c r="M344" i="508" s="1" a="1"/>
  <c r="M344" i="508" s="1"/>
  <c r="H148" i="508"/>
  <c r="H137" i="508"/>
  <c r="K555" i="508" s="1"/>
  <c r="N148" i="508"/>
  <c r="N163" i="508"/>
  <c r="R169" i="508"/>
  <c r="O164" i="508"/>
  <c r="H163" i="508"/>
  <c r="K556" i="508" s="1"/>
  <c r="N137" i="508"/>
  <c r="H121" i="508"/>
  <c r="K546" i="508" s="1"/>
  <c r="N121" i="508"/>
  <c r="K545" i="508"/>
  <c r="N86" i="508"/>
  <c r="N28" i="508"/>
  <c r="L164" i="508"/>
  <c r="I171" i="508" s="1"/>
  <c r="J557" i="508"/>
  <c r="T343" i="508"/>
  <c r="T338" i="508"/>
  <c r="T340" i="508"/>
  <c r="T341" i="508"/>
  <c r="I516" i="508"/>
  <c r="W507" i="508"/>
  <c r="K565" i="508"/>
  <c r="H507" i="508"/>
  <c r="E514" i="508" s="1"/>
  <c r="K569" i="508"/>
  <c r="Q525" i="508"/>
  <c r="X173" i="508"/>
  <c r="Z167" i="508" s="1"/>
  <c r="L507" i="508"/>
  <c r="I514" i="508" s="1"/>
  <c r="B514" i="508"/>
  <c r="J570" i="508" s="1"/>
  <c r="J507" i="508" a="1"/>
  <c r="J507" i="508" s="1"/>
  <c r="M514" i="508" s="1"/>
  <c r="X516" i="508"/>
  <c r="Z509" i="508" s="1" a="1"/>
  <c r="Z509" i="508" s="1"/>
  <c r="T511" i="508"/>
  <c r="M568" i="508"/>
  <c r="K544" i="508"/>
  <c r="H335" i="508"/>
  <c r="E342" i="508" s="1"/>
  <c r="Q526" i="508"/>
  <c r="Z168" i="508"/>
  <c r="M164" i="508"/>
  <c r="W86" i="508"/>
  <c r="W164" i="508" s="1"/>
  <c r="V164" i="508"/>
  <c r="I173" i="508" s="1"/>
  <c r="W335" i="508"/>
  <c r="T339" i="508"/>
  <c r="T337" i="508" a="1"/>
  <c r="T337" i="508" s="1"/>
  <c r="Z340" i="508"/>
  <c r="Z342" i="508"/>
  <c r="Z343" i="508"/>
  <c r="Z337" i="508" a="1"/>
  <c r="Z337" i="508" s="1"/>
  <c r="Z341" i="508"/>
  <c r="K547" i="508"/>
  <c r="K568" i="508"/>
  <c r="T514" i="508"/>
  <c r="C530" i="508"/>
  <c r="E527" i="508" s="1"/>
  <c r="K170" i="508"/>
  <c r="M170" i="508" s="1"/>
  <c r="M166" i="508"/>
  <c r="T342" i="508"/>
  <c r="E516" i="508"/>
  <c r="Z339" i="508"/>
  <c r="K341" i="508"/>
  <c r="M341" i="508" s="1"/>
  <c r="M337" i="508"/>
  <c r="T510" i="508"/>
  <c r="K567" i="508"/>
  <c r="T512" i="508"/>
  <c r="M547" i="508"/>
  <c r="T513" i="508"/>
  <c r="E343" i="508" l="1"/>
  <c r="I343" i="508" s="1"/>
  <c r="M343" i="508" s="1"/>
  <c r="Z510" i="508"/>
  <c r="K548" i="508"/>
  <c r="N164" i="508"/>
  <c r="B173" i="508" s="1"/>
  <c r="E173" i="508" s="1"/>
  <c r="N335" i="508"/>
  <c r="B344" i="508" s="1"/>
  <c r="S535" i="508" a="1"/>
  <c r="S535" i="508" s="1"/>
  <c r="R535" i="508"/>
  <c r="S534" i="508" a="1"/>
  <c r="S534" i="508" s="1"/>
  <c r="R534" i="508"/>
  <c r="J536" i="508"/>
  <c r="Q533" i="508"/>
  <c r="T516" i="508"/>
  <c r="K527" i="508"/>
  <c r="R173" i="508"/>
  <c r="K554" i="508"/>
  <c r="H164" i="508"/>
  <c r="E171" i="508" s="1"/>
  <c r="G519" i="508" s="1"/>
  <c r="Z344" i="508"/>
  <c r="T344" i="508"/>
  <c r="Z511" i="508"/>
  <c r="Z513" i="508"/>
  <c r="Z515" i="508"/>
  <c r="Z512" i="508"/>
  <c r="Z514" i="508"/>
  <c r="G520" i="508"/>
  <c r="K520" i="508" s="1"/>
  <c r="O520" i="508" s="1"/>
  <c r="M516" i="508" a="1"/>
  <c r="M516" i="508" s="1"/>
  <c r="C519" i="508"/>
  <c r="E529" i="508"/>
  <c r="E526" i="508"/>
  <c r="E524" i="508"/>
  <c r="E528" i="508"/>
  <c r="E525" i="508"/>
  <c r="K521" i="508"/>
  <c r="O521" i="508" s="1" a="1"/>
  <c r="O521" i="508" s="1"/>
  <c r="M173" i="508" a="1"/>
  <c r="M173" i="508" s="1"/>
  <c r="Z516" i="508"/>
  <c r="Q530" i="508"/>
  <c r="Z172" i="508"/>
  <c r="Z170" i="508"/>
  <c r="Z166" i="508" a="1"/>
  <c r="Z166" i="508" s="1"/>
  <c r="Z171" i="508"/>
  <c r="Z169" i="508"/>
  <c r="S525" i="508"/>
  <c r="P536" i="505"/>
  <c r="O536" i="505"/>
  <c r="N536" i="505"/>
  <c r="M536" i="505"/>
  <c r="L536" i="505"/>
  <c r="K536" i="505"/>
  <c r="I536" i="505"/>
  <c r="H536" i="505"/>
  <c r="G536" i="505"/>
  <c r="F536" i="505"/>
  <c r="E536" i="505"/>
  <c r="D536" i="505"/>
  <c r="G517" i="505"/>
  <c r="N517" i="505" s="1"/>
  <c r="G513" i="505"/>
  <c r="E513" i="505"/>
  <c r="I512" i="505"/>
  <c r="E512" i="505"/>
  <c r="K512" i="505" s="1"/>
  <c r="M512" i="505" s="1"/>
  <c r="I511" i="505"/>
  <c r="E511" i="505"/>
  <c r="K511" i="505" s="1"/>
  <c r="M511" i="505" s="1"/>
  <c r="I510" i="505"/>
  <c r="E510" i="505"/>
  <c r="K510" i="505" s="1"/>
  <c r="M510" i="505" s="1"/>
  <c r="I509" i="505"/>
  <c r="I513" i="505" s="1"/>
  <c r="E509" i="505"/>
  <c r="K509" i="505" s="1"/>
  <c r="C513" i="505"/>
  <c r="H505" i="505"/>
  <c r="H504" i="505"/>
  <c r="H503" i="505"/>
  <c r="D502" i="505"/>
  <c r="H502" i="505" s="1"/>
  <c r="V501" i="505"/>
  <c r="W501" i="505" s="1"/>
  <c r="N501" i="505"/>
  <c r="K501" i="505" a="1"/>
  <c r="K501" i="505" s="1"/>
  <c r="M501" i="505" s="1"/>
  <c r="H500" i="505"/>
  <c r="H499" i="505"/>
  <c r="V498" i="505"/>
  <c r="W498" i="505" s="1"/>
  <c r="N498" i="505"/>
  <c r="K498" i="505" a="1"/>
  <c r="K498" i="505" s="1"/>
  <c r="V497" i="505"/>
  <c r="W497" i="505" s="1"/>
  <c r="N497" i="505"/>
  <c r="K497" i="505" a="1"/>
  <c r="K497" i="505" s="1"/>
  <c r="M497" i="505" s="1"/>
  <c r="H496" i="505"/>
  <c r="H495" i="505"/>
  <c r="V494" i="505"/>
  <c r="W494" i="505" s="1"/>
  <c r="N494" i="505"/>
  <c r="K494" i="505" a="1"/>
  <c r="K494" i="505" s="1"/>
  <c r="V493" i="505"/>
  <c r="W493" i="505" s="1"/>
  <c r="N493" i="505"/>
  <c r="K493" i="505" a="1"/>
  <c r="K493" i="505" s="1"/>
  <c r="M493" i="505" s="1"/>
  <c r="V492" i="505"/>
  <c r="W492" i="505" s="1"/>
  <c r="N492" i="505"/>
  <c r="K492" i="505" a="1"/>
  <c r="K492" i="505" s="1"/>
  <c r="AA506" i="505"/>
  <c r="Z506" i="505"/>
  <c r="Y506" i="505"/>
  <c r="X506" i="505"/>
  <c r="V491" i="505"/>
  <c r="U506" i="505"/>
  <c r="T506" i="505"/>
  <c r="S506" i="505"/>
  <c r="R506" i="505"/>
  <c r="Q506" i="505"/>
  <c r="P506" i="505"/>
  <c r="O506" i="505"/>
  <c r="N491" i="505"/>
  <c r="I506" i="505"/>
  <c r="G506" i="505"/>
  <c r="H9" i="534" s="1"/>
  <c r="J9" i="534" s="1"/>
  <c r="V489" i="505"/>
  <c r="W489" i="505" s="1"/>
  <c r="N489" i="505"/>
  <c r="K489" i="505" a="1"/>
  <c r="K489" i="505" s="1"/>
  <c r="M489" i="505" s="1"/>
  <c r="J489" i="505" a="1"/>
  <c r="J489" i="505" s="1"/>
  <c r="H489" i="505"/>
  <c r="H485" i="505"/>
  <c r="V484" i="505"/>
  <c r="W484" i="505" s="1"/>
  <c r="N484" i="505"/>
  <c r="K484" i="505" a="1"/>
  <c r="K484" i="505" s="1"/>
  <c r="V483" i="505"/>
  <c r="W483" i="505" s="1"/>
  <c r="N483" i="505"/>
  <c r="K483" i="505" a="1"/>
  <c r="K483" i="505" s="1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AA490" i="505"/>
  <c r="Z490" i="505"/>
  <c r="Y490" i="505"/>
  <c r="X490" i="505"/>
  <c r="V480" i="505"/>
  <c r="U490" i="505"/>
  <c r="T490" i="505"/>
  <c r="S490" i="505"/>
  <c r="Q490" i="505"/>
  <c r="P490" i="505"/>
  <c r="O490" i="505"/>
  <c r="N480" i="505"/>
  <c r="G490" i="505"/>
  <c r="H8" i="534" s="1"/>
  <c r="J8" i="534" s="1"/>
  <c r="V478" i="505"/>
  <c r="W478" i="505" s="1"/>
  <c r="N478" i="505"/>
  <c r="K478" i="505" a="1"/>
  <c r="K478" i="505" s="1"/>
  <c r="M478" i="505" s="1"/>
  <c r="J478" i="505" a="1"/>
  <c r="J478" i="505" s="1"/>
  <c r="H478" i="505"/>
  <c r="V477" i="505"/>
  <c r="W477" i="505" s="1"/>
  <c r="N477" i="505"/>
  <c r="K477" i="505" a="1"/>
  <c r="K477" i="505" s="1"/>
  <c r="M477" i="505" s="1"/>
  <c r="J477" i="505" a="1"/>
  <c r="J477" i="505" s="1"/>
  <c r="H47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V469" i="505"/>
  <c r="W469" i="505" s="1"/>
  <c r="N469" i="505"/>
  <c r="K469" i="505" a="1"/>
  <c r="K469" i="505" s="1"/>
  <c r="V468" i="505"/>
  <c r="W468" i="505" s="1"/>
  <c r="N468" i="505"/>
  <c r="K468" i="505" a="1"/>
  <c r="K468" i="505" s="1"/>
  <c r="M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M465" i="505" s="1"/>
  <c r="AA479" i="505"/>
  <c r="Z479" i="505"/>
  <c r="Y479" i="505"/>
  <c r="X479" i="505"/>
  <c r="V464" i="505"/>
  <c r="U479" i="505"/>
  <c r="T479" i="505"/>
  <c r="S479" i="505"/>
  <c r="R479" i="505"/>
  <c r="Q479" i="505"/>
  <c r="P479" i="505"/>
  <c r="O479" i="505"/>
  <c r="N464" i="505"/>
  <c r="I479" i="505"/>
  <c r="G479" i="505"/>
  <c r="H7" i="534" s="1"/>
  <c r="J7" i="534" s="1"/>
  <c r="V462" i="505"/>
  <c r="W462" i="505" s="1"/>
  <c r="N462" i="505"/>
  <c r="K462" i="505" a="1"/>
  <c r="K462" i="505" s="1"/>
  <c r="V461" i="505"/>
  <c r="W461" i="505" s="1"/>
  <c r="N461" i="505"/>
  <c r="K461" i="505" a="1"/>
  <c r="K461" i="505" s="1"/>
  <c r="M461" i="505" s="1"/>
  <c r="V460" i="505"/>
  <c r="W460" i="505" s="1"/>
  <c r="N460" i="505"/>
  <c r="K460" i="505" a="1"/>
  <c r="K460" i="505" s="1"/>
  <c r="K459" i="505" a="1"/>
  <c r="K459" i="505" s="1"/>
  <c r="K458" i="505" a="1"/>
  <c r="K458" i="505" s="1"/>
  <c r="K457" i="505" a="1"/>
  <c r="K457" i="505" s="1"/>
  <c r="V456" i="505"/>
  <c r="W456" i="505" s="1"/>
  <c r="N456" i="505"/>
  <c r="K456" i="505" a="1"/>
  <c r="K456" i="505" s="1"/>
  <c r="M456" i="505" s="1"/>
  <c r="V455" i="505"/>
  <c r="W455" i="505" s="1"/>
  <c r="N455" i="505"/>
  <c r="K455" i="505" a="1"/>
  <c r="K455" i="505" s="1"/>
  <c r="N454" i="505"/>
  <c r="K454" i="505" a="1"/>
  <c r="K454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V448" i="505"/>
  <c r="W448" i="505" s="1"/>
  <c r="N448" i="505"/>
  <c r="K448" i="505" a="1"/>
  <c r="K448" i="505" s="1"/>
  <c r="M448" i="505" s="1"/>
  <c r="V447" i="505"/>
  <c r="W447" i="505" s="1"/>
  <c r="N447" i="505"/>
  <c r="K447" i="505" a="1"/>
  <c r="K447" i="505" s="1"/>
  <c r="V446" i="505"/>
  <c r="W446" i="505" s="1"/>
  <c r="N446" i="505"/>
  <c r="K446" i="505" a="1"/>
  <c r="K446" i="505" s="1"/>
  <c r="M446" i="505" s="1"/>
  <c r="J446" i="505" a="1"/>
  <c r="J446" i="505" s="1"/>
  <c r="H446" i="505"/>
  <c r="V445" i="505"/>
  <c r="W445" i="505" s="1"/>
  <c r="N445" i="505"/>
  <c r="K445" i="505" a="1"/>
  <c r="K445" i="505" s="1"/>
  <c r="M445" i="505" s="1"/>
  <c r="J445" i="505" a="1"/>
  <c r="J445" i="505" s="1"/>
  <c r="H445" i="505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H439" i="505"/>
  <c r="K439" i="505" a="1"/>
  <c r="K439" i="505" s="1"/>
  <c r="M439" i="505" s="1"/>
  <c r="V438" i="505"/>
  <c r="W438" i="505" s="1"/>
  <c r="N438" i="505"/>
  <c r="K438" i="505" a="1"/>
  <c r="K438" i="505" s="1"/>
  <c r="V437" i="505"/>
  <c r="W437" i="505" s="1"/>
  <c r="N437" i="505"/>
  <c r="K437" i="505" a="1"/>
  <c r="K437" i="505" s="1"/>
  <c r="M437" i="505" s="1"/>
  <c r="N436" i="505"/>
  <c r="K436" i="505" a="1"/>
  <c r="K436" i="505" s="1"/>
  <c r="M436" i="505" s="1"/>
  <c r="V435" i="505"/>
  <c r="W435" i="505" s="1"/>
  <c r="N435" i="505"/>
  <c r="K435" i="505" a="1"/>
  <c r="K435" i="505" s="1"/>
  <c r="V434" i="505"/>
  <c r="W434" i="505" s="1"/>
  <c r="X515" i="505"/>
  <c r="K434" i="505" a="1"/>
  <c r="K434" i="505" s="1"/>
  <c r="V433" i="505"/>
  <c r="W433" i="505" s="1"/>
  <c r="X514" i="505"/>
  <c r="N433" i="505"/>
  <c r="K433" i="505" a="1"/>
  <c r="K433" i="505" s="1"/>
  <c r="M433" i="505" s="1"/>
  <c r="V432" i="505"/>
  <c r="W432" i="505" s="1"/>
  <c r="N432" i="505"/>
  <c r="K432" i="505" a="1"/>
  <c r="K432" i="505" s="1"/>
  <c r="V431" i="505"/>
  <c r="W431" i="505" s="1"/>
  <c r="N431" i="505"/>
  <c r="K431" i="505" a="1"/>
  <c r="K431" i="505" s="1"/>
  <c r="M431" i="505" s="1"/>
  <c r="V430" i="505"/>
  <c r="W430" i="505" s="1"/>
  <c r="N430" i="505"/>
  <c r="K430" i="505" a="1"/>
  <c r="K430" i="505" s="1"/>
  <c r="AA463" i="505"/>
  <c r="Z463" i="505"/>
  <c r="Y463" i="505"/>
  <c r="X463" i="505"/>
  <c r="V429" i="505"/>
  <c r="W429" i="505" s="1"/>
  <c r="U463" i="505"/>
  <c r="T463" i="505"/>
  <c r="S463" i="505"/>
  <c r="R463" i="505"/>
  <c r="Q463" i="505"/>
  <c r="P463" i="505"/>
  <c r="O463" i="505"/>
  <c r="N429" i="505"/>
  <c r="I463" i="505"/>
  <c r="G463" i="505"/>
  <c r="H6" i="534" s="1"/>
  <c r="J6" i="534" s="1"/>
  <c r="K427" i="505" a="1"/>
  <c r="K427" i="505" s="1"/>
  <c r="K426" i="505" a="1"/>
  <c r="K426" i="505" s="1"/>
  <c r="M426" i="505" s="1"/>
  <c r="K425" i="505" a="1"/>
  <c r="K425" i="505" s="1"/>
  <c r="K424" i="505" a="1"/>
  <c r="K424" i="505" s="1"/>
  <c r="K423" i="505" a="1"/>
  <c r="K423" i="505" s="1"/>
  <c r="K422" i="505" a="1"/>
  <c r="K422" i="505" s="1"/>
  <c r="K421" i="505" a="1"/>
  <c r="K421" i="505" s="1"/>
  <c r="M421" i="505" s="1"/>
  <c r="H421" i="505"/>
  <c r="K420" i="505" a="1"/>
  <c r="K420" i="505" s="1"/>
  <c r="K419" i="505" a="1"/>
  <c r="K419" i="505" s="1"/>
  <c r="M419" i="505" s="1"/>
  <c r="H419" i="505"/>
  <c r="K418" i="505" a="1"/>
  <c r="K418" i="505" s="1"/>
  <c r="V417" i="505"/>
  <c r="W417" i="505" s="1"/>
  <c r="N417" i="505"/>
  <c r="K417" i="505" a="1"/>
  <c r="K417" i="505" s="1"/>
  <c r="M417" i="505" s="1"/>
  <c r="V416" i="505"/>
  <c r="W416" i="505" s="1"/>
  <c r="N416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H413" i="505"/>
  <c r="V412" i="505"/>
  <c r="W412" i="505" s="1"/>
  <c r="N412" i="505"/>
  <c r="K412" i="505" a="1"/>
  <c r="K412" i="505" s="1"/>
  <c r="V411" i="505"/>
  <c r="W411" i="505" s="1"/>
  <c r="N411" i="505"/>
  <c r="K411" i="505" a="1"/>
  <c r="K411" i="505" s="1"/>
  <c r="M411" i="505" s="1"/>
  <c r="H410" i="505"/>
  <c r="K409" i="505" a="1"/>
  <c r="K409" i="505" s="1"/>
  <c r="V408" i="505"/>
  <c r="W408" i="505" s="1"/>
  <c r="N408" i="505"/>
  <c r="K408" i="505" a="1"/>
  <c r="K408" i="505" s="1"/>
  <c r="V407" i="505"/>
  <c r="W407" i="505" s="1"/>
  <c r="N407" i="505"/>
  <c r="K407" i="505" a="1"/>
  <c r="K407" i="505" s="1"/>
  <c r="M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N403" i="505"/>
  <c r="V402" i="505"/>
  <c r="W402" i="505" s="1"/>
  <c r="N402" i="505"/>
  <c r="K402" i="505" a="1"/>
  <c r="K402" i="505" s="1"/>
  <c r="V401" i="505"/>
  <c r="W401" i="505" s="1"/>
  <c r="N401" i="505"/>
  <c r="K401" i="505" a="1"/>
  <c r="K401" i="505" s="1"/>
  <c r="M401" i="505" s="1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K398" i="505" a="1"/>
  <c r="K398" i="505" s="1"/>
  <c r="M398" i="505" s="1"/>
  <c r="H398" i="505"/>
  <c r="K397" i="505" a="1"/>
  <c r="K397" i="505" s="1"/>
  <c r="K396" i="505" a="1"/>
  <c r="K396" i="505" s="1"/>
  <c r="M396" i="505" s="1"/>
  <c r="H396" i="505"/>
  <c r="K395" i="505" a="1"/>
  <c r="K395" i="505" s="1"/>
  <c r="N394" i="505"/>
  <c r="K394" i="505" a="1"/>
  <c r="K394" i="505" s="1"/>
  <c r="N393" i="505"/>
  <c r="K393" i="505" a="1"/>
  <c r="K393" i="505" s="1"/>
  <c r="N392" i="505"/>
  <c r="K392" i="505" a="1"/>
  <c r="K392" i="505" s="1"/>
  <c r="N391" i="505"/>
  <c r="K391" i="505" a="1"/>
  <c r="K391" i="505" s="1"/>
  <c r="V390" i="505"/>
  <c r="W390" i="505" s="1"/>
  <c r="N390" i="505"/>
  <c r="K390" i="505" a="1"/>
  <c r="K390" i="505" s="1"/>
  <c r="M390" i="505" s="1"/>
  <c r="V389" i="505"/>
  <c r="W389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K378" i="505" a="1"/>
  <c r="K378" i="505" s="1"/>
  <c r="K377" i="505" a="1"/>
  <c r="K377" i="505" s="1"/>
  <c r="K376" i="505" a="1"/>
  <c r="K376" i="505" s="1"/>
  <c r="V375" i="505"/>
  <c r="W375" i="505" s="1"/>
  <c r="X513" i="505"/>
  <c r="N375" i="505"/>
  <c r="K375" i="505" a="1"/>
  <c r="K375" i="505" s="1"/>
  <c r="M375" i="505" s="1"/>
  <c r="V374" i="505"/>
  <c r="W374" i="505" s="1"/>
  <c r="X512" i="505"/>
  <c r="N374" i="505"/>
  <c r="K374" i="505" a="1"/>
  <c r="K374" i="505" s="1"/>
  <c r="V373" i="505"/>
  <c r="W373" i="505" s="1"/>
  <c r="X511" i="505"/>
  <c r="N373" i="505"/>
  <c r="K373" i="505" a="1"/>
  <c r="K373" i="505" s="1"/>
  <c r="M373" i="505" s="1"/>
  <c r="H372" i="505"/>
  <c r="AA428" i="505"/>
  <c r="Z428" i="505"/>
  <c r="Y428" i="505"/>
  <c r="X428" i="505"/>
  <c r="V371" i="505"/>
  <c r="U428" i="505"/>
  <c r="T428" i="505"/>
  <c r="S428" i="505"/>
  <c r="R428" i="505"/>
  <c r="Q428" i="505"/>
  <c r="P428" i="505"/>
  <c r="N371" i="505"/>
  <c r="I428" i="505"/>
  <c r="G428" i="505"/>
  <c r="H5" i="534" s="1"/>
  <c r="J5" i="534" s="1"/>
  <c r="V369" i="505"/>
  <c r="W369" i="505" s="1"/>
  <c r="N369" i="505"/>
  <c r="K369" i="505" a="1"/>
  <c r="K369" i="505" s="1"/>
  <c r="M369" i="505" s="1"/>
  <c r="J369" i="505" a="1"/>
  <c r="J369" i="505" s="1"/>
  <c r="H369" i="505"/>
  <c r="K368" i="505" a="1"/>
  <c r="K368" i="505" s="1"/>
  <c r="K367" i="505" a="1"/>
  <c r="K367" i="505" s="1"/>
  <c r="M367" i="505" s="1"/>
  <c r="H367" i="505"/>
  <c r="K366" i="505" a="1"/>
  <c r="K366" i="505" s="1"/>
  <c r="K365" i="505" a="1"/>
  <c r="K365" i="505" s="1"/>
  <c r="M365" i="505" s="1"/>
  <c r="V364" i="505"/>
  <c r="W364" i="505" s="1"/>
  <c r="N364" i="505"/>
  <c r="K364" i="505" a="1"/>
  <c r="K364" i="505" s="1"/>
  <c r="V363" i="505"/>
  <c r="W363" i="505" s="1"/>
  <c r="N363" i="505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H360" i="505"/>
  <c r="H359" i="505"/>
  <c r="V358" i="505"/>
  <c r="W358" i="505" s="1"/>
  <c r="N358" i="505"/>
  <c r="K358" i="505" a="1"/>
  <c r="K358" i="505" s="1"/>
  <c r="V357" i="505"/>
  <c r="W357" i="505" s="1"/>
  <c r="N357" i="505"/>
  <c r="K357" i="505" a="1"/>
  <c r="K357" i="505" s="1"/>
  <c r="M357" i="505" s="1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/>
  <c r="M351" i="505" s="1"/>
  <c r="V350" i="505"/>
  <c r="W350" i="505" s="1"/>
  <c r="N350" i="505"/>
  <c r="K350" i="505"/>
  <c r="AA370" i="505"/>
  <c r="Z370" i="505"/>
  <c r="Y370" i="505"/>
  <c r="X370" i="505"/>
  <c r="V349" i="505"/>
  <c r="U370" i="505"/>
  <c r="T370" i="505"/>
  <c r="S370" i="505"/>
  <c r="R370" i="505"/>
  <c r="Q370" i="505"/>
  <c r="P370" i="505"/>
  <c r="O370" i="505"/>
  <c r="N349" i="505"/>
  <c r="I370" i="505"/>
  <c r="G370" i="505"/>
  <c r="H4" i="534" s="1"/>
  <c r="E341" i="505"/>
  <c r="I340" i="505"/>
  <c r="K340" i="505" s="1"/>
  <c r="M340" i="505" s="1"/>
  <c r="E340" i="505"/>
  <c r="I339" i="505"/>
  <c r="K339" i="505" s="1"/>
  <c r="M339" i="505" s="1"/>
  <c r="E339" i="505"/>
  <c r="I338" i="505"/>
  <c r="K338" i="505" s="1"/>
  <c r="M338" i="505" s="1"/>
  <c r="E338" i="505"/>
  <c r="G341" i="505"/>
  <c r="E337" i="505"/>
  <c r="C341" i="505"/>
  <c r="K333" i="505" a="1"/>
  <c r="K333" i="505" s="1"/>
  <c r="M333" i="505" s="1"/>
  <c r="K332" i="505" a="1"/>
  <c r="K332" i="505" s="1"/>
  <c r="M332" i="505" s="1"/>
  <c r="H332" i="505"/>
  <c r="K331" i="505" a="1"/>
  <c r="K331" i="505" s="1"/>
  <c r="H331" i="505"/>
  <c r="V330" i="505"/>
  <c r="W330" i="505" s="1"/>
  <c r="N330" i="505"/>
  <c r="K330" i="505" a="1"/>
  <c r="K330" i="505" s="1"/>
  <c r="M330" i="505" s="1"/>
  <c r="J330" i="505" a="1"/>
  <c r="J330" i="505" s="1"/>
  <c r="D330" i="505"/>
  <c r="H330" i="505" s="1"/>
  <c r="H329" i="505"/>
  <c r="K328" i="505" a="1"/>
  <c r="K328" i="505" s="1"/>
  <c r="H328" i="505"/>
  <c r="H327" i="505"/>
  <c r="V326" i="505"/>
  <c r="W326" i="505" s="1"/>
  <c r="N326" i="505"/>
  <c r="K326" i="505" a="1"/>
  <c r="K326" i="505" s="1"/>
  <c r="V325" i="505"/>
  <c r="W325" i="505" s="1"/>
  <c r="N325" i="505"/>
  <c r="K325" i="505" a="1"/>
  <c r="K325" i="505" s="1"/>
  <c r="M325" i="505" s="1"/>
  <c r="H324" i="505"/>
  <c r="V323" i="505"/>
  <c r="W323" i="505" s="1"/>
  <c r="N323" i="505"/>
  <c r="K323" i="505" a="1"/>
  <c r="K323" i="505" s="1"/>
  <c r="M323" i="505" s="1"/>
  <c r="V322" i="505"/>
  <c r="W322" i="505" s="1"/>
  <c r="N322" i="505"/>
  <c r="K322" i="505" a="1"/>
  <c r="K322" i="505" s="1"/>
  <c r="V321" i="505"/>
  <c r="W321" i="505" s="1"/>
  <c r="N321" i="505"/>
  <c r="K321" i="505" a="1"/>
  <c r="K321" i="505" s="1"/>
  <c r="M321" i="505" s="1"/>
  <c r="AA334" i="505"/>
  <c r="Z334" i="505"/>
  <c r="Y334" i="505"/>
  <c r="X334" i="505"/>
  <c r="V320" i="505"/>
  <c r="U334" i="505"/>
  <c r="T334" i="505"/>
  <c r="S334" i="505"/>
  <c r="R334" i="505"/>
  <c r="Q334" i="505"/>
  <c r="P334" i="505"/>
  <c r="O334" i="505"/>
  <c r="N320" i="505"/>
  <c r="I334" i="505"/>
  <c r="L563" i="505" s="1"/>
  <c r="G334" i="505"/>
  <c r="E9" i="534" s="1"/>
  <c r="G9" i="534" s="1"/>
  <c r="V318" i="505"/>
  <c r="W318" i="505" s="1"/>
  <c r="N318" i="505"/>
  <c r="M318" i="505"/>
  <c r="V313" i="505"/>
  <c r="W313" i="505" s="1"/>
  <c r="N313" i="505"/>
  <c r="K313" i="505" a="1"/>
  <c r="K313" i="505" s="1"/>
  <c r="M313" i="505" s="1"/>
  <c r="V312" i="505"/>
  <c r="W312" i="505" s="1"/>
  <c r="N312" i="505"/>
  <c r="K312" i="505" a="1"/>
  <c r="K312" i="505" s="1"/>
  <c r="V311" i="505"/>
  <c r="W311" i="505" s="1"/>
  <c r="N311" i="505"/>
  <c r="K311" i="505" a="1"/>
  <c r="K311" i="505" s="1"/>
  <c r="M311" i="505" s="1"/>
  <c r="V310" i="505"/>
  <c r="W310" i="505" s="1"/>
  <c r="N310" i="505"/>
  <c r="K310" i="505" a="1"/>
  <c r="K310" i="505" s="1"/>
  <c r="AA319" i="505"/>
  <c r="Z319" i="505"/>
  <c r="Y319" i="505"/>
  <c r="X319" i="505"/>
  <c r="V309" i="505"/>
  <c r="U319" i="505"/>
  <c r="T319" i="505"/>
  <c r="S319" i="505"/>
  <c r="Q319" i="505"/>
  <c r="P319" i="505"/>
  <c r="O319" i="505"/>
  <c r="N309" i="505"/>
  <c r="I319" i="505"/>
  <c r="G319" i="505"/>
  <c r="E8" i="534" s="1"/>
  <c r="G8" i="534" s="1"/>
  <c r="V307" i="505"/>
  <c r="W307" i="505" s="1"/>
  <c r="N307" i="505"/>
  <c r="K307" i="505" a="1"/>
  <c r="K307" i="505" s="1"/>
  <c r="M307" i="505" s="1"/>
  <c r="V306" i="505"/>
  <c r="W306" i="505" s="1"/>
  <c r="N306" i="505"/>
  <c r="K306" i="505" a="1"/>
  <c r="K306" i="505" s="1"/>
  <c r="V305" i="505"/>
  <c r="W305" i="505" s="1"/>
  <c r="N305" i="505"/>
  <c r="K305" i="505" a="1"/>
  <c r="K305" i="505" s="1"/>
  <c r="M305" i="505" s="1"/>
  <c r="V304" i="505"/>
  <c r="W304" i="505" s="1"/>
  <c r="N304" i="505"/>
  <c r="K304" i="505" a="1"/>
  <c r="K304" i="505" s="1"/>
  <c r="V303" i="505"/>
  <c r="W303" i="505" s="1"/>
  <c r="N303" i="505"/>
  <c r="K303" i="505" a="1"/>
  <c r="K303" i="505" s="1"/>
  <c r="M303" i="505" s="1"/>
  <c r="V302" i="505"/>
  <c r="W302" i="505" s="1"/>
  <c r="N302" i="505"/>
  <c r="K302" i="505" a="1"/>
  <c r="K302" i="505" s="1"/>
  <c r="V301" i="505"/>
  <c r="W301" i="505" s="1"/>
  <c r="N301" i="505"/>
  <c r="K301" i="505" a="1"/>
  <c r="K301" i="505" s="1"/>
  <c r="M301" i="505" s="1"/>
  <c r="V300" i="505"/>
  <c r="W300" i="505" s="1"/>
  <c r="N300" i="505"/>
  <c r="H300" i="505"/>
  <c r="V299" i="505"/>
  <c r="W299" i="505" s="1"/>
  <c r="N299" i="505"/>
  <c r="K299" i="505" a="1"/>
  <c r="K299" i="505" s="1"/>
  <c r="M299" i="505" s="1"/>
  <c r="J299" i="505" a="1"/>
  <c r="J299" i="505" s="1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AA308" i="505"/>
  <c r="Z308" i="505"/>
  <c r="Y308" i="505"/>
  <c r="X308" i="505"/>
  <c r="V293" i="505"/>
  <c r="U308" i="505"/>
  <c r="T308" i="505"/>
  <c r="S308" i="505"/>
  <c r="R308" i="505"/>
  <c r="Q308" i="505"/>
  <c r="P308" i="505"/>
  <c r="O308" i="505"/>
  <c r="N293" i="505"/>
  <c r="I308" i="505"/>
  <c r="L562" i="505" s="1"/>
  <c r="G308" i="505"/>
  <c r="E7" i="534" s="1"/>
  <c r="G7" i="534" s="1"/>
  <c r="V291" i="505"/>
  <c r="W291" i="505" s="1"/>
  <c r="N291" i="505"/>
  <c r="K291" i="505" a="1"/>
  <c r="K291" i="505" s="1"/>
  <c r="V290" i="505"/>
  <c r="W290" i="505" s="1"/>
  <c r="N290" i="505"/>
  <c r="K290" i="505" a="1"/>
  <c r="K290" i="505" s="1"/>
  <c r="M290" i="505" s="1"/>
  <c r="V289" i="505"/>
  <c r="W289" i="505" s="1"/>
  <c r="N289" i="505"/>
  <c r="K289" i="505" a="1"/>
  <c r="K289" i="505" s="1"/>
  <c r="H288" i="505"/>
  <c r="H287" i="505"/>
  <c r="H286" i="505"/>
  <c r="V285" i="505"/>
  <c r="W285" i="505" s="1"/>
  <c r="N285" i="505"/>
  <c r="K285" i="505" a="1"/>
  <c r="K285" i="505" s="1"/>
  <c r="M285" i="505" s="1"/>
  <c r="V284" i="505"/>
  <c r="W284" i="505" s="1"/>
  <c r="N284" i="505"/>
  <c r="K284" i="505" a="1"/>
  <c r="K284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V277" i="505"/>
  <c r="W277" i="505" s="1"/>
  <c r="N277" i="505"/>
  <c r="K277" i="505" a="1"/>
  <c r="K277" i="505" s="1"/>
  <c r="M277" i="505" s="1"/>
  <c r="V276" i="505"/>
  <c r="W276" i="505" s="1"/>
  <c r="N276" i="505"/>
  <c r="K276" i="505" a="1"/>
  <c r="K276" i="505" s="1"/>
  <c r="V275" i="505"/>
  <c r="W275" i="505" s="1"/>
  <c r="N275" i="505"/>
  <c r="K275" i="505" a="1"/>
  <c r="K275" i="505" s="1"/>
  <c r="M275" i="505" s="1"/>
  <c r="V274" i="505"/>
  <c r="W274" i="505" s="1"/>
  <c r="N274" i="505"/>
  <c r="K274" i="505" a="1"/>
  <c r="K274" i="505" s="1"/>
  <c r="V273" i="505"/>
  <c r="W273" i="505" s="1"/>
  <c r="N273" i="505"/>
  <c r="K273" i="505" a="1"/>
  <c r="K273" i="505" s="1"/>
  <c r="M273" i="505" s="1"/>
  <c r="V272" i="505"/>
  <c r="W272" i="505" s="1"/>
  <c r="N272" i="505"/>
  <c r="K272" i="505" a="1"/>
  <c r="K272" i="505" s="1"/>
  <c r="V271" i="505"/>
  <c r="W271" i="505" s="1"/>
  <c r="N271" i="505"/>
  <c r="K271" i="505" a="1"/>
  <c r="K271" i="505" s="1"/>
  <c r="M271" i="505" s="1"/>
  <c r="V270" i="505"/>
  <c r="W270" i="505" s="1"/>
  <c r="N270" i="505"/>
  <c r="K270" i="505" a="1"/>
  <c r="K270" i="505" s="1"/>
  <c r="V269" i="505"/>
  <c r="W269" i="505" s="1"/>
  <c r="N269" i="505"/>
  <c r="K269" i="505" a="1"/>
  <c r="K269" i="505" s="1"/>
  <c r="M269" i="505" s="1"/>
  <c r="V268" i="505"/>
  <c r="W268" i="505" s="1"/>
  <c r="N268" i="505"/>
  <c r="K268" i="505" a="1"/>
  <c r="K268" i="505" s="1"/>
  <c r="V267" i="505"/>
  <c r="W267" i="505" s="1"/>
  <c r="N267" i="505"/>
  <c r="K267" i="505" a="1"/>
  <c r="K267" i="505" s="1"/>
  <c r="M267" i="505" s="1"/>
  <c r="V266" i="505"/>
  <c r="W266" i="505" s="1"/>
  <c r="N266" i="505"/>
  <c r="K266" i="505" a="1"/>
  <c r="K266" i="505" s="1"/>
  <c r="N265" i="505"/>
  <c r="K265" i="505" a="1"/>
  <c r="K265" i="505" s="1"/>
  <c r="V264" i="505"/>
  <c r="W264" i="505" s="1"/>
  <c r="N264" i="505"/>
  <c r="K264" i="505" a="1"/>
  <c r="K264" i="505" s="1"/>
  <c r="M264" i="505" s="1"/>
  <c r="V263" i="505"/>
  <c r="W263" i="505" s="1"/>
  <c r="N263" i="505"/>
  <c r="K263" i="505" a="1"/>
  <c r="K263" i="505" s="1"/>
  <c r="V262" i="505"/>
  <c r="W262" i="505" s="1"/>
  <c r="X343" i="505"/>
  <c r="N262" i="505"/>
  <c r="K262" i="505" a="1"/>
  <c r="K262" i="505" s="1"/>
  <c r="M262" i="505" s="1"/>
  <c r="V261" i="505"/>
  <c r="W261" i="505" s="1"/>
  <c r="N261" i="505"/>
  <c r="K261" i="505" a="1"/>
  <c r="K261" i="505" s="1"/>
  <c r="V260" i="505"/>
  <c r="W260" i="505" s="1"/>
  <c r="N260" i="505"/>
  <c r="K260" i="505" a="1"/>
  <c r="K260" i="505" s="1"/>
  <c r="M260" i="505" s="1"/>
  <c r="V259" i="505"/>
  <c r="W259" i="505" s="1"/>
  <c r="N259" i="505"/>
  <c r="K259" i="505" a="1"/>
  <c r="K259" i="505" s="1"/>
  <c r="AA292" i="505"/>
  <c r="Z292" i="505"/>
  <c r="Y292" i="505"/>
  <c r="X292" i="505"/>
  <c r="V258" i="505"/>
  <c r="W258" i="505" s="1"/>
  <c r="U292" i="505"/>
  <c r="T292" i="505"/>
  <c r="S292" i="505"/>
  <c r="R292" i="505"/>
  <c r="Q292" i="505"/>
  <c r="P292" i="505"/>
  <c r="O292" i="505"/>
  <c r="N258" i="505"/>
  <c r="I292" i="505"/>
  <c r="L561" i="505" s="1"/>
  <c r="G292" i="505"/>
  <c r="E6" i="534" s="1"/>
  <c r="G6" i="534" s="1"/>
  <c r="H256" i="505"/>
  <c r="H255" i="505"/>
  <c r="H254" i="505"/>
  <c r="H253" i="505"/>
  <c r="H252" i="505"/>
  <c r="H251" i="505"/>
  <c r="K250" i="505" a="1"/>
  <c r="K250" i="505" s="1"/>
  <c r="K249" i="505" a="1"/>
  <c r="K249" i="505" s="1"/>
  <c r="K248" i="505" a="1"/>
  <c r="K248" i="505" s="1"/>
  <c r="K247" i="505" a="1"/>
  <c r="K247" i="505" s="1"/>
  <c r="V246" i="505"/>
  <c r="W246" i="505" s="1"/>
  <c r="K246" i="505" a="1"/>
  <c r="K246" i="505" s="1"/>
  <c r="M246" i="505" s="1"/>
  <c r="V245" i="505"/>
  <c r="W245" i="505" s="1"/>
  <c r="K245" i="505" a="1"/>
  <c r="K245" i="505" s="1"/>
  <c r="V244" i="505"/>
  <c r="W244" i="505" s="1"/>
  <c r="K244" i="505" a="1"/>
  <c r="K244" i="505" s="1"/>
  <c r="M244" i="505" s="1"/>
  <c r="V243" i="505"/>
  <c r="W243" i="505" s="1"/>
  <c r="K243" i="505" a="1"/>
  <c r="K243" i="505" s="1"/>
  <c r="M242" i="505"/>
  <c r="H242" i="505"/>
  <c r="V241" i="505"/>
  <c r="W241" i="505" s="1"/>
  <c r="K241" i="505" a="1"/>
  <c r="K241" i="505" s="1"/>
  <c r="M241" i="505" s="1"/>
  <c r="V240" i="505"/>
  <c r="W240" i="505" s="1"/>
  <c r="K240" i="505" a="1"/>
  <c r="K240" i="505" s="1"/>
  <c r="K239" i="505" a="1"/>
  <c r="K239" i="505" s="1"/>
  <c r="H238" i="505"/>
  <c r="V237" i="505"/>
  <c r="W237" i="505" s="1"/>
  <c r="K237" i="505" a="1"/>
  <c r="K237" i="505" s="1"/>
  <c r="M237" i="505" s="1"/>
  <c r="J237" i="505" a="1"/>
  <c r="J237" i="505" s="1"/>
  <c r="H237" i="505"/>
  <c r="V236" i="505"/>
  <c r="W236" i="505" s="1"/>
  <c r="K236" i="505" a="1"/>
  <c r="K236" i="505" s="1"/>
  <c r="V235" i="505"/>
  <c r="W235" i="505" s="1"/>
  <c r="K235" i="505" a="1"/>
  <c r="K235" i="505" s="1"/>
  <c r="M235" i="505" s="1"/>
  <c r="V234" i="505"/>
  <c r="W234" i="505" s="1"/>
  <c r="K234" i="505" a="1"/>
  <c r="K234" i="505" s="1"/>
  <c r="V233" i="505"/>
  <c r="W233" i="505" s="1"/>
  <c r="K233" i="505" a="1"/>
  <c r="K233" i="505" s="1"/>
  <c r="M233" i="505" s="1"/>
  <c r="V232" i="505"/>
  <c r="W232" i="505" s="1"/>
  <c r="K232" i="505" a="1"/>
  <c r="K232" i="505" s="1"/>
  <c r="V231" i="505"/>
  <c r="W231" i="505" s="1"/>
  <c r="K231" i="505" a="1"/>
  <c r="K231" i="505" s="1"/>
  <c r="M231" i="505" s="1"/>
  <c r="V230" i="505"/>
  <c r="W230" i="505" s="1"/>
  <c r="K230" i="505" a="1"/>
  <c r="K230" i="505" s="1"/>
  <c r="V229" i="505"/>
  <c r="W229" i="505" s="1"/>
  <c r="K229" i="505" a="1"/>
  <c r="K229" i="505" s="1"/>
  <c r="M229" i="505" s="1"/>
  <c r="V228" i="505"/>
  <c r="W228" i="505" s="1"/>
  <c r="K228" i="505" a="1"/>
  <c r="K228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V219" i="505"/>
  <c r="W219" i="505" s="1"/>
  <c r="K219" i="505" a="1"/>
  <c r="K219" i="505" s="1"/>
  <c r="M219" i="505" s="1"/>
  <c r="V218" i="505"/>
  <c r="W218" i="505" s="1"/>
  <c r="K218" i="505" a="1"/>
  <c r="K218" i="505" s="1"/>
  <c r="V217" i="505"/>
  <c r="W217" i="505" s="1"/>
  <c r="K217" i="505" a="1"/>
  <c r="K217" i="505" s="1"/>
  <c r="M217" i="505" s="1"/>
  <c r="V216" i="505"/>
  <c r="W216" i="505" s="1"/>
  <c r="K216" i="505" a="1"/>
  <c r="K216" i="505" s="1"/>
  <c r="V215" i="505"/>
  <c r="W215" i="505" s="1"/>
  <c r="K215" i="505" a="1"/>
  <c r="K215" i="505" s="1"/>
  <c r="M215" i="505" s="1"/>
  <c r="V214" i="505"/>
  <c r="W214" i="505" s="1"/>
  <c r="K214" i="505" a="1"/>
  <c r="K214" i="505" s="1"/>
  <c r="V213" i="505"/>
  <c r="W213" i="505" s="1"/>
  <c r="K213" i="505" a="1"/>
  <c r="K213" i="505" s="1"/>
  <c r="M213" i="505" s="1"/>
  <c r="V212" i="505"/>
  <c r="W212" i="505" s="1"/>
  <c r="K212" i="505" a="1"/>
  <c r="K212" i="505" s="1"/>
  <c r="V211" i="505"/>
  <c r="W211" i="505" s="1"/>
  <c r="K211" i="505" a="1"/>
  <c r="K211" i="505" s="1"/>
  <c r="M211" i="505" s="1"/>
  <c r="V210" i="505"/>
  <c r="W210" i="505" s="1"/>
  <c r="K210" i="505" a="1"/>
  <c r="K210" i="505" s="1"/>
  <c r="V209" i="505"/>
  <c r="W209" i="505" s="1"/>
  <c r="K209" i="505" a="1"/>
  <c r="K209" i="505" s="1"/>
  <c r="M209" i="505" s="1"/>
  <c r="V208" i="505"/>
  <c r="W208" i="505" s="1"/>
  <c r="K208" i="505" a="1"/>
  <c r="K208" i="505" s="1"/>
  <c r="H207" i="505"/>
  <c r="H206" i="505"/>
  <c r="H205" i="505"/>
  <c r="V204" i="505"/>
  <c r="W204" i="505" s="1"/>
  <c r="X342" i="505"/>
  <c r="K204" i="505" a="1"/>
  <c r="K204" i="505" s="1"/>
  <c r="M204" i="505" s="1"/>
  <c r="J204" i="505" a="1"/>
  <c r="J204" i="505" s="1"/>
  <c r="H204" i="505"/>
  <c r="V203" i="505"/>
  <c r="W203" i="505" s="1"/>
  <c r="X341" i="505"/>
  <c r="K203" i="505" a="1"/>
  <c r="K203" i="505" s="1"/>
  <c r="M203" i="505" s="1"/>
  <c r="J203" i="505" a="1"/>
  <c r="J203" i="505" s="1"/>
  <c r="H203" i="505"/>
  <c r="V202" i="505"/>
  <c r="W202" i="505" s="1"/>
  <c r="X340" i="505"/>
  <c r="K202" i="505" a="1"/>
  <c r="K202" i="505" s="1"/>
  <c r="M202" i="505" s="1"/>
  <c r="J202" i="505" a="1"/>
  <c r="J202" i="505" s="1"/>
  <c r="H202" i="505"/>
  <c r="H201" i="505"/>
  <c r="AA257" i="505"/>
  <c r="Z257" i="505"/>
  <c r="Y257" i="505"/>
  <c r="X257" i="505"/>
  <c r="V200" i="505"/>
  <c r="U257" i="505"/>
  <c r="T257" i="505"/>
  <c r="S257" i="505"/>
  <c r="R257" i="505"/>
  <c r="Q257" i="505"/>
  <c r="P257" i="505"/>
  <c r="O257" i="505"/>
  <c r="I257" i="505"/>
  <c r="L560" i="505" s="1"/>
  <c r="G257" i="505"/>
  <c r="E5" i="534" s="1"/>
  <c r="G5" i="534" s="1"/>
  <c r="X337" i="505"/>
  <c r="K198" i="505" a="1"/>
  <c r="K198" i="505" s="1"/>
  <c r="M198" i="505" s="1"/>
  <c r="H198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V194" i="505"/>
  <c r="V193" i="505"/>
  <c r="W193" i="505" s="1"/>
  <c r="K193" i="505" a="1"/>
  <c r="K193" i="505" s="1"/>
  <c r="M193" i="505" s="1"/>
  <c r="J193" i="505" a="1"/>
  <c r="J193" i="505" s="1"/>
  <c r="H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J188" i="505" a="1"/>
  <c r="J188" i="505" s="1"/>
  <c r="H188" i="505"/>
  <c r="K188" i="505" a="1"/>
  <c r="K188" i="505" s="1"/>
  <c r="M188" i="505" s="1"/>
  <c r="V187" i="505"/>
  <c r="W187" i="505" s="1"/>
  <c r="K187" i="505" a="1"/>
  <c r="K187" i="505" s="1"/>
  <c r="V186" i="505"/>
  <c r="W186" i="505" s="1"/>
  <c r="K186" i="505" a="1"/>
  <c r="K186" i="505" s="1"/>
  <c r="M186" i="505" s="1"/>
  <c r="V185" i="505"/>
  <c r="W185" i="505" s="1"/>
  <c r="K185" i="505" a="1"/>
  <c r="K185" i="505" s="1"/>
  <c r="V184" i="505"/>
  <c r="W184" i="505" s="1"/>
  <c r="K184" i="505" a="1"/>
  <c r="K184" i="505" s="1"/>
  <c r="M184" i="505" s="1"/>
  <c r="V183" i="505"/>
  <c r="W183" i="505" s="1"/>
  <c r="K183" i="505" a="1"/>
  <c r="K183" i="505" s="1"/>
  <c r="V182" i="505"/>
  <c r="W182" i="505" s="1"/>
  <c r="K182" i="505" a="1"/>
  <c r="K182" i="505" s="1"/>
  <c r="M182" i="505" s="1"/>
  <c r="V181" i="505"/>
  <c r="W181" i="505" s="1"/>
  <c r="K181" i="505" a="1"/>
  <c r="K181" i="505" s="1"/>
  <c r="V180" i="505"/>
  <c r="W180" i="505" s="1"/>
  <c r="K180" i="505" a="1"/>
  <c r="K180" i="505" s="1"/>
  <c r="M180" i="505" s="1"/>
  <c r="V179" i="505"/>
  <c r="W179" i="505" s="1"/>
  <c r="K179" i="505" a="1"/>
  <c r="K179" i="505" s="1"/>
  <c r="AA199" i="505"/>
  <c r="Z199" i="505"/>
  <c r="Y199" i="505"/>
  <c r="X199" i="505"/>
  <c r="V178" i="505"/>
  <c r="U199" i="505"/>
  <c r="T199" i="505"/>
  <c r="S199" i="505"/>
  <c r="R199" i="505"/>
  <c r="Q199" i="505"/>
  <c r="P199" i="505"/>
  <c r="O199" i="505"/>
  <c r="I199" i="505"/>
  <c r="G199" i="505"/>
  <c r="E4" i="534" s="1"/>
  <c r="E170" i="505"/>
  <c r="I169" i="505"/>
  <c r="E169" i="505"/>
  <c r="I168" i="505"/>
  <c r="E168" i="505"/>
  <c r="I167" i="505"/>
  <c r="E167" i="505"/>
  <c r="G170" i="505"/>
  <c r="E166" i="505"/>
  <c r="C170" i="505"/>
  <c r="K161" i="505" a="1"/>
  <c r="K161" i="505" s="1"/>
  <c r="K160" i="505" a="1"/>
  <c r="K160" i="505" s="1"/>
  <c r="V159" i="505"/>
  <c r="W159" i="505" s="1"/>
  <c r="K159" i="505" a="1"/>
  <c r="K159" i="505" s="1"/>
  <c r="D159" i="505"/>
  <c r="V158" i="505"/>
  <c r="W158" i="505" s="1"/>
  <c r="K158" i="505" a="1"/>
  <c r="K158" i="505" s="1"/>
  <c r="V155" i="505"/>
  <c r="W155" i="505" s="1"/>
  <c r="K155" i="505" a="1"/>
  <c r="K155" i="505" s="1"/>
  <c r="V154" i="505"/>
  <c r="W154" i="505" s="1"/>
  <c r="K154" i="505" a="1"/>
  <c r="K154" i="505" s="1"/>
  <c r="V152" i="505"/>
  <c r="W152" i="505" s="1"/>
  <c r="K152" i="505" a="1"/>
  <c r="K152" i="505" s="1"/>
  <c r="V151" i="505"/>
  <c r="W151" i="505" s="1"/>
  <c r="K151" i="505" a="1"/>
  <c r="K151" i="505" s="1"/>
  <c r="V150" i="505"/>
  <c r="W150" i="505" s="1"/>
  <c r="K150" i="505" a="1"/>
  <c r="K150" i="505" s="1"/>
  <c r="AA163" i="505"/>
  <c r="Z163" i="505"/>
  <c r="Y163" i="505"/>
  <c r="X163" i="505"/>
  <c r="V149" i="505"/>
  <c r="U163" i="505"/>
  <c r="T163" i="505"/>
  <c r="S163" i="505"/>
  <c r="R163" i="505"/>
  <c r="Q163" i="505"/>
  <c r="P163" i="505"/>
  <c r="O163" i="505"/>
  <c r="K149" i="505" a="1"/>
  <c r="K149" i="505" s="1"/>
  <c r="V147" i="505"/>
  <c r="W147" i="505" s="1"/>
  <c r="K147" i="505" a="1"/>
  <c r="K147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8" i="505"/>
  <c r="Z148" i="505"/>
  <c r="Y148" i="505"/>
  <c r="X148" i="505"/>
  <c r="V138" i="505"/>
  <c r="V148" i="505" s="1"/>
  <c r="U148" i="505"/>
  <c r="T148" i="505"/>
  <c r="S148" i="505"/>
  <c r="Q148" i="505"/>
  <c r="P148" i="505"/>
  <c r="O148" i="505"/>
  <c r="I148" i="505"/>
  <c r="G148" i="505"/>
  <c r="B8" i="534" s="1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4" i="505" s="1"/>
  <c r="G121" i="505"/>
  <c r="B6" i="534" s="1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1" i="505"/>
  <c r="K33" i="505" a="1"/>
  <c r="K33" i="505" s="1"/>
  <c r="M33" i="505" s="1"/>
  <c r="J33" i="505" a="1"/>
  <c r="J33" i="505" s="1"/>
  <c r="H33" i="505"/>
  <c r="V32" i="505"/>
  <c r="W32" i="505" s="1"/>
  <c r="X170" i="505"/>
  <c r="K32" i="505" a="1"/>
  <c r="K32" i="505" s="1"/>
  <c r="M32" i="505" s="1"/>
  <c r="J32" i="505" a="1"/>
  <c r="J32" i="505" s="1"/>
  <c r="H32" i="505"/>
  <c r="V31" i="505"/>
  <c r="W31" i="505" s="1"/>
  <c r="X169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6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B4" i="534" s="1"/>
  <c r="R335" i="505" l="1"/>
  <c r="T335" i="505"/>
  <c r="Y335" i="505"/>
  <c r="AA335" i="505"/>
  <c r="R170" i="505"/>
  <c r="D4" i="534"/>
  <c r="K4" i="534"/>
  <c r="D6" i="534"/>
  <c r="K6" i="534"/>
  <c r="G4" i="534"/>
  <c r="E11" i="534"/>
  <c r="G11" i="534" s="1"/>
  <c r="D8" i="534"/>
  <c r="K8" i="534"/>
  <c r="J4" i="534"/>
  <c r="H11" i="534"/>
  <c r="J11" i="534" s="1"/>
  <c r="E344" i="508"/>
  <c r="C521" i="508"/>
  <c r="G521" i="508" s="1"/>
  <c r="S533" i="508"/>
  <c r="Q536" i="508"/>
  <c r="S536" i="508" s="1" a="1"/>
  <c r="S536" i="508" s="1"/>
  <c r="R533" i="508"/>
  <c r="R536" i="508" s="1"/>
  <c r="T167" i="508"/>
  <c r="T166" i="508" a="1"/>
  <c r="T166" i="508" s="1"/>
  <c r="K530" i="508"/>
  <c r="T171" i="508"/>
  <c r="T168" i="508"/>
  <c r="T172" i="508"/>
  <c r="T169" i="508"/>
  <c r="T170" i="508"/>
  <c r="Z173" i="508"/>
  <c r="E530" i="508"/>
  <c r="N479" i="505"/>
  <c r="S524" i="508" a="1"/>
  <c r="S524" i="508" s="1"/>
  <c r="S529" i="508"/>
  <c r="S528" i="508"/>
  <c r="S527" i="508"/>
  <c r="S526" i="508"/>
  <c r="O519" i="508" a="1"/>
  <c r="O519" i="508" s="1"/>
  <c r="K519" i="508"/>
  <c r="R164" i="505"/>
  <c r="Q335" i="505"/>
  <c r="S335" i="505"/>
  <c r="U335" i="505"/>
  <c r="X335" i="505"/>
  <c r="Z335" i="505"/>
  <c r="R513" i="505"/>
  <c r="R514" i="505"/>
  <c r="R171" i="505"/>
  <c r="N319" i="505"/>
  <c r="N334" i="505"/>
  <c r="V334" i="505"/>
  <c r="N370" i="505"/>
  <c r="P507" i="505"/>
  <c r="R507" i="505"/>
  <c r="T507" i="505"/>
  <c r="V370" i="505"/>
  <c r="Y507" i="505"/>
  <c r="AA507" i="505"/>
  <c r="N428" i="505"/>
  <c r="N506" i="505"/>
  <c r="V506" i="505"/>
  <c r="W506" i="505" s="1"/>
  <c r="V86" i="505"/>
  <c r="R168" i="505"/>
  <c r="K163" i="505"/>
  <c r="V163" i="505"/>
  <c r="V479" i="505"/>
  <c r="K86" i="505"/>
  <c r="V257" i="505"/>
  <c r="N292" i="505"/>
  <c r="R341" i="505"/>
  <c r="V319" i="505"/>
  <c r="Q507" i="505"/>
  <c r="S507" i="505"/>
  <c r="U507" i="505"/>
  <c r="X507" i="505"/>
  <c r="Z507" i="505"/>
  <c r="V428" i="505"/>
  <c r="W428" i="505" s="1"/>
  <c r="K167" i="505"/>
  <c r="M167" i="505" s="1"/>
  <c r="R339" i="505"/>
  <c r="R340" i="505"/>
  <c r="R511" i="505"/>
  <c r="K168" i="505"/>
  <c r="M168" i="505" s="1"/>
  <c r="K169" i="505"/>
  <c r="M169" i="505" s="1"/>
  <c r="Q524" i="505"/>
  <c r="Q527" i="505"/>
  <c r="Q529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8" i="505"/>
  <c r="J148" i="505" a="1"/>
  <c r="J148" i="505" s="1"/>
  <c r="K528" i="505"/>
  <c r="M139" i="505"/>
  <c r="M140" i="505"/>
  <c r="M141" i="505"/>
  <c r="M142" i="505"/>
  <c r="M154" i="505"/>
  <c r="M155" i="505"/>
  <c r="M159" i="505"/>
  <c r="M160" i="505"/>
  <c r="M179" i="505"/>
  <c r="M181" i="505"/>
  <c r="M183" i="505"/>
  <c r="M185" i="505"/>
  <c r="M187" i="505"/>
  <c r="R166" i="505"/>
  <c r="J552" i="505"/>
  <c r="J544" i="505"/>
  <c r="C524" i="505"/>
  <c r="J28" i="505" a="1"/>
  <c r="J28" i="505" s="1"/>
  <c r="L552" i="505"/>
  <c r="L544" i="505"/>
  <c r="M9" i="505"/>
  <c r="M11" i="505"/>
  <c r="M13" i="505"/>
  <c r="M15" i="505"/>
  <c r="M17" i="505"/>
  <c r="M23" i="505"/>
  <c r="M29" i="505"/>
  <c r="Q528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4" i="505"/>
  <c r="M554" i="505" s="1"/>
  <c r="C526" i="505"/>
  <c r="J121" i="505" a="1"/>
  <c r="J121" i="505" s="1"/>
  <c r="K526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8" i="505"/>
  <c r="M147" i="505"/>
  <c r="M149" i="505"/>
  <c r="K529" i="505"/>
  <c r="M150" i="505"/>
  <c r="M151" i="505"/>
  <c r="M152" i="505"/>
  <c r="M158" i="505"/>
  <c r="M161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B5" i="534" s="1"/>
  <c r="I86" i="505"/>
  <c r="L553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B7" i="534" s="1"/>
  <c r="I137" i="505"/>
  <c r="L555" i="505" s="1"/>
  <c r="J138" i="505" a="1"/>
  <c r="J138" i="505" s="1"/>
  <c r="K138" i="505" a="1"/>
  <c r="K138" i="505" s="1"/>
  <c r="K148" i="505" s="1"/>
  <c r="W138" i="505"/>
  <c r="J139" i="505" a="1"/>
  <c r="J139" i="505" s="1"/>
  <c r="J140" i="505" a="1"/>
  <c r="J140" i="505" s="1"/>
  <c r="J154" i="505" a="1"/>
  <c r="J154" i="505" s="1"/>
  <c r="J155" i="505" a="1"/>
  <c r="J155" i="505" s="1"/>
  <c r="J159" i="505" a="1"/>
  <c r="J159" i="505" s="1"/>
  <c r="G163" i="505"/>
  <c r="B9" i="534" s="1"/>
  <c r="I163" i="505"/>
  <c r="L556" i="505" s="1"/>
  <c r="I166" i="505"/>
  <c r="J559" i="505"/>
  <c r="G335" i="505"/>
  <c r="J199" i="505" a="1"/>
  <c r="J199" i="505" s="1"/>
  <c r="L559" i="505"/>
  <c r="I335" i="505"/>
  <c r="B343" i="505" s="1"/>
  <c r="X338" i="505"/>
  <c r="P335" i="505"/>
  <c r="X339" i="505" s="1"/>
  <c r="V199" i="505"/>
  <c r="K194" i="505" a="1"/>
  <c r="K194" i="505" s="1"/>
  <c r="J194" i="505" a="1"/>
  <c r="J194" i="505" s="1"/>
  <c r="H194" i="505"/>
  <c r="W194" i="505"/>
  <c r="M195" i="505"/>
  <c r="R338" i="505"/>
  <c r="M208" i="505"/>
  <c r="M210" i="505"/>
  <c r="M212" i="505"/>
  <c r="M214" i="505"/>
  <c r="M216" i="505"/>
  <c r="M218" i="505"/>
  <c r="M220" i="505"/>
  <c r="M221" i="505"/>
  <c r="M222" i="505"/>
  <c r="M223" i="505"/>
  <c r="M224" i="505"/>
  <c r="M225" i="505"/>
  <c r="M226" i="505"/>
  <c r="M227" i="505"/>
  <c r="M228" i="505"/>
  <c r="M230" i="505"/>
  <c r="M232" i="505"/>
  <c r="M234" i="505"/>
  <c r="M236" i="505"/>
  <c r="M239" i="505"/>
  <c r="M240" i="505"/>
  <c r="M243" i="505"/>
  <c r="M245" i="505"/>
  <c r="M247" i="505"/>
  <c r="M248" i="505"/>
  <c r="M249" i="505"/>
  <c r="M250" i="505"/>
  <c r="J561" i="505"/>
  <c r="M561" i="505" s="1"/>
  <c r="J292" i="505" a="1"/>
  <c r="J292" i="505" s="1"/>
  <c r="M259" i="505"/>
  <c r="M261" i="505"/>
  <c r="M263" i="505"/>
  <c r="M265" i="505"/>
  <c r="M266" i="505"/>
  <c r="M268" i="505"/>
  <c r="M270" i="505"/>
  <c r="M272" i="505"/>
  <c r="M274" i="505"/>
  <c r="M276" i="505"/>
  <c r="M278" i="505"/>
  <c r="M279" i="505"/>
  <c r="M280" i="505"/>
  <c r="M281" i="505"/>
  <c r="M282" i="505"/>
  <c r="M283" i="505"/>
  <c r="M284" i="505"/>
  <c r="M289" i="505"/>
  <c r="M291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7" i="505" a="1"/>
  <c r="J147" i="505" s="1"/>
  <c r="J149" i="505" a="1"/>
  <c r="J149" i="505" s="1"/>
  <c r="W149" i="505"/>
  <c r="J150" i="505" a="1"/>
  <c r="J150" i="505" s="1"/>
  <c r="J151" i="505" a="1"/>
  <c r="J151" i="505" s="1"/>
  <c r="J152" i="505" a="1"/>
  <c r="J152" i="505" s="1"/>
  <c r="J158" i="505" a="1"/>
  <c r="J158" i="505" s="1"/>
  <c r="H178" i="505"/>
  <c r="J178" i="505" a="1"/>
  <c r="J178" i="505" s="1"/>
  <c r="K178" i="505" a="1"/>
  <c r="K178" i="505" s="1"/>
  <c r="K199" i="505" s="1"/>
  <c r="R337" i="505"/>
  <c r="O335" i="505"/>
  <c r="W178" i="505"/>
  <c r="W199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H187" i="505"/>
  <c r="J187" i="505" a="1"/>
  <c r="J187" i="505" s="1"/>
  <c r="M194" i="505"/>
  <c r="J560" i="505"/>
  <c r="M560" i="505" s="1"/>
  <c r="J257" i="505" a="1"/>
  <c r="J257" i="505" s="1"/>
  <c r="W257" i="505"/>
  <c r="H200" i="505"/>
  <c r="J200" i="505" a="1"/>
  <c r="J200" i="505" s="1"/>
  <c r="K200" i="505" a="1"/>
  <c r="K200" i="505" s="1"/>
  <c r="K257" i="505" s="1"/>
  <c r="W200" i="505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J219" i="505" a="1"/>
  <c r="J219" i="505" s="1"/>
  <c r="H220" i="505"/>
  <c r="H221" i="505"/>
  <c r="H222" i="505"/>
  <c r="H223" i="505"/>
  <c r="H224" i="505"/>
  <c r="H225" i="505"/>
  <c r="H226" i="505"/>
  <c r="H227" i="505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36" i="505"/>
  <c r="J236" i="505" a="1"/>
  <c r="J236" i="505" s="1"/>
  <c r="H289" i="505"/>
  <c r="J289" i="505" a="1"/>
  <c r="J289" i="505" s="1"/>
  <c r="H290" i="505"/>
  <c r="J290" i="505" a="1"/>
  <c r="J290" i="505" s="1"/>
  <c r="H291" i="505"/>
  <c r="J291" i="505" a="1"/>
  <c r="J291" i="505" s="1"/>
  <c r="V292" i="505"/>
  <c r="W292" i="505" s="1"/>
  <c r="J562" i="505"/>
  <c r="M562" i="505" s="1"/>
  <c r="J308" i="505" a="1"/>
  <c r="J308" i="505" s="1"/>
  <c r="N308" i="505"/>
  <c r="V308" i="505"/>
  <c r="W308" i="505" s="1"/>
  <c r="K300" i="505" a="1"/>
  <c r="K300" i="505" s="1"/>
  <c r="J300" i="505" a="1"/>
  <c r="J300" i="505" s="1"/>
  <c r="M300" i="505"/>
  <c r="M302" i="505"/>
  <c r="M304" i="505"/>
  <c r="M306" i="505"/>
  <c r="J319" i="505" a="1"/>
  <c r="J319" i="505" s="1"/>
  <c r="W319" i="505"/>
  <c r="M310" i="505"/>
  <c r="M312" i="505"/>
  <c r="R342" i="505"/>
  <c r="M322" i="505"/>
  <c r="M326" i="505"/>
  <c r="J565" i="505"/>
  <c r="G507" i="505"/>
  <c r="J370" i="505" a="1"/>
  <c r="J370" i="505" s="1"/>
  <c r="M350" i="505"/>
  <c r="M352" i="505"/>
  <c r="M354" i="505"/>
  <c r="M356" i="505"/>
  <c r="M358" i="505"/>
  <c r="M362" i="505"/>
  <c r="M364" i="505"/>
  <c r="M366" i="505"/>
  <c r="M368" i="505"/>
  <c r="M374" i="505"/>
  <c r="M376" i="505"/>
  <c r="M377" i="505"/>
  <c r="M378" i="505"/>
  <c r="M379" i="505"/>
  <c r="M381" i="505"/>
  <c r="M383" i="505"/>
  <c r="M385" i="505"/>
  <c r="M387" i="505"/>
  <c r="M389" i="505"/>
  <c r="M391" i="505"/>
  <c r="M392" i="505"/>
  <c r="M393" i="505"/>
  <c r="M394" i="505"/>
  <c r="M395" i="505"/>
  <c r="M397" i="505"/>
  <c r="H195" i="505"/>
  <c r="H239" i="505"/>
  <c r="H240" i="505"/>
  <c r="J240" i="505" a="1"/>
  <c r="J240" i="505" s="1"/>
  <c r="H241" i="505"/>
  <c r="J241" i="505" a="1"/>
  <c r="J241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J246" i="505" a="1"/>
  <c r="J246" i="505" s="1"/>
  <c r="H247" i="505"/>
  <c r="H248" i="505"/>
  <c r="H249" i="505"/>
  <c r="H250" i="505"/>
  <c r="H258" i="505"/>
  <c r="J258" i="505" a="1"/>
  <c r="J258" i="505" s="1"/>
  <c r="K258" i="505" a="1"/>
  <c r="K258" i="505" s="1"/>
  <c r="K292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J264" i="505" a="1"/>
  <c r="J264" i="505" s="1"/>
  <c r="H265" i="505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J277" i="505" a="1"/>
  <c r="J277" i="505" s="1"/>
  <c r="H278" i="505"/>
  <c r="H279" i="505"/>
  <c r="H280" i="505"/>
  <c r="H281" i="505"/>
  <c r="H282" i="505"/>
  <c r="H283" i="505"/>
  <c r="H284" i="505"/>
  <c r="J284" i="505" a="1"/>
  <c r="J284" i="505" s="1"/>
  <c r="H285" i="505"/>
  <c r="J285" i="505" a="1"/>
  <c r="J285" i="505" s="1"/>
  <c r="H293" i="505"/>
  <c r="J293" i="505" a="1"/>
  <c r="J293" i="505" s="1"/>
  <c r="K293" i="505" a="1"/>
  <c r="K293" i="505" s="1"/>
  <c r="W293" i="505"/>
  <c r="H294" i="505"/>
  <c r="J294" i="505" a="1"/>
  <c r="J294" i="505" s="1"/>
  <c r="J563" i="505"/>
  <c r="M563" i="505" s="1"/>
  <c r="J334" i="505" a="1"/>
  <c r="J334" i="505" s="1"/>
  <c r="W334" i="505"/>
  <c r="L565" i="505"/>
  <c r="R509" i="505"/>
  <c r="M400" i="505"/>
  <c r="M402" i="505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07" i="505"/>
  <c r="J307" i="505" a="1"/>
  <c r="J307" i="505" s="1"/>
  <c r="H318" i="505"/>
  <c r="J318" i="505" a="1"/>
  <c r="J318" i="505" s="1"/>
  <c r="H320" i="505"/>
  <c r="J320" i="505" a="1"/>
  <c r="J320" i="505" s="1"/>
  <c r="K320" i="505" a="1"/>
  <c r="K320" i="505" s="1"/>
  <c r="K334" i="505" s="1"/>
  <c r="W320" i="505"/>
  <c r="H321" i="505"/>
  <c r="J321" i="505" a="1"/>
  <c r="J321" i="505" s="1"/>
  <c r="H322" i="505"/>
  <c r="J322" i="505" a="1"/>
  <c r="J322" i="505" s="1"/>
  <c r="H323" i="505"/>
  <c r="J323" i="505" a="1"/>
  <c r="J323" i="505" s="1"/>
  <c r="H325" i="505"/>
  <c r="J325" i="505" a="1"/>
  <c r="J325" i="505" s="1"/>
  <c r="H326" i="505"/>
  <c r="J326" i="505" a="1"/>
  <c r="J326" i="505" s="1"/>
  <c r="H333" i="505"/>
  <c r="I337" i="505"/>
  <c r="H349" i="505"/>
  <c r="J349" i="505" a="1"/>
  <c r="J349" i="505" s="1"/>
  <c r="K349" i="505" a="1"/>
  <c r="K349" i="505" s="1"/>
  <c r="K370" i="505" s="1"/>
  <c r="W349" i="505"/>
  <c r="W370" i="505" s="1"/>
  <c r="H350" i="505"/>
  <c r="J350" i="505" a="1"/>
  <c r="J350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7" i="505"/>
  <c r="J357" i="505" a="1"/>
  <c r="J357" i="505" s="1"/>
  <c r="H358" i="505"/>
  <c r="J358" i="505" a="1"/>
  <c r="J358" i="505" s="1"/>
  <c r="H361" i="505"/>
  <c r="J361" i="505" a="1"/>
  <c r="J361" i="505" s="1"/>
  <c r="H362" i="505"/>
  <c r="J362" i="505" a="1"/>
  <c r="J362" i="505" s="1"/>
  <c r="H363" i="505"/>
  <c r="J363" i="505" a="1"/>
  <c r="J363" i="505" s="1"/>
  <c r="H364" i="505"/>
  <c r="J364" i="505" a="1"/>
  <c r="J364" i="505" s="1"/>
  <c r="H365" i="505"/>
  <c r="J566" i="505"/>
  <c r="J545" i="505"/>
  <c r="J428" i="505" a="1"/>
  <c r="J428" i="505" s="1"/>
  <c r="L566" i="505"/>
  <c r="K372" i="505" a="1"/>
  <c r="K372" i="505" s="1"/>
  <c r="K403" i="505" a="1"/>
  <c r="K403" i="505" s="1"/>
  <c r="M403" i="505" s="1"/>
  <c r="J403" i="505" a="1"/>
  <c r="J403" i="505" s="1"/>
  <c r="H309" i="505"/>
  <c r="J309" i="505" a="1"/>
  <c r="J309" i="505" s="1"/>
  <c r="K309" i="505" a="1"/>
  <c r="K309" i="505" s="1"/>
  <c r="K319" i="505" s="1"/>
  <c r="W309" i="505"/>
  <c r="H310" i="505"/>
  <c r="J310" i="505" a="1"/>
  <c r="J310" i="505" s="1"/>
  <c r="H311" i="505"/>
  <c r="J311" i="505" a="1"/>
  <c r="J311" i="505" s="1"/>
  <c r="H312" i="505"/>
  <c r="H313" i="505"/>
  <c r="H351" i="505"/>
  <c r="J351" i="505" a="1"/>
  <c r="J351" i="505" s="1"/>
  <c r="H366" i="505"/>
  <c r="H368" i="505"/>
  <c r="H371" i="505"/>
  <c r="J371" i="505" a="1"/>
  <c r="J371" i="505" s="1"/>
  <c r="K371" i="505" a="1"/>
  <c r="K371" i="505" s="1"/>
  <c r="O428" i="505"/>
  <c r="R510" i="505" s="1"/>
  <c r="W371" i="505"/>
  <c r="H373" i="505"/>
  <c r="J373" i="505" a="1"/>
  <c r="J373" i="505" s="1"/>
  <c r="H374" i="505"/>
  <c r="J374" i="505" a="1"/>
  <c r="J374" i="505" s="1"/>
  <c r="H375" i="505"/>
  <c r="J375" i="505" a="1"/>
  <c r="J375" i="505" s="1"/>
  <c r="H376" i="505"/>
  <c r="H377" i="505"/>
  <c r="H378" i="505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J389" i="505" a="1"/>
  <c r="J389" i="505" s="1"/>
  <c r="H390" i="505"/>
  <c r="J390" i="505" a="1"/>
  <c r="J390" i="505" s="1"/>
  <c r="H391" i="505"/>
  <c r="H392" i="505"/>
  <c r="H393" i="505"/>
  <c r="H394" i="505"/>
  <c r="H395" i="505"/>
  <c r="H397" i="505"/>
  <c r="H399" i="505"/>
  <c r="J399" i="505" a="1"/>
  <c r="J399" i="505" s="1"/>
  <c r="H400" i="505"/>
  <c r="J400" i="505" a="1"/>
  <c r="J400" i="505" s="1"/>
  <c r="H401" i="505"/>
  <c r="J401" i="505" a="1"/>
  <c r="J401" i="505" s="1"/>
  <c r="H402" i="505"/>
  <c r="J402" i="505" a="1"/>
  <c r="J402" i="505" s="1"/>
  <c r="H403" i="505"/>
  <c r="W403" i="505"/>
  <c r="M404" i="505"/>
  <c r="M406" i="505"/>
  <c r="M408" i="505"/>
  <c r="M412" i="505"/>
  <c r="M414" i="505"/>
  <c r="M416" i="505"/>
  <c r="M418" i="505"/>
  <c r="M420" i="505"/>
  <c r="M422" i="505"/>
  <c r="M423" i="505"/>
  <c r="M424" i="505"/>
  <c r="M425" i="505"/>
  <c r="M427" i="505"/>
  <c r="M430" i="505"/>
  <c r="M432" i="505"/>
  <c r="M434" i="505"/>
  <c r="M435" i="505"/>
  <c r="M438" i="505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J407" i="505" a="1"/>
  <c r="J407" i="505" s="1"/>
  <c r="H408" i="505"/>
  <c r="J408" i="505" a="1"/>
  <c r="J408" i="505" s="1"/>
  <c r="H409" i="505"/>
  <c r="H411" i="505"/>
  <c r="J411" i="505" a="1"/>
  <c r="J411" i="505" s="1"/>
  <c r="H412" i="505"/>
  <c r="J412" i="505" a="1"/>
  <c r="J412" i="505" s="1"/>
  <c r="H414" i="505"/>
  <c r="J414" i="505" a="1"/>
  <c r="J414" i="505" s="1"/>
  <c r="H415" i="505"/>
  <c r="J415" i="505" a="1"/>
  <c r="J415" i="505" s="1"/>
  <c r="H416" i="505"/>
  <c r="J416" i="505" a="1"/>
  <c r="J416" i="505" s="1"/>
  <c r="H417" i="505"/>
  <c r="J417" i="505" a="1"/>
  <c r="J417" i="505" s="1"/>
  <c r="H418" i="505"/>
  <c r="H420" i="505"/>
  <c r="H422" i="505"/>
  <c r="H423" i="505"/>
  <c r="H424" i="505"/>
  <c r="H425" i="505"/>
  <c r="H427" i="505"/>
  <c r="H429" i="505"/>
  <c r="J429" i="505" a="1"/>
  <c r="J429" i="505" s="1"/>
  <c r="K429" i="505" a="1"/>
  <c r="K429" i="505" s="1"/>
  <c r="K463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J434" i="505" a="1"/>
  <c r="J434" i="505" s="1"/>
  <c r="H435" i="505"/>
  <c r="J435" i="505" a="1"/>
  <c r="J435" i="505" s="1"/>
  <c r="H436" i="505"/>
  <c r="H437" i="505"/>
  <c r="J437" i="505" a="1"/>
  <c r="J437" i="505" s="1"/>
  <c r="H438" i="505"/>
  <c r="J438" i="505" a="1"/>
  <c r="J438" i="505" s="1"/>
  <c r="J439" i="505" a="1"/>
  <c r="J439" i="505" s="1"/>
  <c r="J568" i="505"/>
  <c r="J547" i="505"/>
  <c r="J479" i="505" a="1"/>
  <c r="J479" i="505" s="1"/>
  <c r="W479" i="505"/>
  <c r="M481" i="505"/>
  <c r="M483" i="505"/>
  <c r="H426" i="505"/>
  <c r="J567" i="505"/>
  <c r="J546" i="505"/>
  <c r="J463" i="505" a="1"/>
  <c r="J463" i="505" s="1"/>
  <c r="L567" i="505"/>
  <c r="L546" i="505"/>
  <c r="V463" i="505"/>
  <c r="W463" i="505" s="1"/>
  <c r="N434" i="505"/>
  <c r="N463" i="505" s="1"/>
  <c r="M447" i="505"/>
  <c r="M449" i="505"/>
  <c r="M450" i="505"/>
  <c r="M451" i="505"/>
  <c r="M452" i="505"/>
  <c r="M453" i="505"/>
  <c r="M454" i="505"/>
  <c r="M455" i="505"/>
  <c r="M457" i="505"/>
  <c r="M458" i="505"/>
  <c r="M459" i="505"/>
  <c r="M460" i="505"/>
  <c r="M462" i="505"/>
  <c r="L568" i="505"/>
  <c r="R512" i="505"/>
  <c r="M467" i="505"/>
  <c r="M469" i="505"/>
  <c r="M470" i="505"/>
  <c r="M482" i="505"/>
  <c r="M484" i="505"/>
  <c r="H464" i="505"/>
  <c r="J464" i="505" a="1"/>
  <c r="J464" i="505" s="1"/>
  <c r="K464" i="505" a="1"/>
  <c r="K464" i="505" s="1"/>
  <c r="K479" i="505" s="1"/>
  <c r="W464" i="505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H469" i="505"/>
  <c r="J469" i="505" a="1"/>
  <c r="J469" i="505" s="1"/>
  <c r="H470" i="505"/>
  <c r="J470" i="505" a="1"/>
  <c r="J470" i="505" s="1"/>
  <c r="N490" i="505"/>
  <c r="V490" i="505"/>
  <c r="W490" i="505" s="1"/>
  <c r="I490" i="505"/>
  <c r="I507" i="505" s="1"/>
  <c r="B515" i="505" s="1"/>
  <c r="L569" i="505"/>
  <c r="L548" i="505"/>
  <c r="K513" i="505"/>
  <c r="M513" i="505" s="1"/>
  <c r="M509" i="505"/>
  <c r="H447" i="505"/>
  <c r="J447" i="505" a="1"/>
  <c r="J447" i="505" s="1"/>
  <c r="H448" i="505"/>
  <c r="J448" i="505" a="1"/>
  <c r="J448" i="505" s="1"/>
  <c r="H449" i="505"/>
  <c r="H450" i="505"/>
  <c r="H451" i="505"/>
  <c r="H452" i="505"/>
  <c r="H453" i="505"/>
  <c r="H454" i="505"/>
  <c r="H455" i="505"/>
  <c r="J455" i="505" a="1"/>
  <c r="J455" i="505" s="1"/>
  <c r="H456" i="505"/>
  <c r="J456" i="505" a="1"/>
  <c r="J456" i="505" s="1"/>
  <c r="H457" i="505"/>
  <c r="H458" i="505"/>
  <c r="H459" i="505"/>
  <c r="H460" i="505"/>
  <c r="J460" i="505" a="1"/>
  <c r="J460" i="505" s="1"/>
  <c r="H461" i="505"/>
  <c r="J461" i="505" a="1"/>
  <c r="J461" i="505" s="1"/>
  <c r="H462" i="505"/>
  <c r="J462" i="505" a="1"/>
  <c r="J462" i="505" s="1"/>
  <c r="H480" i="505"/>
  <c r="J480" i="505" a="1"/>
  <c r="J480" i="505" s="1"/>
  <c r="K480" i="505" a="1"/>
  <c r="K480" i="505" s="1"/>
  <c r="K490" i="505" s="1"/>
  <c r="W480" i="505"/>
  <c r="H481" i="505"/>
  <c r="J481" i="505" a="1"/>
  <c r="J481" i="505" s="1"/>
  <c r="H482" i="505"/>
  <c r="J482" i="505" a="1"/>
  <c r="J482" i="505" s="1"/>
  <c r="H483" i="505"/>
  <c r="J483" i="505" a="1"/>
  <c r="J483" i="505" s="1"/>
  <c r="H484" i="505"/>
  <c r="J484" i="505" a="1"/>
  <c r="J484" i="505" s="1"/>
  <c r="J569" i="505"/>
  <c r="J548" i="505"/>
  <c r="J506" i="505" a="1"/>
  <c r="J506" i="505" s="1"/>
  <c r="M492" i="505"/>
  <c r="M494" i="505"/>
  <c r="M498" i="505"/>
  <c r="H491" i="505"/>
  <c r="J491" i="505" a="1"/>
  <c r="J491" i="505" s="1"/>
  <c r="K491" i="505" a="1"/>
  <c r="K491" i="505" s="1"/>
  <c r="K506" i="505" s="1"/>
  <c r="W491" i="505"/>
  <c r="H492" i="505"/>
  <c r="J492" i="505" a="1"/>
  <c r="J492" i="505" s="1"/>
  <c r="H493" i="505"/>
  <c r="J493" i="505" a="1"/>
  <c r="J493" i="505" s="1"/>
  <c r="H494" i="505"/>
  <c r="J494" i="505" a="1"/>
  <c r="J494" i="505" s="1"/>
  <c r="H497" i="505"/>
  <c r="J497" i="505" a="1"/>
  <c r="J497" i="505" s="1"/>
  <c r="H498" i="505"/>
  <c r="J498" i="505" a="1"/>
  <c r="J498" i="505" s="1"/>
  <c r="H501" i="505"/>
  <c r="J501" i="505" a="1"/>
  <c r="J501" i="505" s="1"/>
  <c r="L545" i="505" l="1"/>
  <c r="M545" i="505" s="1"/>
  <c r="B11" i="534"/>
  <c r="D11" i="534" s="1"/>
  <c r="K9" i="534"/>
  <c r="D9" i="534"/>
  <c r="K7" i="534"/>
  <c r="D7" i="534"/>
  <c r="K5" i="534"/>
  <c r="D5" i="534"/>
  <c r="K121" i="505"/>
  <c r="K164" i="505" s="1"/>
  <c r="L547" i="505"/>
  <c r="M547" i="505" s="1"/>
  <c r="W163" i="505"/>
  <c r="T173" i="508"/>
  <c r="M524" i="508" a="1"/>
  <c r="M524" i="508" s="1"/>
  <c r="M525" i="508"/>
  <c r="M528" i="508"/>
  <c r="M526" i="508"/>
  <c r="M527" i="508"/>
  <c r="M529" i="508"/>
  <c r="S530" i="508"/>
  <c r="M569" i="505"/>
  <c r="K428" i="505"/>
  <c r="K308" i="505"/>
  <c r="M548" i="505"/>
  <c r="M349" i="505"/>
  <c r="M370" i="505" s="1"/>
  <c r="M429" i="505"/>
  <c r="M87" i="505"/>
  <c r="M371" i="505"/>
  <c r="M428" i="505" s="1"/>
  <c r="M293" i="505"/>
  <c r="M308" i="505" s="1"/>
  <c r="M464" i="505"/>
  <c r="M479" i="505" s="1"/>
  <c r="M7" i="505"/>
  <c r="M28" i="505" s="1"/>
  <c r="M552" i="505"/>
  <c r="N507" i="505"/>
  <c r="B516" i="505" s="1"/>
  <c r="E516" i="505" s="1"/>
  <c r="H319" i="505"/>
  <c r="M566" i="505"/>
  <c r="M258" i="505"/>
  <c r="M292" i="505" s="1"/>
  <c r="H28" i="505"/>
  <c r="K552" i="505" s="1"/>
  <c r="H506" i="505"/>
  <c r="M567" i="505"/>
  <c r="J490" i="505" a="1"/>
  <c r="J490" i="505" s="1"/>
  <c r="M568" i="505"/>
  <c r="M463" i="505"/>
  <c r="H428" i="505"/>
  <c r="M309" i="505"/>
  <c r="M319" i="505" s="1"/>
  <c r="K337" i="505"/>
  <c r="I341" i="505"/>
  <c r="H334" i="505"/>
  <c r="K563" i="505" s="1"/>
  <c r="O507" i="505"/>
  <c r="X510" i="505" s="1"/>
  <c r="H292" i="505"/>
  <c r="K561" i="505" s="1"/>
  <c r="B514" i="505"/>
  <c r="J570" i="505" s="1"/>
  <c r="J507" i="505" a="1"/>
  <c r="J507" i="505" s="1"/>
  <c r="M514" i="505" s="1"/>
  <c r="H257" i="505"/>
  <c r="K560" i="505" s="1"/>
  <c r="X344" i="505"/>
  <c r="W335" i="505"/>
  <c r="R344" i="505"/>
  <c r="T337" i="505" s="1" a="1"/>
  <c r="T337" i="505" s="1"/>
  <c r="K335" i="505"/>
  <c r="E343" i="505" s="1"/>
  <c r="I343" i="505" s="1"/>
  <c r="M343" i="505" s="1"/>
  <c r="H199" i="505"/>
  <c r="M121" i="505"/>
  <c r="T338" i="505"/>
  <c r="V335" i="505"/>
  <c r="I344" i="505" s="1"/>
  <c r="Z338" i="505"/>
  <c r="M559" i="505"/>
  <c r="M138" i="505"/>
  <c r="M148" i="505" s="1"/>
  <c r="J555" i="505"/>
  <c r="M555" i="505" s="1"/>
  <c r="C527" i="505"/>
  <c r="J137" i="505" a="1"/>
  <c r="J137" i="505" s="1"/>
  <c r="J553" i="505"/>
  <c r="M553" i="505" s="1"/>
  <c r="C525" i="505"/>
  <c r="J86" i="505" a="1"/>
  <c r="J86" i="505" s="1"/>
  <c r="M137" i="505"/>
  <c r="R167" i="505"/>
  <c r="I164" i="505"/>
  <c r="B172" i="505" s="1"/>
  <c r="G164" i="505"/>
  <c r="M544" i="505"/>
  <c r="J549" i="505"/>
  <c r="M491" i="505"/>
  <c r="M506" i="505" s="1"/>
  <c r="H490" i="505"/>
  <c r="H479" i="505"/>
  <c r="M480" i="505"/>
  <c r="M490" i="505" s="1"/>
  <c r="M546" i="505"/>
  <c r="H463" i="505"/>
  <c r="K507" i="505"/>
  <c r="E515" i="505" s="1"/>
  <c r="I515" i="505" s="1"/>
  <c r="M515" i="505" s="1"/>
  <c r="H370" i="505"/>
  <c r="M320" i="505"/>
  <c r="M334" i="505" s="1"/>
  <c r="X509" i="505"/>
  <c r="R516" i="505"/>
  <c r="T509" i="505" s="1" a="1"/>
  <c r="T509" i="505" s="1"/>
  <c r="H308" i="505"/>
  <c r="K562" i="505" s="1"/>
  <c r="V507" i="505"/>
  <c r="M565" i="505"/>
  <c r="M200" i="505"/>
  <c r="M257" i="505" s="1"/>
  <c r="M178" i="505"/>
  <c r="M199" i="505" s="1"/>
  <c r="H86" i="505"/>
  <c r="K553" i="505" s="1"/>
  <c r="B342" i="505"/>
  <c r="J564" i="505" s="1"/>
  <c r="J335" i="505" a="1"/>
  <c r="J335" i="505" s="1"/>
  <c r="M342" i="505" s="1"/>
  <c r="K166" i="505"/>
  <c r="I170" i="505"/>
  <c r="J556" i="505"/>
  <c r="M556" i="505" s="1"/>
  <c r="C529" i="505"/>
  <c r="J163" i="505" a="1"/>
  <c r="J163" i="505" s="1"/>
  <c r="V28" i="505"/>
  <c r="V164" i="505" s="1"/>
  <c r="I173" i="505" s="1"/>
  <c r="W7" i="505"/>
  <c r="W28" i="505" s="1"/>
  <c r="M163" i="505"/>
  <c r="M86" i="505"/>
  <c r="K524" i="505"/>
  <c r="W137" i="505"/>
  <c r="W86" i="505"/>
  <c r="K11" i="534" l="1"/>
  <c r="B12" i="534"/>
  <c r="M507" i="505"/>
  <c r="M530" i="508"/>
  <c r="C530" i="505"/>
  <c r="M164" i="505"/>
  <c r="L335" i="505"/>
  <c r="I342" i="505" s="1"/>
  <c r="K544" i="505"/>
  <c r="W164" i="505"/>
  <c r="M335" i="505"/>
  <c r="T515" i="505"/>
  <c r="T511" i="505"/>
  <c r="T514" i="505"/>
  <c r="T513" i="505"/>
  <c r="T510" i="505"/>
  <c r="T512" i="505"/>
  <c r="K568" i="505"/>
  <c r="C520" i="505"/>
  <c r="K525" i="505"/>
  <c r="M344" i="505" a="1"/>
  <c r="M344" i="505" s="1"/>
  <c r="T343" i="505"/>
  <c r="T339" i="505"/>
  <c r="T340" i="505"/>
  <c r="T341" i="505"/>
  <c r="Z337" i="505" a="1"/>
  <c r="Z337" i="505" s="1"/>
  <c r="Z340" i="505"/>
  <c r="Z342" i="505"/>
  <c r="Z341" i="505"/>
  <c r="Z343" i="505"/>
  <c r="T342" i="505"/>
  <c r="Z339" i="505"/>
  <c r="K569" i="505"/>
  <c r="K170" i="505"/>
  <c r="M170" i="505" s="1"/>
  <c r="M166" i="505"/>
  <c r="W507" i="505"/>
  <c r="I516" i="505"/>
  <c r="M516" i="505" s="1" a="1"/>
  <c r="M516" i="505" s="1"/>
  <c r="X516" i="505"/>
  <c r="Z510" i="505" s="1"/>
  <c r="K565" i="505"/>
  <c r="H507" i="505"/>
  <c r="E514" i="505" s="1"/>
  <c r="K567" i="505"/>
  <c r="B171" i="505"/>
  <c r="L164" i="505"/>
  <c r="I171" i="505" s="1"/>
  <c r="J164" i="505" a="1"/>
  <c r="J164" i="505" s="1"/>
  <c r="M171" i="505" s="1"/>
  <c r="E172" i="505"/>
  <c r="G520" i="505" s="1"/>
  <c r="E525" i="505"/>
  <c r="K559" i="505"/>
  <c r="H335" i="505"/>
  <c r="E342" i="505" s="1"/>
  <c r="L507" i="505"/>
  <c r="I514" i="505" s="1"/>
  <c r="K341" i="505"/>
  <c r="M341" i="505" s="1"/>
  <c r="M337" i="505"/>
  <c r="K545" i="505"/>
  <c r="K566" i="505"/>
  <c r="E528" i="505" l="1"/>
  <c r="E527" i="505"/>
  <c r="E529" i="505"/>
  <c r="E526" i="505"/>
  <c r="E524" i="505"/>
  <c r="T344" i="505"/>
  <c r="T516" i="505"/>
  <c r="Z509" i="505" a="1"/>
  <c r="Z509" i="505" s="1"/>
  <c r="K521" i="505"/>
  <c r="K520" i="505"/>
  <c r="O520" i="505" s="1"/>
  <c r="J557" i="505"/>
  <c r="C519" i="505"/>
  <c r="Z511" i="505"/>
  <c r="Z513" i="505"/>
  <c r="Z515" i="505"/>
  <c r="Z512" i="505"/>
  <c r="Z514" i="505"/>
  <c r="M173" i="505" a="1"/>
  <c r="M173" i="505" s="1"/>
  <c r="Z344" i="505"/>
  <c r="I172" i="505"/>
  <c r="M172" i="505" s="1"/>
  <c r="E530" i="505" l="1"/>
  <c r="K519" i="505"/>
  <c r="O519" i="505" a="1"/>
  <c r="O519" i="505" s="1"/>
  <c r="O521" i="505" a="1"/>
  <c r="O521" i="505" s="1"/>
  <c r="Z516" i="505"/>
  <c r="H493" i="434" l="1"/>
  <c r="H494" i="434"/>
  <c r="H495" i="434"/>
  <c r="H496" i="434"/>
  <c r="H497" i="434"/>
  <c r="H498" i="434"/>
  <c r="H499" i="434"/>
  <c r="H500" i="434"/>
  <c r="H501" i="434"/>
  <c r="H502" i="434"/>
  <c r="H503" i="434"/>
  <c r="H504" i="434"/>
  <c r="H505" i="434"/>
  <c r="H485" i="434"/>
  <c r="H359" i="489"/>
  <c r="H360" i="489"/>
  <c r="H359" i="434"/>
  <c r="H360" i="434"/>
  <c r="H361" i="434"/>
  <c r="H362" i="434"/>
  <c r="H363" i="434"/>
  <c r="H329" i="489"/>
  <c r="H324" i="434"/>
  <c r="H325" i="434"/>
  <c r="H326" i="434"/>
  <c r="H327" i="434"/>
  <c r="H328" i="434"/>
  <c r="H32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56" i="434"/>
  <c r="H224" i="434"/>
  <c r="H225" i="434"/>
  <c r="H226" i="434"/>
  <c r="H227" i="434"/>
  <c r="H228" i="434"/>
  <c r="H229" i="434"/>
  <c r="H204" i="434"/>
  <c r="H205" i="434"/>
  <c r="H206" i="434"/>
  <c r="H207" i="434"/>
  <c r="H208" i="434"/>
  <c r="H209" i="434"/>
  <c r="H210" i="434"/>
  <c r="H161" i="434"/>
  <c r="H162" i="434"/>
  <c r="H152" i="434"/>
  <c r="H153" i="434"/>
  <c r="H154" i="434"/>
  <c r="H155" i="434"/>
  <c r="H156" i="434"/>
  <c r="H157" i="434"/>
  <c r="H158" i="434"/>
  <c r="H159" i="434"/>
  <c r="H160" i="434"/>
  <c r="H143" i="434"/>
  <c r="H505" i="489"/>
  <c r="H504" i="489"/>
  <c r="H503" i="489"/>
  <c r="H502" i="489"/>
  <c r="H501" i="489"/>
  <c r="H500" i="489"/>
  <c r="H499" i="489"/>
  <c r="H498" i="489"/>
  <c r="H497" i="489"/>
  <c r="H496" i="489"/>
  <c r="H495" i="489"/>
  <c r="H494" i="489"/>
  <c r="H493" i="489"/>
  <c r="H485" i="489"/>
  <c r="H363" i="489"/>
  <c r="H362" i="489"/>
  <c r="H361" i="489"/>
  <c r="H328" i="489"/>
  <c r="H327" i="489"/>
  <c r="H326" i="489"/>
  <c r="H325" i="489"/>
  <c r="H324" i="489"/>
  <c r="H256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29" i="489"/>
  <c r="H228" i="489"/>
  <c r="H227" i="489"/>
  <c r="H226" i="489"/>
  <c r="H225" i="489"/>
  <c r="H224" i="489"/>
  <c r="H210" i="489"/>
  <c r="H209" i="489"/>
  <c r="H208" i="489"/>
  <c r="H207" i="489"/>
  <c r="H206" i="489"/>
  <c r="H205" i="489"/>
  <c r="H204" i="489"/>
  <c r="D502" i="489"/>
  <c r="D502" i="434"/>
  <c r="D330" i="489"/>
  <c r="D330" i="434"/>
  <c r="Q164" i="505" l="1"/>
  <c r="T164" i="505"/>
  <c r="X164" i="505"/>
  <c r="Z164" i="505"/>
  <c r="S164" i="505"/>
  <c r="U164" i="505"/>
  <c r="Y164" i="505"/>
  <c r="AA164" i="505"/>
  <c r="N163" i="505"/>
  <c r="N148" i="505"/>
  <c r="H137" i="505"/>
  <c r="N199" i="505"/>
  <c r="R169" i="505"/>
  <c r="O164" i="505"/>
  <c r="N121" i="505"/>
  <c r="X167" i="505"/>
  <c r="P164" i="505"/>
  <c r="X168" i="505" s="1"/>
  <c r="H121" i="505"/>
  <c r="N86" i="505"/>
  <c r="N28" i="505"/>
  <c r="N257" i="505"/>
  <c r="H163" i="505"/>
  <c r="H148" i="505"/>
  <c r="N137" i="505"/>
  <c r="K548" i="505" l="1"/>
  <c r="K556" i="505"/>
  <c r="N164" i="505"/>
  <c r="B173" i="505" s="1"/>
  <c r="K554" i="505"/>
  <c r="K546" i="505"/>
  <c r="H164" i="505"/>
  <c r="E171" i="505" s="1"/>
  <c r="G519" i="505" s="1"/>
  <c r="Q525" i="505"/>
  <c r="X173" i="505"/>
  <c r="Z168" i="505" s="1"/>
  <c r="N335" i="505"/>
  <c r="B344" i="505" s="1"/>
  <c r="E344" i="505" s="1"/>
  <c r="Q526" i="505"/>
  <c r="K527" i="505"/>
  <c r="R173" i="505"/>
  <c r="K555" i="505"/>
  <c r="K547" i="505"/>
  <c r="T535" i="505" a="1"/>
  <c r="T535" i="505" s="1"/>
  <c r="J535" i="505"/>
  <c r="Q535" i="505" s="1"/>
  <c r="C536" i="505"/>
  <c r="T536" i="505" s="1" a="1"/>
  <c r="T536" i="505" s="1"/>
  <c r="J533" i="505"/>
  <c r="T533" i="505" a="1"/>
  <c r="T533" i="505" s="1"/>
  <c r="T534" i="505" a="1"/>
  <c r="T534" i="505" s="1"/>
  <c r="J534" i="505"/>
  <c r="Q534" i="505" s="1"/>
  <c r="T166" i="505" l="1" a="1"/>
  <c r="T166" i="505" s="1"/>
  <c r="T172" i="505"/>
  <c r="T171" i="505"/>
  <c r="K530" i="505"/>
  <c r="M527" i="505" s="1"/>
  <c r="T170" i="505"/>
  <c r="T168" i="505"/>
  <c r="T167" i="505"/>
  <c r="Q530" i="505"/>
  <c r="S526" i="505" s="1"/>
  <c r="Z169" i="505"/>
  <c r="Z166" i="505" a="1"/>
  <c r="Z166" i="505" s="1"/>
  <c r="Z172" i="505"/>
  <c r="Z171" i="505"/>
  <c r="Z170" i="505"/>
  <c r="T169" i="505"/>
  <c r="Z167" i="505"/>
  <c r="C521" i="505"/>
  <c r="G521" i="505" s="1"/>
  <c r="E173" i="505"/>
  <c r="J536" i="505"/>
  <c r="Q533" i="505"/>
  <c r="R535" i="505"/>
  <c r="S535" i="505" a="1"/>
  <c r="S535" i="505" s="1"/>
  <c r="R534" i="505"/>
  <c r="S534" i="505" a="1"/>
  <c r="S534" i="505" s="1"/>
  <c r="AC499" i="489"/>
  <c r="AC500" i="489"/>
  <c r="AC501" i="489"/>
  <c r="AC327" i="489"/>
  <c r="AC157" i="489"/>
  <c r="AC156" i="489"/>
  <c r="S525" i="505" l="1"/>
  <c r="Z173" i="505"/>
  <c r="S527" i="505"/>
  <c r="S529" i="505"/>
  <c r="S524" i="505" a="1"/>
  <c r="S524" i="505" s="1"/>
  <c r="S528" i="505"/>
  <c r="M524" i="505" a="1"/>
  <c r="M524" i="505" s="1"/>
  <c r="M525" i="505"/>
  <c r="M529" i="505"/>
  <c r="M526" i="505"/>
  <c r="M528" i="505"/>
  <c r="T173" i="505"/>
  <c r="Q536" i="505"/>
  <c r="S536" i="505" s="1" a="1"/>
  <c r="S536" i="505" s="1"/>
  <c r="S533" i="505"/>
  <c r="R533" i="505"/>
  <c r="R536" i="505" s="1"/>
  <c r="S530" i="505" l="1"/>
  <c r="M530" i="505"/>
  <c r="AC485" i="489" l="1"/>
  <c r="AC409" i="489"/>
  <c r="AC372" i="489"/>
  <c r="AC314" i="489"/>
  <c r="AC162" i="489"/>
  <c r="AC143" i="489"/>
  <c r="AC505" i="489" l="1"/>
  <c r="AC504" i="489"/>
  <c r="AC503" i="489"/>
  <c r="AC502" i="489"/>
  <c r="AC498" i="489"/>
  <c r="AC497" i="489"/>
  <c r="AC496" i="489"/>
  <c r="AC495" i="489"/>
  <c r="AC494" i="489"/>
  <c r="AC493" i="489"/>
  <c r="AC492" i="489"/>
  <c r="AC491" i="489"/>
  <c r="AC489" i="489"/>
  <c r="AC484" i="489"/>
  <c r="AC483" i="489"/>
  <c r="AC482" i="489"/>
  <c r="AC481" i="489"/>
  <c r="AC480" i="489"/>
  <c r="AC478" i="489"/>
  <c r="AC477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2" i="489"/>
  <c r="AC461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7" i="489"/>
  <c r="AC426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8" i="489"/>
  <c r="AC407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1" i="489"/>
  <c r="AC369" i="489"/>
  <c r="AC368" i="489"/>
  <c r="AC367" i="489"/>
  <c r="AC366" i="489"/>
  <c r="AC365" i="489"/>
  <c r="AC364" i="489"/>
  <c r="AC363" i="489"/>
  <c r="AC362" i="489"/>
  <c r="AC361" i="489"/>
  <c r="AC358" i="489"/>
  <c r="AC357" i="489"/>
  <c r="AC356" i="489"/>
  <c r="AC355" i="489"/>
  <c r="AC354" i="489"/>
  <c r="AC353" i="489"/>
  <c r="AC352" i="489"/>
  <c r="AC351" i="489"/>
  <c r="AC350" i="489"/>
  <c r="AC349" i="489"/>
  <c r="AC490" i="489" l="1"/>
  <c r="AC506" i="489"/>
  <c r="AC479" i="489"/>
  <c r="AC429" i="489"/>
  <c r="AC463" i="489" s="1"/>
  <c r="G463" i="489"/>
  <c r="AC507" i="489" l="1"/>
  <c r="K328" i="434" l="1" a="1"/>
  <c r="K328" i="434" s="1"/>
  <c r="K330" i="434" a="1"/>
  <c r="K330" i="434" s="1"/>
  <c r="K331" i="434" a="1"/>
  <c r="K331" i="434" s="1"/>
  <c r="K332" i="434" a="1"/>
  <c r="K332" i="434" s="1"/>
  <c r="K333" i="434" a="1"/>
  <c r="K333" i="434" s="1"/>
  <c r="K328" i="489" a="1"/>
  <c r="K328" i="489" s="1"/>
  <c r="K331" i="489" a="1"/>
  <c r="K331" i="489" s="1"/>
  <c r="K332" i="489" a="1"/>
  <c r="K332" i="489" s="1"/>
  <c r="K333" i="489" a="1"/>
  <c r="K333" i="489" s="1"/>
  <c r="H331" i="434"/>
  <c r="H332" i="434"/>
  <c r="H333" i="434"/>
  <c r="H331" i="489"/>
  <c r="H332" i="489"/>
  <c r="H333" i="489"/>
  <c r="K330" i="489" l="1" a="1"/>
  <c r="K330" i="489" s="1"/>
  <c r="AC67" i="489" l="1"/>
  <c r="AC30" i="489"/>
  <c r="K501" i="489" l="1" a="1"/>
  <c r="K501" i="489" s="1"/>
  <c r="K498" i="489" a="1"/>
  <c r="K498" i="489" s="1"/>
  <c r="V497" i="489"/>
  <c r="K497" i="489" a="1"/>
  <c r="K497" i="489" s="1"/>
  <c r="K493" i="489" a="1"/>
  <c r="K493" i="489" s="1"/>
  <c r="K492" i="489" a="1"/>
  <c r="K492" i="489" s="1"/>
  <c r="AA506" i="489"/>
  <c r="Y506" i="489"/>
  <c r="U506" i="489"/>
  <c r="S506" i="489"/>
  <c r="Q506" i="489"/>
  <c r="O506" i="489"/>
  <c r="K491" i="489" a="1"/>
  <c r="K491" i="489" s="1"/>
  <c r="V489" i="489"/>
  <c r="K489" i="489" a="1"/>
  <c r="K489" i="489" s="1"/>
  <c r="V484" i="489"/>
  <c r="K484" i="489" a="1"/>
  <c r="K484" i="489" s="1"/>
  <c r="K483" i="489" a="1"/>
  <c r="K483" i="489" s="1"/>
  <c r="K482" i="489" a="1"/>
  <c r="K482" i="489" s="1"/>
  <c r="K481" i="489" a="1"/>
  <c r="K481" i="489" s="1"/>
  <c r="Z490" i="489"/>
  <c r="X490" i="489"/>
  <c r="T490" i="489"/>
  <c r="P490" i="489"/>
  <c r="I490" i="489"/>
  <c r="V478" i="489"/>
  <c r="N478" i="489"/>
  <c r="K478" i="489" a="1"/>
  <c r="K478" i="489" s="1"/>
  <c r="V477" i="489"/>
  <c r="K477" i="489" a="1"/>
  <c r="K477" i="489" s="1"/>
  <c r="M477" i="489" s="1"/>
  <c r="V476" i="489"/>
  <c r="N476" i="489"/>
  <c r="K476" i="489" a="1"/>
  <c r="K476" i="489" s="1"/>
  <c r="V475" i="489"/>
  <c r="K475" i="489" a="1"/>
  <c r="K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M471" i="489" s="1"/>
  <c r="V470" i="489"/>
  <c r="N470" i="489"/>
  <c r="K470" i="489" a="1"/>
  <c r="K470" i="489" s="1"/>
  <c r="V469" i="489"/>
  <c r="K469" i="489" a="1"/>
  <c r="K469" i="489" s="1"/>
  <c r="K468" i="489" a="1"/>
  <c r="K468" i="489" s="1"/>
  <c r="V467" i="489"/>
  <c r="N467" i="489"/>
  <c r="K467" i="489" a="1"/>
  <c r="K467" i="489" s="1"/>
  <c r="V466" i="489"/>
  <c r="K466" i="489" a="1"/>
  <c r="K466" i="489" s="1"/>
  <c r="V465" i="489"/>
  <c r="N465" i="489"/>
  <c r="K465" i="489" a="1"/>
  <c r="K465" i="489" s="1"/>
  <c r="Z479" i="489"/>
  <c r="X479" i="489"/>
  <c r="U479" i="489"/>
  <c r="S479" i="489"/>
  <c r="Q479" i="489"/>
  <c r="O479" i="489"/>
  <c r="I479" i="489"/>
  <c r="V462" i="489"/>
  <c r="N462" i="489"/>
  <c r="K462" i="489" a="1"/>
  <c r="K462" i="489" s="1"/>
  <c r="M462" i="489" s="1"/>
  <c r="K461" i="489" a="1"/>
  <c r="K461" i="489" s="1"/>
  <c r="K460" i="489" a="1"/>
  <c r="K460" i="489" s="1"/>
  <c r="K459" i="489" a="1"/>
  <c r="K459" i="489" s="1"/>
  <c r="K458" i="489" a="1"/>
  <c r="K458" i="489" s="1"/>
  <c r="M458" i="489" s="1"/>
  <c r="K457" i="489" a="1"/>
  <c r="K457" i="489" s="1"/>
  <c r="M457" i="489" s="1"/>
  <c r="J456" i="489" a="1"/>
  <c r="J456" i="489" s="1"/>
  <c r="H456" i="489"/>
  <c r="K456" i="489" a="1"/>
  <c r="K456" i="489" s="1"/>
  <c r="M456" i="489" s="1"/>
  <c r="V455" i="489"/>
  <c r="N455" i="489"/>
  <c r="K455" i="489" a="1"/>
  <c r="K455" i="489" s="1"/>
  <c r="M455" i="489" s="1"/>
  <c r="K454" i="489" a="1"/>
  <c r="K454" i="489" s="1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7" i="489" a="1"/>
  <c r="K427" i="489" s="1"/>
  <c r="K426" i="489" a="1"/>
  <c r="K426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H413" i="489"/>
  <c r="K412" i="489" a="1"/>
  <c r="K412" i="489" s="1"/>
  <c r="K411" i="489" a="1"/>
  <c r="K411" i="489" s="1"/>
  <c r="M411" i="489" s="1"/>
  <c r="H410" i="489"/>
  <c r="K409" i="489"/>
  <c r="K409" i="489" a="1"/>
  <c r="H409" i="489"/>
  <c r="K408" i="489" a="1"/>
  <c r="K408" i="489" s="1"/>
  <c r="K407" i="489" a="1"/>
  <c r="K407" i="489" s="1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V389" i="489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K377" i="489" a="1"/>
  <c r="K377" i="489" s="1"/>
  <c r="K376" i="489" a="1"/>
  <c r="K376" i="489" s="1"/>
  <c r="K375" i="489" a="1"/>
  <c r="K375" i="489" s="1"/>
  <c r="V374" i="489"/>
  <c r="K374" i="489" a="1"/>
  <c r="K374" i="489" s="1"/>
  <c r="K372" i="489" a="1"/>
  <c r="K372" i="489" s="1"/>
  <c r="H372" i="489"/>
  <c r="AA428" i="489"/>
  <c r="Y428" i="489"/>
  <c r="V371" i="489"/>
  <c r="T428" i="489"/>
  <c r="R428" i="489"/>
  <c r="P428" i="489"/>
  <c r="N371" i="489"/>
  <c r="G428" i="489"/>
  <c r="K369" i="489" a="1"/>
  <c r="K369" i="489" s="1"/>
  <c r="K368" i="489" a="1"/>
  <c r="K368" i="489" s="1"/>
  <c r="K367" i="489" a="1"/>
  <c r="K367" i="489" s="1"/>
  <c r="K366" i="489" a="1"/>
  <c r="K366" i="489" s="1"/>
  <c r="K365" i="489" a="1"/>
  <c r="K365" i="489" s="1"/>
  <c r="K364" i="489" a="1"/>
  <c r="K364" i="489" s="1"/>
  <c r="V363" i="489"/>
  <c r="W363" i="489" s="1"/>
  <c r="K363" i="489" a="1"/>
  <c r="K363" i="489" s="1"/>
  <c r="V362" i="489"/>
  <c r="K362" i="489" a="1"/>
  <c r="K362" i="489" s="1"/>
  <c r="N361" i="489"/>
  <c r="K361" i="489" a="1"/>
  <c r="K361" i="489" s="1"/>
  <c r="V358" i="489"/>
  <c r="K358" i="489" a="1"/>
  <c r="K358" i="489" s="1"/>
  <c r="K357" i="489" a="1"/>
  <c r="K357" i="489" s="1"/>
  <c r="V356" i="489"/>
  <c r="K356" i="489" a="1"/>
  <c r="K356" i="489" s="1"/>
  <c r="N355" i="489"/>
  <c r="K355" i="489" a="1"/>
  <c r="K355" i="489" s="1"/>
  <c r="K354" i="489" a="1"/>
  <c r="K354" i="489" s="1"/>
  <c r="K353" i="489" a="1"/>
  <c r="K353" i="489" s="1"/>
  <c r="K352" i="489" a="1"/>
  <c r="K352" i="489" s="1"/>
  <c r="K351" i="489"/>
  <c r="V350" i="489"/>
  <c r="K350" i="489"/>
  <c r="AA370" i="489"/>
  <c r="Y370" i="489"/>
  <c r="V349" i="489"/>
  <c r="T370" i="489"/>
  <c r="R370" i="489"/>
  <c r="P370" i="489"/>
  <c r="I370" i="489"/>
  <c r="E341" i="489"/>
  <c r="I340" i="489"/>
  <c r="E340" i="489"/>
  <c r="I339" i="489"/>
  <c r="E339" i="489"/>
  <c r="I338" i="489"/>
  <c r="E338" i="489"/>
  <c r="I337" i="489"/>
  <c r="E337" i="489"/>
  <c r="C341" i="489"/>
  <c r="AC332" i="489"/>
  <c r="AC330" i="489"/>
  <c r="H330" i="489"/>
  <c r="AC328" i="489"/>
  <c r="AC324" i="489"/>
  <c r="V320" i="489"/>
  <c r="T334" i="489"/>
  <c r="R334" i="489"/>
  <c r="P334" i="489"/>
  <c r="N320" i="489"/>
  <c r="V318" i="489"/>
  <c r="W318" i="489" s="1"/>
  <c r="V313" i="489"/>
  <c r="N313" i="489"/>
  <c r="V312" i="489"/>
  <c r="W312" i="489" s="1"/>
  <c r="V311" i="489"/>
  <c r="N311" i="489"/>
  <c r="AC305" i="489"/>
  <c r="AC304" i="489"/>
  <c r="N298" i="489"/>
  <c r="V297" i="489"/>
  <c r="N296" i="489"/>
  <c r="V293" i="489"/>
  <c r="R308" i="489"/>
  <c r="P308" i="489"/>
  <c r="I308" i="489"/>
  <c r="L524" i="489" s="1"/>
  <c r="AC293" i="489"/>
  <c r="H290" i="489"/>
  <c r="V277" i="489"/>
  <c r="X343" i="489"/>
  <c r="N262" i="489"/>
  <c r="H262" i="489"/>
  <c r="V261" i="489"/>
  <c r="M242" i="489"/>
  <c r="X342" i="489"/>
  <c r="X341" i="489"/>
  <c r="X340" i="489"/>
  <c r="X337" i="489"/>
  <c r="H196" i="489"/>
  <c r="U199" i="489"/>
  <c r="S199" i="489"/>
  <c r="Q199" i="489"/>
  <c r="O199" i="489"/>
  <c r="E170" i="489"/>
  <c r="I169" i="489"/>
  <c r="E169" i="489"/>
  <c r="I168" i="489"/>
  <c r="E168" i="489"/>
  <c r="I167" i="489"/>
  <c r="E167" i="489"/>
  <c r="E166" i="489"/>
  <c r="V159" i="489"/>
  <c r="D159" i="489"/>
  <c r="V155" i="489"/>
  <c r="AC153" i="489"/>
  <c r="AC151" i="489"/>
  <c r="V149" i="489"/>
  <c r="U163" i="489"/>
  <c r="S163" i="489"/>
  <c r="Q163" i="489"/>
  <c r="O163" i="489"/>
  <c r="Q148" i="489"/>
  <c r="O148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1" i="489"/>
  <c r="X170" i="489"/>
  <c r="X169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6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6" i="434"/>
  <c r="H377" i="434"/>
  <c r="H378" i="434"/>
  <c r="H372" i="434"/>
  <c r="H373" i="434"/>
  <c r="K372" i="434" a="1"/>
  <c r="K372" i="434" s="1"/>
  <c r="K409" i="434" a="1"/>
  <c r="K409" i="434" s="1"/>
  <c r="H409" i="434"/>
  <c r="H67" i="434"/>
  <c r="H68" i="434"/>
  <c r="K67" i="434" a="1"/>
  <c r="K67" i="434" s="1"/>
  <c r="K30" i="434" a="1"/>
  <c r="K30" i="434" s="1"/>
  <c r="H30" i="434"/>
  <c r="H31" i="434"/>
  <c r="H36" i="434"/>
  <c r="H35" i="434"/>
  <c r="V492" i="489" l="1"/>
  <c r="W492" i="489" s="1"/>
  <c r="V62" i="489"/>
  <c r="V65" i="489"/>
  <c r="W65" i="489" s="1"/>
  <c r="W350" i="489"/>
  <c r="V494" i="489"/>
  <c r="N497" i="489"/>
  <c r="N261" i="489"/>
  <c r="I121" i="489"/>
  <c r="P121" i="489"/>
  <c r="R121" i="489"/>
  <c r="T121" i="489"/>
  <c r="X121" i="489"/>
  <c r="Z121" i="489"/>
  <c r="Y199" i="489"/>
  <c r="P257" i="489"/>
  <c r="R257" i="489"/>
  <c r="T257" i="489"/>
  <c r="X257" i="489"/>
  <c r="Z257" i="489"/>
  <c r="V210" i="489"/>
  <c r="V212" i="489"/>
  <c r="V214" i="489"/>
  <c r="V216" i="489"/>
  <c r="V218" i="489"/>
  <c r="I292" i="489"/>
  <c r="L523" i="489" s="1"/>
  <c r="P292" i="489"/>
  <c r="R292" i="489"/>
  <c r="T292" i="489"/>
  <c r="X292" i="489"/>
  <c r="Z292" i="489"/>
  <c r="N259" i="489"/>
  <c r="V260" i="489"/>
  <c r="W260" i="489" s="1"/>
  <c r="V262" i="489"/>
  <c r="W262" i="489" s="1"/>
  <c r="N263" i="489"/>
  <c r="V264" i="489"/>
  <c r="W264" i="489" s="1"/>
  <c r="N265" i="489"/>
  <c r="Y334" i="489"/>
  <c r="I137" i="489"/>
  <c r="V136" i="489"/>
  <c r="W136" i="489" s="1"/>
  <c r="P148" i="489"/>
  <c r="T148" i="489"/>
  <c r="X148" i="489"/>
  <c r="Z148" i="489"/>
  <c r="P163" i="489"/>
  <c r="R163" i="489"/>
  <c r="T163" i="489"/>
  <c r="Y163" i="489"/>
  <c r="AA163" i="489"/>
  <c r="V150" i="489"/>
  <c r="W150" i="489" s="1"/>
  <c r="V184" i="489"/>
  <c r="AA334" i="489"/>
  <c r="V498" i="489"/>
  <c r="W498" i="489" s="1"/>
  <c r="J480" i="489" a="1"/>
  <c r="J480" i="489" s="1"/>
  <c r="M482" i="489"/>
  <c r="V134" i="489"/>
  <c r="W134" i="489" s="1"/>
  <c r="S148" i="489"/>
  <c r="U148" i="489"/>
  <c r="Y148" i="489"/>
  <c r="AA148" i="489"/>
  <c r="V147" i="489"/>
  <c r="X163" i="489"/>
  <c r="Z163" i="489"/>
  <c r="M498" i="489"/>
  <c r="N392" i="489"/>
  <c r="M398" i="489"/>
  <c r="H480" i="489"/>
  <c r="M481" i="489"/>
  <c r="N481" i="489"/>
  <c r="V481" i="489"/>
  <c r="H482" i="489"/>
  <c r="J482" i="489" a="1"/>
  <c r="J482" i="489" s="1"/>
  <c r="M483" i="489"/>
  <c r="N483" i="489"/>
  <c r="V483" i="489"/>
  <c r="H484" i="489"/>
  <c r="N364" i="489"/>
  <c r="N276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501" i="489"/>
  <c r="J484" i="489" a="1"/>
  <c r="J484" i="489" s="1"/>
  <c r="M489" i="489"/>
  <c r="V373" i="489"/>
  <c r="W373" i="489" s="1"/>
  <c r="N374" i="489"/>
  <c r="V375" i="489"/>
  <c r="W375" i="489" s="1"/>
  <c r="N379" i="489"/>
  <c r="V380" i="489"/>
  <c r="W380" i="489" s="1"/>
  <c r="N381" i="489"/>
  <c r="N383" i="489"/>
  <c r="N385" i="489"/>
  <c r="N387" i="489"/>
  <c r="N389" i="489"/>
  <c r="N391" i="489"/>
  <c r="N393" i="489"/>
  <c r="H398" i="489"/>
  <c r="V399" i="489"/>
  <c r="V401" i="489"/>
  <c r="W401" i="489" s="1"/>
  <c r="V403" i="489"/>
  <c r="V405" i="489"/>
  <c r="W405" i="489" s="1"/>
  <c r="V407" i="489"/>
  <c r="H411" i="489"/>
  <c r="J411" i="489" a="1"/>
  <c r="J411" i="489" s="1"/>
  <c r="M412" i="489"/>
  <c r="N412" i="489"/>
  <c r="V412" i="489"/>
  <c r="W412" i="489" s="1"/>
  <c r="M414" i="489"/>
  <c r="M416" i="489"/>
  <c r="M418" i="489"/>
  <c r="M420" i="489"/>
  <c r="M422" i="489"/>
  <c r="N279" i="489"/>
  <c r="N281" i="489"/>
  <c r="N285" i="489"/>
  <c r="V289" i="489"/>
  <c r="V291" i="489"/>
  <c r="W291" i="489" s="1"/>
  <c r="V266" i="489"/>
  <c r="AA199" i="489"/>
  <c r="V124" i="489"/>
  <c r="V135" i="489"/>
  <c r="V140" i="489"/>
  <c r="V152" i="489"/>
  <c r="V154" i="489"/>
  <c r="V128" i="489"/>
  <c r="V119" i="489"/>
  <c r="V105" i="489"/>
  <c r="W105" i="489" s="1"/>
  <c r="V73" i="489"/>
  <c r="V9" i="489"/>
  <c r="V27" i="489"/>
  <c r="V14" i="489"/>
  <c r="W14" i="489" s="1"/>
  <c r="V268" i="489"/>
  <c r="V270" i="489"/>
  <c r="I199" i="489"/>
  <c r="P199" i="489"/>
  <c r="R199" i="489"/>
  <c r="T199" i="489"/>
  <c r="X199" i="489"/>
  <c r="Z199" i="489"/>
  <c r="V272" i="489"/>
  <c r="N280" i="489"/>
  <c r="V321" i="489"/>
  <c r="W321" i="489" s="1"/>
  <c r="V299" i="489"/>
  <c r="V301" i="489"/>
  <c r="W301" i="489" s="1"/>
  <c r="V303" i="489"/>
  <c r="N304" i="489"/>
  <c r="V305" i="489"/>
  <c r="W305" i="489" s="1"/>
  <c r="V307" i="489"/>
  <c r="W307" i="489" s="1"/>
  <c r="V274" i="489"/>
  <c r="N290" i="489"/>
  <c r="T308" i="489"/>
  <c r="Y308" i="489"/>
  <c r="AA308" i="489"/>
  <c r="V294" i="489"/>
  <c r="O257" i="489"/>
  <c r="Q257" i="489"/>
  <c r="S257" i="489"/>
  <c r="U257" i="489"/>
  <c r="Y257" i="489"/>
  <c r="AA257" i="489"/>
  <c r="V202" i="489"/>
  <c r="W202" i="489" s="1"/>
  <c r="V213" i="489"/>
  <c r="W213" i="489" s="1"/>
  <c r="V215" i="489"/>
  <c r="V219" i="489"/>
  <c r="N326" i="489"/>
  <c r="M423" i="489"/>
  <c r="M424" i="489"/>
  <c r="M425" i="489"/>
  <c r="M427" i="489"/>
  <c r="I463" i="489"/>
  <c r="P463" i="489"/>
  <c r="R463" i="489"/>
  <c r="T463" i="489"/>
  <c r="X463" i="489"/>
  <c r="Z463" i="489"/>
  <c r="M430" i="489"/>
  <c r="M432" i="489"/>
  <c r="M434" i="489"/>
  <c r="M436" i="489"/>
  <c r="N436" i="489"/>
  <c r="H437" i="489"/>
  <c r="J437" i="489" a="1"/>
  <c r="J437" i="489" s="1"/>
  <c r="M438" i="489"/>
  <c r="N438" i="489"/>
  <c r="V438" i="489"/>
  <c r="W438" i="489" s="1"/>
  <c r="H439" i="489"/>
  <c r="J439" i="489" a="1"/>
  <c r="J439" i="489" s="1"/>
  <c r="M440" i="489"/>
  <c r="N440" i="489"/>
  <c r="V440" i="489"/>
  <c r="H441" i="489"/>
  <c r="J441" i="489" a="1"/>
  <c r="J441" i="489" s="1"/>
  <c r="M442" i="489"/>
  <c r="N442" i="489"/>
  <c r="V442" i="489"/>
  <c r="W442" i="489" s="1"/>
  <c r="H443" i="489"/>
  <c r="J443" i="489" a="1"/>
  <c r="J443" i="489" s="1"/>
  <c r="M444" i="489"/>
  <c r="N444" i="489"/>
  <c r="V444" i="489"/>
  <c r="H445" i="489"/>
  <c r="J445" i="489" a="1"/>
  <c r="J445" i="489" s="1"/>
  <c r="M446" i="489"/>
  <c r="N446" i="489"/>
  <c r="V446" i="489"/>
  <c r="W446" i="489" s="1"/>
  <c r="H447" i="489"/>
  <c r="J447" i="489" a="1"/>
  <c r="J447" i="489" s="1"/>
  <c r="M448" i="489"/>
  <c r="N448" i="489"/>
  <c r="V448" i="489"/>
  <c r="H449" i="489"/>
  <c r="M450" i="489"/>
  <c r="N450" i="489"/>
  <c r="M461" i="489"/>
  <c r="N350" i="489"/>
  <c r="V382" i="489"/>
  <c r="V384" i="489"/>
  <c r="W384" i="489" s="1"/>
  <c r="V386" i="489"/>
  <c r="V388" i="489"/>
  <c r="W388" i="489" s="1"/>
  <c r="V390" i="489"/>
  <c r="W390" i="489" s="1"/>
  <c r="N394" i="489"/>
  <c r="M396" i="489"/>
  <c r="N399" i="489"/>
  <c r="N401" i="489"/>
  <c r="N403" i="489"/>
  <c r="N405" i="489"/>
  <c r="W484" i="489"/>
  <c r="W489" i="489"/>
  <c r="K200" i="489" a="1"/>
  <c r="K200" i="489" s="1"/>
  <c r="AC200" i="489"/>
  <c r="H201" i="489"/>
  <c r="AC201" i="489"/>
  <c r="K202" i="489" a="1"/>
  <c r="K202" i="489" s="1"/>
  <c r="AC202" i="489"/>
  <c r="K203" i="489" a="1"/>
  <c r="K203" i="489" s="1"/>
  <c r="M203" i="489" s="1"/>
  <c r="AC203" i="489"/>
  <c r="K204" i="489" a="1"/>
  <c r="K204" i="489" s="1"/>
  <c r="M204" i="489" s="1"/>
  <c r="AC204" i="489"/>
  <c r="AC205" i="489"/>
  <c r="AC206" i="489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K237" i="489" a="1"/>
  <c r="K237" i="489" s="1"/>
  <c r="AC237" i="489"/>
  <c r="H238" i="489"/>
  <c r="AC238" i="489"/>
  <c r="K239" i="489" a="1"/>
  <c r="K239" i="489" s="1"/>
  <c r="AC239" i="489"/>
  <c r="K240" i="489" a="1"/>
  <c r="K240" i="489" s="1"/>
  <c r="AC240" i="489"/>
  <c r="K241" i="489" a="1"/>
  <c r="K241" i="489" s="1"/>
  <c r="AC241" i="489"/>
  <c r="AC242" i="489"/>
  <c r="K243" i="489" a="1"/>
  <c r="K243" i="489" s="1"/>
  <c r="M243" i="489" s="1"/>
  <c r="AC243" i="489"/>
  <c r="K244" i="489" a="1"/>
  <c r="K244" i="489" s="1"/>
  <c r="AC244" i="489"/>
  <c r="K245" i="489" a="1"/>
  <c r="K245" i="489" s="1"/>
  <c r="AC245" i="489"/>
  <c r="K246" i="489" a="1"/>
  <c r="K246" i="489" s="1"/>
  <c r="M246" i="489" s="1"/>
  <c r="AC246" i="489"/>
  <c r="K247" i="489" a="1"/>
  <c r="K247" i="489" s="1"/>
  <c r="M247" i="489" s="1"/>
  <c r="AC247" i="489"/>
  <c r="K248" i="489" a="1"/>
  <c r="K248" i="489" s="1"/>
  <c r="AC248" i="489"/>
  <c r="K249" i="489" a="1"/>
  <c r="K249" i="489" s="1"/>
  <c r="AC249" i="489"/>
  <c r="AC255" i="489"/>
  <c r="G292" i="489"/>
  <c r="AC258" i="489"/>
  <c r="K260" i="489" a="1"/>
  <c r="K260" i="489" s="1"/>
  <c r="AC260" i="489"/>
  <c r="K262" i="489" a="1"/>
  <c r="K262" i="489" s="1"/>
  <c r="AC262" i="489"/>
  <c r="K264" i="489" a="1"/>
  <c r="K264" i="489" s="1"/>
  <c r="AC264" i="489"/>
  <c r="K266" i="489" a="1"/>
  <c r="K266" i="489" s="1"/>
  <c r="AC266" i="489"/>
  <c r="K268" i="489" a="1"/>
  <c r="K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AC274" i="489"/>
  <c r="K276" i="489" a="1"/>
  <c r="K276" i="489" s="1"/>
  <c r="AC276" i="489"/>
  <c r="K277" i="489" a="1"/>
  <c r="K277" i="489" s="1"/>
  <c r="AC277" i="489"/>
  <c r="K278" i="489" a="1"/>
  <c r="K278" i="489" s="1"/>
  <c r="AC278" i="489"/>
  <c r="K283" i="489" a="1"/>
  <c r="K283" i="489" s="1"/>
  <c r="AC283" i="489"/>
  <c r="K285" i="489" a="1"/>
  <c r="K285" i="489" s="1"/>
  <c r="AC285" i="489"/>
  <c r="H286" i="489"/>
  <c r="AC286" i="489"/>
  <c r="H287" i="489"/>
  <c r="AC287" i="489"/>
  <c r="H288" i="489"/>
  <c r="AC288" i="489"/>
  <c r="K289" i="489" a="1"/>
  <c r="K289" i="489" s="1"/>
  <c r="AC289" i="489"/>
  <c r="K290" i="489" a="1"/>
  <c r="K290" i="489" s="1"/>
  <c r="AC290" i="489"/>
  <c r="K291" i="489" a="1"/>
  <c r="K291" i="489" s="1"/>
  <c r="AC291" i="489"/>
  <c r="K294" i="489" a="1"/>
  <c r="K294" i="489" s="1"/>
  <c r="AC294" i="489"/>
  <c r="K296" i="489" a="1"/>
  <c r="K296" i="489" s="1"/>
  <c r="AC296" i="489"/>
  <c r="K297" i="489" a="1"/>
  <c r="K297" i="489" s="1"/>
  <c r="AC297" i="489"/>
  <c r="K299" i="489" a="1"/>
  <c r="K299" i="489" s="1"/>
  <c r="AC299" i="489"/>
  <c r="K301" i="489" a="1"/>
  <c r="K301" i="489" s="1"/>
  <c r="AC301" i="489"/>
  <c r="K303" i="489" a="1"/>
  <c r="K303" i="489" s="1"/>
  <c r="AC303" i="489"/>
  <c r="K307" i="489" a="1"/>
  <c r="K307" i="489" s="1"/>
  <c r="AC307" i="489"/>
  <c r="K310" i="489" a="1"/>
  <c r="K310" i="489" s="1"/>
  <c r="AC310" i="489"/>
  <c r="K312" i="489" a="1"/>
  <c r="K312" i="489" s="1"/>
  <c r="AC312" i="489"/>
  <c r="K318" i="489" a="1"/>
  <c r="K318" i="489" s="1"/>
  <c r="AC318" i="489"/>
  <c r="K321" i="489" a="1"/>
  <c r="K321" i="489" s="1"/>
  <c r="AC321" i="489"/>
  <c r="K323" i="489" a="1"/>
  <c r="K323" i="489" s="1"/>
  <c r="M323" i="489" s="1"/>
  <c r="AC323" i="489"/>
  <c r="K325" i="489" a="1"/>
  <c r="K325" i="489" s="1"/>
  <c r="M325" i="489" s="1"/>
  <c r="AC325" i="489"/>
  <c r="V228" i="489"/>
  <c r="V234" i="489"/>
  <c r="V236" i="489"/>
  <c r="V237" i="489"/>
  <c r="W237" i="489" s="1"/>
  <c r="V240" i="489"/>
  <c r="V241" i="489"/>
  <c r="W241" i="489" s="1"/>
  <c r="V243" i="489"/>
  <c r="V244" i="489"/>
  <c r="W244" i="489" s="1"/>
  <c r="V245" i="489"/>
  <c r="V246" i="489"/>
  <c r="O292" i="489"/>
  <c r="Q292" i="489"/>
  <c r="S292" i="489"/>
  <c r="U292" i="489"/>
  <c r="Y292" i="489"/>
  <c r="AA292" i="489"/>
  <c r="V267" i="489"/>
  <c r="V269" i="489"/>
  <c r="W269" i="489" s="1"/>
  <c r="V271" i="489"/>
  <c r="V273" i="489"/>
  <c r="W273" i="489" s="1"/>
  <c r="N274" i="489"/>
  <c r="V275" i="489"/>
  <c r="W275" i="489" s="1"/>
  <c r="V276" i="489"/>
  <c r="N283" i="489"/>
  <c r="V284" i="489"/>
  <c r="V285" i="489"/>
  <c r="V295" i="489"/>
  <c r="V296" i="489"/>
  <c r="V298" i="489"/>
  <c r="V300" i="489"/>
  <c r="N301" i="489"/>
  <c r="V306" i="489"/>
  <c r="W306" i="489" s="1"/>
  <c r="P319" i="489"/>
  <c r="T319" i="489"/>
  <c r="V309" i="489"/>
  <c r="V322" i="489"/>
  <c r="K250" i="489" a="1"/>
  <c r="K250" i="489" s="1"/>
  <c r="AC250" i="489"/>
  <c r="AC251" i="489"/>
  <c r="AC252" i="489"/>
  <c r="AC253" i="489"/>
  <c r="AC254" i="489"/>
  <c r="AC256" i="489"/>
  <c r="K259" i="489" a="1"/>
  <c r="K259" i="489" s="1"/>
  <c r="M259" i="489" s="1"/>
  <c r="AC259" i="489"/>
  <c r="K261" i="489" a="1"/>
  <c r="K261" i="489" s="1"/>
  <c r="M261" i="489" s="1"/>
  <c r="AC261" i="489"/>
  <c r="K263" i="489" a="1"/>
  <c r="K263" i="489" s="1"/>
  <c r="M263" i="489" s="1"/>
  <c r="AC263" i="489"/>
  <c r="K265" i="489" a="1"/>
  <c r="K265" i="489" s="1"/>
  <c r="AC265" i="489"/>
  <c r="K267" i="489" a="1"/>
  <c r="K267" i="489" s="1"/>
  <c r="M267" i="489" s="1"/>
  <c r="AC267" i="489"/>
  <c r="K269" i="489" a="1"/>
  <c r="K269" i="489" s="1"/>
  <c r="M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M275" i="489" s="1"/>
  <c r="AC275" i="489"/>
  <c r="K279" i="489" a="1"/>
  <c r="K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2" i="489" a="1"/>
  <c r="K282" i="489" s="1"/>
  <c r="M282" i="489" s="1"/>
  <c r="AC282" i="489"/>
  <c r="K284" i="489" a="1"/>
  <c r="K284" i="489" s="1"/>
  <c r="M284" i="489" s="1"/>
  <c r="AC284" i="489"/>
  <c r="K295" i="489" a="1"/>
  <c r="K295" i="489" s="1"/>
  <c r="M295" i="489" s="1"/>
  <c r="AC295" i="489"/>
  <c r="K298" i="489" a="1"/>
  <c r="K298" i="489" s="1"/>
  <c r="M298" i="489" s="1"/>
  <c r="AC298" i="489"/>
  <c r="K300" i="489" a="1"/>
  <c r="K300" i="489" s="1"/>
  <c r="AC300" i="489"/>
  <c r="K302" i="489" a="1"/>
  <c r="K302" i="489" s="1"/>
  <c r="M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M311" i="489" s="1"/>
  <c r="AC311" i="489"/>
  <c r="K313" i="489" a="1"/>
  <c r="K313" i="489" s="1"/>
  <c r="M313" i="489" s="1"/>
  <c r="AC313" i="489"/>
  <c r="G334" i="489"/>
  <c r="AC320" i="489"/>
  <c r="K322" i="489" a="1"/>
  <c r="K322" i="489" s="1"/>
  <c r="M322" i="489" s="1"/>
  <c r="AC322" i="489"/>
  <c r="K326" i="489" a="1"/>
  <c r="K326" i="489" s="1"/>
  <c r="M326" i="489" s="1"/>
  <c r="AC326" i="489"/>
  <c r="AC331" i="489"/>
  <c r="AC333" i="489"/>
  <c r="V326" i="489"/>
  <c r="W326" i="489" s="1"/>
  <c r="K197" i="489" a="1"/>
  <c r="K197" i="489" s="1"/>
  <c r="AC197" i="489"/>
  <c r="K198" i="489" a="1"/>
  <c r="K198" i="489" s="1"/>
  <c r="AC198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K196" i="489" a="1"/>
  <c r="K196" i="489" s="1"/>
  <c r="AC196" i="489"/>
  <c r="V185" i="489"/>
  <c r="V186" i="489"/>
  <c r="W186" i="489" s="1"/>
  <c r="V187" i="489"/>
  <c r="V189" i="489"/>
  <c r="W189" i="489" s="1"/>
  <c r="G199" i="489"/>
  <c r="J521" i="489" s="1"/>
  <c r="AC178" i="489"/>
  <c r="K179" i="489" a="1"/>
  <c r="K179" i="489" s="1"/>
  <c r="AC179" i="489"/>
  <c r="K180" i="489" a="1"/>
  <c r="K180" i="489" s="1"/>
  <c r="AC180" i="489"/>
  <c r="K181" i="489" a="1"/>
  <c r="K181" i="489" s="1"/>
  <c r="M181" i="489" s="1"/>
  <c r="AC181" i="489"/>
  <c r="K182" i="489" a="1"/>
  <c r="K182" i="489" s="1"/>
  <c r="M182" i="489" s="1"/>
  <c r="AC182" i="489"/>
  <c r="K183" i="489" a="1"/>
  <c r="K183" i="489" s="1"/>
  <c r="AC183" i="489"/>
  <c r="V179" i="489"/>
  <c r="V180" i="489"/>
  <c r="W180" i="489" s="1"/>
  <c r="V181" i="489"/>
  <c r="V182" i="489"/>
  <c r="W182" i="489" s="1"/>
  <c r="V183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2" i="489" a="1"/>
  <c r="K152" i="489" s="1"/>
  <c r="AC152" i="489"/>
  <c r="K154" i="489" a="1"/>
  <c r="K154" i="489" s="1"/>
  <c r="M154" i="489" s="1"/>
  <c r="AC154" i="489"/>
  <c r="K155" i="489" a="1"/>
  <c r="K155" i="489" s="1"/>
  <c r="AC155" i="489"/>
  <c r="K161" i="489" a="1"/>
  <c r="K161" i="489" s="1"/>
  <c r="M161" i="489" s="1"/>
  <c r="AC161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1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7" i="489" a="1"/>
  <c r="K147" i="489" s="1"/>
  <c r="M147" i="489" s="1"/>
  <c r="AC147" i="489"/>
  <c r="K149" i="489" a="1"/>
  <c r="K149" i="489" s="1"/>
  <c r="AC149" i="489"/>
  <c r="K150" i="489" a="1"/>
  <c r="K150" i="489" s="1"/>
  <c r="M150" i="489" s="1"/>
  <c r="AC150" i="489"/>
  <c r="K158" i="489" a="1"/>
  <c r="K158" i="489" s="1"/>
  <c r="M158" i="489" s="1"/>
  <c r="AC158" i="489"/>
  <c r="K159" i="489" a="1"/>
  <c r="K159" i="489" s="1"/>
  <c r="AC159" i="489"/>
  <c r="K160" i="489" a="1"/>
  <c r="K160" i="489" s="1"/>
  <c r="M160" i="489" s="1"/>
  <c r="AC160" i="489"/>
  <c r="V75" i="489"/>
  <c r="W75" i="489" s="1"/>
  <c r="V131" i="489"/>
  <c r="V133" i="489"/>
  <c r="W133" i="489" s="1"/>
  <c r="V158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4" i="489" a="1"/>
  <c r="K184" i="489" s="1"/>
  <c r="M184" i="489" s="1"/>
  <c r="AC184" i="489"/>
  <c r="V12" i="489"/>
  <c r="W12" i="489" s="1"/>
  <c r="V13" i="489"/>
  <c r="M15" i="489"/>
  <c r="V25" i="489"/>
  <c r="V26" i="489"/>
  <c r="W26" i="489" s="1"/>
  <c r="V190" i="489"/>
  <c r="V191" i="489"/>
  <c r="W191" i="489" s="1"/>
  <c r="V192" i="489"/>
  <c r="V208" i="489"/>
  <c r="W208" i="489" s="1"/>
  <c r="V209" i="489"/>
  <c r="M211" i="489"/>
  <c r="N297" i="489"/>
  <c r="V302" i="489"/>
  <c r="W302" i="489" s="1"/>
  <c r="V304" i="489"/>
  <c r="Y319" i="489"/>
  <c r="AA319" i="489"/>
  <c r="V310" i="489"/>
  <c r="W310" i="489" s="1"/>
  <c r="N322" i="489"/>
  <c r="V323" i="489"/>
  <c r="W323" i="489" s="1"/>
  <c r="H350" i="489"/>
  <c r="N352" i="489"/>
  <c r="V352" i="489"/>
  <c r="W352" i="489" s="1"/>
  <c r="H353" i="489"/>
  <c r="J353" i="489" a="1"/>
  <c r="J353" i="489" s="1"/>
  <c r="N354" i="489"/>
  <c r="V355" i="489"/>
  <c r="W355" i="489" s="1"/>
  <c r="V357" i="489"/>
  <c r="W357" i="489" s="1"/>
  <c r="H374" i="489"/>
  <c r="H396" i="489"/>
  <c r="V400" i="489"/>
  <c r="W400" i="489" s="1"/>
  <c r="V402" i="489"/>
  <c r="W402" i="489" s="1"/>
  <c r="V404" i="489"/>
  <c r="W404" i="489" s="1"/>
  <c r="V406" i="489"/>
  <c r="W406" i="489" s="1"/>
  <c r="N407" i="489"/>
  <c r="V408" i="489"/>
  <c r="W408" i="489" s="1"/>
  <c r="H414" i="489"/>
  <c r="J414" i="489" a="1"/>
  <c r="J414" i="489" s="1"/>
  <c r="M415" i="489"/>
  <c r="N415" i="489"/>
  <c r="V415" i="489"/>
  <c r="W415" i="489" s="1"/>
  <c r="H416" i="489"/>
  <c r="J416" i="489" a="1"/>
  <c r="J416" i="489" s="1"/>
  <c r="M417" i="489"/>
  <c r="N417" i="489"/>
  <c r="M459" i="489"/>
  <c r="M460" i="489"/>
  <c r="N460" i="489"/>
  <c r="H461" i="489"/>
  <c r="V468" i="489"/>
  <c r="W468" i="489" s="1"/>
  <c r="G490" i="489"/>
  <c r="J490" i="489" s="1" a="1"/>
  <c r="J490" i="489" s="1"/>
  <c r="O490" i="489"/>
  <c r="Q490" i="489"/>
  <c r="S490" i="489"/>
  <c r="U490" i="489"/>
  <c r="Y490" i="489"/>
  <c r="AA490" i="489"/>
  <c r="P506" i="489"/>
  <c r="R506" i="489"/>
  <c r="T506" i="489"/>
  <c r="X506" i="489"/>
  <c r="Z506" i="489"/>
  <c r="V60" i="489"/>
  <c r="V61" i="489"/>
  <c r="W61" i="489" s="1"/>
  <c r="V229" i="489"/>
  <c r="W229" i="489" s="1"/>
  <c r="V230" i="489"/>
  <c r="W230" i="489" s="1"/>
  <c r="V232" i="489"/>
  <c r="W232" i="489" s="1"/>
  <c r="V233" i="489"/>
  <c r="W233" i="489" s="1"/>
  <c r="W266" i="489"/>
  <c r="W299" i="489"/>
  <c r="H451" i="489"/>
  <c r="M452" i="489"/>
  <c r="N452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9" i="489"/>
  <c r="W181" i="489"/>
  <c r="W183" i="489"/>
  <c r="W184" i="489"/>
  <c r="V188" i="489"/>
  <c r="W188" i="489" s="1"/>
  <c r="V203" i="489"/>
  <c r="W203" i="489" s="1"/>
  <c r="V204" i="489"/>
  <c r="W204" i="489" s="1"/>
  <c r="V211" i="489"/>
  <c r="W211" i="489" s="1"/>
  <c r="M213" i="489"/>
  <c r="W215" i="489"/>
  <c r="M217" i="489"/>
  <c r="W219" i="489"/>
  <c r="W240" i="489"/>
  <c r="W245" i="489"/>
  <c r="V259" i="489"/>
  <c r="W259" i="489" s="1"/>
  <c r="N260" i="489"/>
  <c r="V263" i="489"/>
  <c r="W263" i="489" s="1"/>
  <c r="N264" i="489"/>
  <c r="N266" i="489"/>
  <c r="H270" i="489"/>
  <c r="N270" i="489"/>
  <c r="W271" i="489"/>
  <c r="N272" i="489"/>
  <c r="H275" i="489"/>
  <c r="N275" i="489"/>
  <c r="W284" i="489"/>
  <c r="W289" i="489"/>
  <c r="W294" i="489"/>
  <c r="N295" i="489"/>
  <c r="W297" i="489"/>
  <c r="H300" i="489"/>
  <c r="N300" i="489"/>
  <c r="N302" i="489"/>
  <c r="W303" i="489"/>
  <c r="W309" i="489"/>
  <c r="J325" i="489" a="1"/>
  <c r="J325" i="489" s="1"/>
  <c r="W356" i="489"/>
  <c r="W358" i="489"/>
  <c r="N380" i="489"/>
  <c r="N382" i="489"/>
  <c r="N384" i="489"/>
  <c r="N386" i="489"/>
  <c r="N388" i="489"/>
  <c r="N390" i="489"/>
  <c r="N400" i="489"/>
  <c r="N402" i="489"/>
  <c r="N404" i="489"/>
  <c r="N406" i="489"/>
  <c r="N408" i="489"/>
  <c r="N411" i="489"/>
  <c r="V411" i="489"/>
  <c r="W411" i="489" s="1"/>
  <c r="H412" i="489"/>
  <c r="J412" i="489" a="1"/>
  <c r="J412" i="489" s="1"/>
  <c r="N414" i="489"/>
  <c r="V414" i="489"/>
  <c r="W414" i="489" s="1"/>
  <c r="H415" i="489"/>
  <c r="J415" i="489" a="1"/>
  <c r="J415" i="489" s="1"/>
  <c r="N416" i="489"/>
  <c r="V416" i="489"/>
  <c r="W416" i="489" s="1"/>
  <c r="H417" i="489"/>
  <c r="J417" i="489" a="1"/>
  <c r="J417" i="489" s="1"/>
  <c r="W440" i="489"/>
  <c r="W444" i="489"/>
  <c r="W448" i="489"/>
  <c r="H453" i="489"/>
  <c r="M454" i="489"/>
  <c r="N454" i="489"/>
  <c r="H455" i="489"/>
  <c r="J455" i="489" a="1"/>
  <c r="J455" i="489" s="1"/>
  <c r="N456" i="489"/>
  <c r="V456" i="489"/>
  <c r="W456" i="489" s="1"/>
  <c r="H457" i="489"/>
  <c r="H458" i="489"/>
  <c r="H459" i="489"/>
  <c r="H460" i="489"/>
  <c r="J460" i="489" a="1"/>
  <c r="J460" i="489" s="1"/>
  <c r="N461" i="489"/>
  <c r="V461" i="489"/>
  <c r="W461" i="489" s="1"/>
  <c r="H462" i="489"/>
  <c r="J462" i="489" a="1"/>
  <c r="J462" i="489" s="1"/>
  <c r="N466" i="489"/>
  <c r="N468" i="489"/>
  <c r="W469" i="489"/>
  <c r="W471" i="489"/>
  <c r="M473" i="489"/>
  <c r="W473" i="489"/>
  <c r="M475" i="489"/>
  <c r="W475" i="489"/>
  <c r="W477" i="489"/>
  <c r="W481" i="489"/>
  <c r="W483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8" i="489"/>
  <c r="W190" i="489"/>
  <c r="W192" i="489"/>
  <c r="V193" i="489"/>
  <c r="W193" i="489" s="1"/>
  <c r="V194" i="489"/>
  <c r="W194" i="489" s="1"/>
  <c r="M200" i="489"/>
  <c r="W209" i="489"/>
  <c r="M215" i="489"/>
  <c r="V217" i="489"/>
  <c r="W217" i="489" s="1"/>
  <c r="M219" i="489"/>
  <c r="V231" i="489"/>
  <c r="W231" i="489" s="1"/>
  <c r="V235" i="489"/>
  <c r="W235" i="489" s="1"/>
  <c r="W243" i="489"/>
  <c r="W270" i="489"/>
  <c r="N271" i="489"/>
  <c r="W272" i="489"/>
  <c r="N273" i="489"/>
  <c r="W277" i="489"/>
  <c r="N282" i="489"/>
  <c r="N284" i="489"/>
  <c r="V290" i="489"/>
  <c r="W290" i="489" s="1"/>
  <c r="N294" i="489"/>
  <c r="H297" i="489"/>
  <c r="W300" i="489"/>
  <c r="N303" i="489"/>
  <c r="N310" i="489"/>
  <c r="N312" i="489"/>
  <c r="N318" i="489"/>
  <c r="N321" i="489"/>
  <c r="N323" i="489"/>
  <c r="N325" i="489"/>
  <c r="V325" i="489"/>
  <c r="W325" i="489" s="1"/>
  <c r="J326" i="489" a="1"/>
  <c r="J326" i="489" s="1"/>
  <c r="J330" i="489" a="1"/>
  <c r="J330" i="489" s="1"/>
  <c r="M330" i="489"/>
  <c r="V354" i="489"/>
  <c r="W354" i="489" s="1"/>
  <c r="H356" i="489"/>
  <c r="N356" i="489"/>
  <c r="H358" i="489"/>
  <c r="N358" i="489"/>
  <c r="V361" i="489"/>
  <c r="W361" i="489" s="1"/>
  <c r="N363" i="489"/>
  <c r="V364" i="489"/>
  <c r="W364" i="489" s="1"/>
  <c r="W374" i="489"/>
  <c r="W382" i="489"/>
  <c r="W386" i="489"/>
  <c r="V417" i="489"/>
  <c r="W417" i="489" s="1"/>
  <c r="H418" i="489"/>
  <c r="H420" i="489"/>
  <c r="H422" i="489"/>
  <c r="H423" i="489"/>
  <c r="H424" i="489"/>
  <c r="H425" i="489"/>
  <c r="H427" i="489"/>
  <c r="M431" i="489"/>
  <c r="M433" i="489"/>
  <c r="M435" i="489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N447" i="489"/>
  <c r="V447" i="489"/>
  <c r="W447" i="489" s="1"/>
  <c r="H448" i="489"/>
  <c r="J448" i="489" a="1"/>
  <c r="J448" i="489" s="1"/>
  <c r="W455" i="489"/>
  <c r="V460" i="489"/>
  <c r="W460" i="489" s="1"/>
  <c r="J461" i="489" a="1"/>
  <c r="J461" i="489" s="1"/>
  <c r="W462" i="489"/>
  <c r="W466" i="489"/>
  <c r="N469" i="489"/>
  <c r="N471" i="489"/>
  <c r="N473" i="489"/>
  <c r="N475" i="489"/>
  <c r="N477" i="489"/>
  <c r="H481" i="489"/>
  <c r="J481" i="489" a="1"/>
  <c r="J481" i="489" s="1"/>
  <c r="N482" i="489"/>
  <c r="V482" i="489"/>
  <c r="W482" i="489" s="1"/>
  <c r="H483" i="489"/>
  <c r="J483" i="489" a="1"/>
  <c r="J483" i="489" s="1"/>
  <c r="N489" i="489"/>
  <c r="N492" i="489"/>
  <c r="W494" i="489"/>
  <c r="N498" i="489"/>
  <c r="K305" i="489" a="1"/>
  <c r="K305" i="489" s="1"/>
  <c r="M305" i="489" s="1"/>
  <c r="H305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7" i="489"/>
  <c r="W152" i="489"/>
  <c r="W159" i="489"/>
  <c r="C170" i="489"/>
  <c r="G170" i="489"/>
  <c r="W185" i="489"/>
  <c r="W187" i="489"/>
  <c r="M188" i="489"/>
  <c r="M190" i="489"/>
  <c r="M192" i="489"/>
  <c r="M197" i="489"/>
  <c r="M198" i="489"/>
  <c r="M209" i="489"/>
  <c r="W210" i="489"/>
  <c r="W212" i="489"/>
  <c r="W214" i="489"/>
  <c r="W216" i="489"/>
  <c r="W218" i="489"/>
  <c r="W228" i="489"/>
  <c r="M229" i="489"/>
  <c r="M231" i="489"/>
  <c r="M233" i="489"/>
  <c r="W234" i="489"/>
  <c r="M235" i="489"/>
  <c r="W236" i="489"/>
  <c r="M237" i="489"/>
  <c r="W261" i="489"/>
  <c r="H267" i="489"/>
  <c r="N267" i="489"/>
  <c r="N268" i="489"/>
  <c r="N269" i="489"/>
  <c r="M274" i="489"/>
  <c r="N277" i="489"/>
  <c r="N278" i="489"/>
  <c r="M279" i="489"/>
  <c r="M285" i="489"/>
  <c r="N289" i="489"/>
  <c r="H291" i="489"/>
  <c r="N291" i="489"/>
  <c r="G308" i="489"/>
  <c r="O308" i="489"/>
  <c r="Q308" i="489"/>
  <c r="W295" i="489"/>
  <c r="W296" i="489"/>
  <c r="W304" i="489"/>
  <c r="K304" i="489" a="1"/>
  <c r="K304" i="489" s="1"/>
  <c r="H304" i="489"/>
  <c r="M332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1" i="489"/>
  <c r="W154" i="489"/>
  <c r="W155" i="489"/>
  <c r="W158" i="489"/>
  <c r="M179" i="489"/>
  <c r="M183" i="489"/>
  <c r="H193" i="489"/>
  <c r="H194" i="489"/>
  <c r="V200" i="489"/>
  <c r="W246" i="489"/>
  <c r="N258" i="489"/>
  <c r="V258" i="489"/>
  <c r="M266" i="489"/>
  <c r="W267" i="489"/>
  <c r="W268" i="489"/>
  <c r="W274" i="489"/>
  <c r="W276" i="489"/>
  <c r="W285" i="489"/>
  <c r="W298" i="489"/>
  <c r="W311" i="489"/>
  <c r="W313" i="489"/>
  <c r="W320" i="489"/>
  <c r="W322" i="489"/>
  <c r="S308" i="489"/>
  <c r="U308" i="489"/>
  <c r="X308" i="489"/>
  <c r="Z308" i="489"/>
  <c r="N299" i="489"/>
  <c r="N305" i="489"/>
  <c r="N306" i="489"/>
  <c r="N307" i="489"/>
  <c r="O319" i="489"/>
  <c r="Q319" i="489"/>
  <c r="S319" i="489"/>
  <c r="U319" i="489"/>
  <c r="X319" i="489"/>
  <c r="Z319" i="489"/>
  <c r="I334" i="489"/>
  <c r="L525" i="489" s="1"/>
  <c r="O334" i="489"/>
  <c r="O335" i="489" s="1"/>
  <c r="Q334" i="489"/>
  <c r="S334" i="489"/>
  <c r="U334" i="489"/>
  <c r="X334" i="489"/>
  <c r="Z334" i="489"/>
  <c r="N330" i="489"/>
  <c r="V330" i="489"/>
  <c r="W330" i="489" s="1"/>
  <c r="G370" i="489"/>
  <c r="J370" i="489" s="1" a="1"/>
  <c r="J370" i="489" s="1"/>
  <c r="O370" i="489"/>
  <c r="Q370" i="489"/>
  <c r="S370" i="489"/>
  <c r="U370" i="489"/>
  <c r="X370" i="489"/>
  <c r="Z370" i="489"/>
  <c r="N351" i="489"/>
  <c r="V351" i="489"/>
  <c r="W351" i="489" s="1"/>
  <c r="H352" i="489"/>
  <c r="J352" i="489" a="1"/>
  <c r="J352" i="489" s="1"/>
  <c r="N353" i="489"/>
  <c r="V353" i="489"/>
  <c r="W353" i="489" s="1"/>
  <c r="H354" i="489"/>
  <c r="J354" i="489" a="1"/>
  <c r="J354" i="489" s="1"/>
  <c r="M355" i="489"/>
  <c r="H357" i="489"/>
  <c r="N357" i="489"/>
  <c r="M361" i="489"/>
  <c r="N362" i="489"/>
  <c r="H364" i="489"/>
  <c r="M365" i="489"/>
  <c r="M367" i="489"/>
  <c r="H369" i="489"/>
  <c r="N369" i="489"/>
  <c r="V369" i="489"/>
  <c r="W369" i="489" s="1"/>
  <c r="I428" i="489"/>
  <c r="L528" i="489" s="1"/>
  <c r="Q428" i="489"/>
  <c r="S428" i="489"/>
  <c r="U428" i="489"/>
  <c r="X428" i="489"/>
  <c r="Z428" i="489"/>
  <c r="H373" i="489"/>
  <c r="J373" i="489" a="1"/>
  <c r="J373" i="489" s="1"/>
  <c r="N375" i="489"/>
  <c r="M376" i="489"/>
  <c r="M377" i="489"/>
  <c r="M378" i="489"/>
  <c r="M379" i="489"/>
  <c r="M381" i="489"/>
  <c r="M383" i="489"/>
  <c r="M385" i="489"/>
  <c r="M387" i="489"/>
  <c r="M389" i="489"/>
  <c r="M391" i="489"/>
  <c r="M392" i="489"/>
  <c r="M393" i="489"/>
  <c r="M394" i="489"/>
  <c r="M395" i="489"/>
  <c r="M397" i="489"/>
  <c r="M399" i="489"/>
  <c r="M401" i="489"/>
  <c r="M403" i="489"/>
  <c r="M405" i="489"/>
  <c r="M407" i="489"/>
  <c r="M419" i="489"/>
  <c r="M421" i="489"/>
  <c r="M426" i="489"/>
  <c r="H429" i="489"/>
  <c r="J429" i="489" a="1"/>
  <c r="J429" i="489" s="1"/>
  <c r="O463" i="489"/>
  <c r="Q463" i="489"/>
  <c r="S463" i="489"/>
  <c r="U463" i="489"/>
  <c r="Y463" i="489"/>
  <c r="AA463" i="489"/>
  <c r="H430" i="489"/>
  <c r="J430" i="489" a="1"/>
  <c r="J430" i="489" s="1"/>
  <c r="N430" i="489"/>
  <c r="V430" i="489"/>
  <c r="W430" i="489" s="1"/>
  <c r="H431" i="489"/>
  <c r="J431" i="489" a="1"/>
  <c r="J431" i="489" s="1"/>
  <c r="N431" i="489"/>
  <c r="V431" i="489"/>
  <c r="W431" i="489" s="1"/>
  <c r="H432" i="489"/>
  <c r="J432" i="489" a="1"/>
  <c r="J432" i="489" s="1"/>
  <c r="N432" i="489"/>
  <c r="V432" i="489"/>
  <c r="W432" i="489" s="1"/>
  <c r="H433" i="489"/>
  <c r="J433" i="489" a="1"/>
  <c r="J433" i="489" s="1"/>
  <c r="V433" i="489"/>
  <c r="W433" i="489" s="1"/>
  <c r="H434" i="489"/>
  <c r="J434" i="489" a="1"/>
  <c r="J434" i="489" s="1"/>
  <c r="V434" i="489"/>
  <c r="W434" i="489" s="1"/>
  <c r="H435" i="489"/>
  <c r="J435" i="489" a="1"/>
  <c r="J435" i="489" s="1"/>
  <c r="N435" i="489"/>
  <c r="V435" i="489"/>
  <c r="W435" i="489" s="1"/>
  <c r="H436" i="489"/>
  <c r="N449" i="489"/>
  <c r="H450" i="489"/>
  <c r="N451" i="489"/>
  <c r="H452" i="489"/>
  <c r="N453" i="489"/>
  <c r="H454" i="489"/>
  <c r="G479" i="489"/>
  <c r="N464" i="489"/>
  <c r="P479" i="489"/>
  <c r="R479" i="489"/>
  <c r="R507" i="489" s="1"/>
  <c r="T479" i="489"/>
  <c r="V464" i="489"/>
  <c r="V479" i="489" s="1"/>
  <c r="Y479" i="489"/>
  <c r="AA479" i="489"/>
  <c r="K480" i="489" a="1"/>
  <c r="K480" i="489" s="1"/>
  <c r="M480" i="489" s="1"/>
  <c r="N484" i="489"/>
  <c r="V491" i="489"/>
  <c r="W491" i="489" s="1"/>
  <c r="N493" i="489"/>
  <c r="V493" i="489"/>
  <c r="W493" i="489" s="1"/>
  <c r="N494" i="489"/>
  <c r="N501" i="489"/>
  <c r="V501" i="489"/>
  <c r="W501" i="489" s="1"/>
  <c r="W362" i="489"/>
  <c r="W371" i="489"/>
  <c r="K373" i="489" a="1"/>
  <c r="K373" i="489" s="1"/>
  <c r="M373" i="489" s="1"/>
  <c r="W379" i="489"/>
  <c r="W381" i="489"/>
  <c r="W383" i="489"/>
  <c r="W385" i="489"/>
  <c r="W387" i="489"/>
  <c r="W389" i="489"/>
  <c r="W399" i="489"/>
  <c r="W403" i="489"/>
  <c r="W407" i="489"/>
  <c r="K429" i="489" a="1"/>
  <c r="K429" i="489" s="1"/>
  <c r="M429" i="489" s="1"/>
  <c r="W465" i="489"/>
  <c r="W467" i="489"/>
  <c r="W470" i="489"/>
  <c r="W472" i="489"/>
  <c r="W474" i="489"/>
  <c r="W476" i="489"/>
  <c r="W478" i="489"/>
  <c r="W497" i="489"/>
  <c r="K338" i="489"/>
  <c r="M338" i="489" s="1"/>
  <c r="K340" i="489"/>
  <c r="M340" i="489" s="1"/>
  <c r="K339" i="489"/>
  <c r="M339" i="489" s="1"/>
  <c r="K168" i="489"/>
  <c r="M168" i="489" s="1"/>
  <c r="K167" i="489"/>
  <c r="M167" i="489" s="1"/>
  <c r="K169" i="489"/>
  <c r="M169" i="489" s="1"/>
  <c r="R166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8" i="489"/>
  <c r="M103" i="489"/>
  <c r="M105" i="489"/>
  <c r="M107" i="489"/>
  <c r="M114" i="489"/>
  <c r="M141" i="489"/>
  <c r="V163" i="489"/>
  <c r="M155" i="489"/>
  <c r="M180" i="489"/>
  <c r="J86" i="489" a="1"/>
  <c r="J86" i="489" s="1"/>
  <c r="W19" i="489"/>
  <c r="M101" i="489"/>
  <c r="M110" i="489"/>
  <c r="M118" i="489"/>
  <c r="M120" i="489"/>
  <c r="M127" i="489"/>
  <c r="M129" i="489"/>
  <c r="M134" i="489"/>
  <c r="M149" i="489"/>
  <c r="M152" i="489"/>
  <c r="M159" i="489"/>
  <c r="M185" i="489"/>
  <c r="J199" i="489" a="1"/>
  <c r="J199" i="489" s="1"/>
  <c r="L521" i="489"/>
  <c r="X338" i="489"/>
  <c r="J524" i="489"/>
  <c r="M524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7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8" i="489"/>
  <c r="I148" i="489"/>
  <c r="J154" i="489" a="1"/>
  <c r="J154" i="489" s="1"/>
  <c r="J155" i="489" a="1"/>
  <c r="J155" i="489" s="1"/>
  <c r="J159" i="489" a="1"/>
  <c r="J159" i="489" s="1"/>
  <c r="G163" i="489"/>
  <c r="I163" i="489"/>
  <c r="L518" i="489" s="1"/>
  <c r="I166" i="489"/>
  <c r="M186" i="489"/>
  <c r="M193" i="489"/>
  <c r="M194" i="489"/>
  <c r="M196" i="489"/>
  <c r="M241" i="489"/>
  <c r="M244" i="489"/>
  <c r="M249" i="489"/>
  <c r="M250" i="489"/>
  <c r="M265" i="489"/>
  <c r="M270" i="489"/>
  <c r="M271" i="489"/>
  <c r="M272" i="489"/>
  <c r="M273" i="489"/>
  <c r="M276" i="489"/>
  <c r="M290" i="489"/>
  <c r="M296" i="489"/>
  <c r="M297" i="489"/>
  <c r="M300" i="489"/>
  <c r="M301" i="489"/>
  <c r="M303" i="489"/>
  <c r="J523" i="489"/>
  <c r="M523" i="489" s="1"/>
  <c r="J292" i="489" a="1"/>
  <c r="J292" i="489" s="1"/>
  <c r="J525" i="489"/>
  <c r="I341" i="489"/>
  <c r="K337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7" i="489" a="1"/>
  <c r="J147" i="489" s="1"/>
  <c r="J149" i="489" a="1"/>
  <c r="J149" i="489" s="1"/>
  <c r="W149" i="489"/>
  <c r="J150" i="489" a="1"/>
  <c r="J150" i="489" s="1"/>
  <c r="J151" i="489" a="1"/>
  <c r="J151" i="489" s="1"/>
  <c r="K151" i="489" a="1"/>
  <c r="K151" i="489" s="1"/>
  <c r="M151" i="489" s="1"/>
  <c r="J152" i="489" a="1"/>
  <c r="J152" i="489" s="1"/>
  <c r="J158" i="489" a="1"/>
  <c r="J158" i="489" s="1"/>
  <c r="H178" i="489"/>
  <c r="J178" i="489" a="1"/>
  <c r="J178" i="489" s="1"/>
  <c r="K178" i="489" a="1"/>
  <c r="K178" i="489" s="1"/>
  <c r="W178" i="489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H186" i="489"/>
  <c r="J186" i="489" a="1"/>
  <c r="J186" i="489" s="1"/>
  <c r="M187" i="489"/>
  <c r="M189" i="489"/>
  <c r="M191" i="489"/>
  <c r="M195" i="489"/>
  <c r="M202" i="489"/>
  <c r="M208" i="489"/>
  <c r="M210" i="489"/>
  <c r="M212" i="489"/>
  <c r="M214" i="489"/>
  <c r="M216" i="489"/>
  <c r="M218" i="489"/>
  <c r="M220" i="489"/>
  <c r="M221" i="489"/>
  <c r="M222" i="489"/>
  <c r="M223" i="489"/>
  <c r="M224" i="489"/>
  <c r="M225" i="489"/>
  <c r="M226" i="489"/>
  <c r="M227" i="489"/>
  <c r="M228" i="489"/>
  <c r="M230" i="489"/>
  <c r="M232" i="489"/>
  <c r="M234" i="489"/>
  <c r="M236" i="489"/>
  <c r="M239" i="489"/>
  <c r="M240" i="489"/>
  <c r="M245" i="489"/>
  <c r="M248" i="489"/>
  <c r="M260" i="489"/>
  <c r="M262" i="489"/>
  <c r="M264" i="489"/>
  <c r="M268" i="489"/>
  <c r="M277" i="489"/>
  <c r="M278" i="489"/>
  <c r="M283" i="489"/>
  <c r="M289" i="489"/>
  <c r="M291" i="489"/>
  <c r="M294" i="489"/>
  <c r="M299" i="489"/>
  <c r="M304" i="489"/>
  <c r="M306" i="489"/>
  <c r="M307" i="489"/>
  <c r="M309" i="489"/>
  <c r="M310" i="489"/>
  <c r="M312" i="489"/>
  <c r="M318" i="489"/>
  <c r="M321" i="489"/>
  <c r="M333" i="489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H192" i="489"/>
  <c r="J192" i="489" a="1"/>
  <c r="J192" i="489" s="1"/>
  <c r="J193" i="489" a="1"/>
  <c r="J193" i="489" s="1"/>
  <c r="J194" i="489" a="1"/>
  <c r="J194" i="489" s="1"/>
  <c r="H195" i="489"/>
  <c r="H197" i="489"/>
  <c r="H198" i="489"/>
  <c r="H202" i="489"/>
  <c r="J202" i="489" a="1"/>
  <c r="J202" i="489" s="1"/>
  <c r="H203" i="489"/>
  <c r="J203" i="489" a="1"/>
  <c r="J203" i="489" s="1"/>
  <c r="J204" i="489" a="1"/>
  <c r="J204" i="489" s="1"/>
  <c r="H239" i="489"/>
  <c r="J240" i="489" a="1"/>
  <c r="J240" i="489" s="1"/>
  <c r="J241" i="489" a="1"/>
  <c r="J241" i="489" s="1"/>
  <c r="J243" i="489" a="1"/>
  <c r="J243" i="489" s="1"/>
  <c r="J244" i="489" a="1"/>
  <c r="J244" i="489" s="1"/>
  <c r="J245" i="489" a="1"/>
  <c r="J245" i="489" s="1"/>
  <c r="J246" i="489" a="1"/>
  <c r="J246" i="489" s="1"/>
  <c r="G257" i="489"/>
  <c r="I257" i="489"/>
  <c r="L522" i="489" s="1"/>
  <c r="H258" i="489"/>
  <c r="J258" i="489" a="1"/>
  <c r="J258" i="489" s="1"/>
  <c r="K258" i="489" a="1"/>
  <c r="K258" i="489" s="1"/>
  <c r="H259" i="489"/>
  <c r="J259" i="489" a="1"/>
  <c r="J259" i="489" s="1"/>
  <c r="H260" i="489"/>
  <c r="J260" i="489" a="1"/>
  <c r="J260" i="489" s="1"/>
  <c r="H261" i="489"/>
  <c r="J261" i="489" a="1"/>
  <c r="J261" i="489" s="1"/>
  <c r="J262" i="489" a="1"/>
  <c r="J262" i="489" s="1"/>
  <c r="H263" i="489"/>
  <c r="J263" i="489" a="1"/>
  <c r="J263" i="489" s="1"/>
  <c r="H264" i="489"/>
  <c r="J264" i="489" a="1"/>
  <c r="J264" i="489" s="1"/>
  <c r="H265" i="489"/>
  <c r="H266" i="489"/>
  <c r="J266" i="489" a="1"/>
  <c r="J266" i="489" s="1"/>
  <c r="J267" i="489" a="1"/>
  <c r="J267" i="489" s="1"/>
  <c r="H268" i="489"/>
  <c r="J268" i="489" a="1"/>
  <c r="J268" i="489" s="1"/>
  <c r="H269" i="489"/>
  <c r="J269" i="489" a="1"/>
  <c r="J269" i="489" s="1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H274" i="489"/>
  <c r="J274" i="489" a="1"/>
  <c r="J274" i="489" s="1"/>
  <c r="J275" i="489" a="1"/>
  <c r="J275" i="489" s="1"/>
  <c r="H276" i="489"/>
  <c r="J276" i="489" a="1"/>
  <c r="J276" i="489" s="1"/>
  <c r="H277" i="489"/>
  <c r="J277" i="489" a="1"/>
  <c r="J277" i="489" s="1"/>
  <c r="H278" i="489"/>
  <c r="H279" i="489"/>
  <c r="H280" i="489"/>
  <c r="H281" i="489"/>
  <c r="H282" i="489"/>
  <c r="H283" i="489"/>
  <c r="H284" i="489"/>
  <c r="J284" i="489" a="1"/>
  <c r="J284" i="489" s="1"/>
  <c r="H285" i="489"/>
  <c r="J285" i="489" a="1"/>
  <c r="J285" i="489" s="1"/>
  <c r="H293" i="489"/>
  <c r="J293" i="489" a="1"/>
  <c r="J293" i="489" s="1"/>
  <c r="K293" i="489" a="1"/>
  <c r="K293" i="489" s="1"/>
  <c r="W293" i="489"/>
  <c r="H294" i="489"/>
  <c r="J294" i="489" a="1"/>
  <c r="J294" i="489" s="1"/>
  <c r="H295" i="489"/>
  <c r="J295" i="489" a="1"/>
  <c r="J295" i="489" s="1"/>
  <c r="H296" i="489"/>
  <c r="J296" i="489" a="1"/>
  <c r="J296" i="489" s="1"/>
  <c r="J297" i="489" a="1"/>
  <c r="J297" i="489" s="1"/>
  <c r="H298" i="489"/>
  <c r="J298" i="489" a="1"/>
  <c r="J298" i="489" s="1"/>
  <c r="H299" i="489"/>
  <c r="J299" i="489" a="1"/>
  <c r="J299" i="489" s="1"/>
  <c r="J300" i="489" a="1"/>
  <c r="J300" i="489" s="1"/>
  <c r="H301" i="489"/>
  <c r="J301" i="489" a="1"/>
  <c r="J301" i="489" s="1"/>
  <c r="H302" i="489"/>
  <c r="J302" i="489" a="1"/>
  <c r="J302" i="489" s="1"/>
  <c r="H303" i="489"/>
  <c r="J303" i="489" a="1"/>
  <c r="J303" i="489" s="1"/>
  <c r="J304" i="489" a="1"/>
  <c r="J304" i="489" s="1"/>
  <c r="J305" i="489" a="1"/>
  <c r="J305" i="489" s="1"/>
  <c r="H306" i="489"/>
  <c r="J306" i="489" a="1"/>
  <c r="J306" i="489" s="1"/>
  <c r="H307" i="489"/>
  <c r="J307" i="489" a="1"/>
  <c r="J307" i="489" s="1"/>
  <c r="N309" i="489"/>
  <c r="G319" i="489"/>
  <c r="I319" i="489"/>
  <c r="V319" i="489"/>
  <c r="G341" i="489"/>
  <c r="M350" i="489"/>
  <c r="M353" i="489"/>
  <c r="M356" i="489"/>
  <c r="M358" i="489"/>
  <c r="M374" i="489"/>
  <c r="M465" i="489"/>
  <c r="M467" i="489"/>
  <c r="L527" i="489"/>
  <c r="J528" i="489"/>
  <c r="J428" i="489" a="1"/>
  <c r="J428" i="489" s="1"/>
  <c r="J529" i="489"/>
  <c r="L529" i="489"/>
  <c r="H200" i="489"/>
  <c r="J200" i="489" a="1"/>
  <c r="J200" i="489" s="1"/>
  <c r="W200" i="489"/>
  <c r="J208" i="489" a="1"/>
  <c r="J208" i="489" s="1"/>
  <c r="J209" i="489" a="1"/>
  <c r="J209" i="489" s="1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J219" i="489" a="1"/>
  <c r="J219" i="489" s="1"/>
  <c r="H220" i="489"/>
  <c r="H221" i="489"/>
  <c r="H222" i="489"/>
  <c r="H223" i="489"/>
  <c r="J228" i="489" a="1"/>
  <c r="J228" i="489" s="1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37" i="489"/>
  <c r="J237" i="489" a="1"/>
  <c r="J237" i="489" s="1"/>
  <c r="H289" i="489"/>
  <c r="J289" i="489" a="1"/>
  <c r="J289" i="489" s="1"/>
  <c r="J290" i="489" a="1"/>
  <c r="J290" i="489" s="1"/>
  <c r="J291" i="489" a="1"/>
  <c r="J291" i="489" s="1"/>
  <c r="N293" i="489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3" i="489"/>
  <c r="J313" i="489" a="1"/>
  <c r="J313" i="489" s="1"/>
  <c r="H318" i="489"/>
  <c r="J318" i="489" a="1"/>
  <c r="J318" i="489" s="1"/>
  <c r="H320" i="489"/>
  <c r="J320" i="489" a="1"/>
  <c r="J320" i="489" s="1"/>
  <c r="K320" i="489" a="1"/>
  <c r="K320" i="489" s="1"/>
  <c r="H321" i="489"/>
  <c r="J321" i="489" a="1"/>
  <c r="J321" i="489" s="1"/>
  <c r="H322" i="489"/>
  <c r="J322" i="489" a="1"/>
  <c r="J322" i="489" s="1"/>
  <c r="H323" i="489"/>
  <c r="J323" i="489" a="1"/>
  <c r="J323" i="489" s="1"/>
  <c r="M351" i="489"/>
  <c r="M352" i="489"/>
  <c r="M354" i="489"/>
  <c r="M357" i="489"/>
  <c r="M362" i="489"/>
  <c r="M363" i="489"/>
  <c r="M364" i="489"/>
  <c r="M366" i="489"/>
  <c r="M368" i="489"/>
  <c r="M369" i="489"/>
  <c r="M375" i="489"/>
  <c r="M380" i="489"/>
  <c r="M382" i="489"/>
  <c r="M384" i="489"/>
  <c r="M386" i="489"/>
  <c r="M388" i="489"/>
  <c r="M390" i="489"/>
  <c r="M400" i="489"/>
  <c r="M402" i="489"/>
  <c r="M404" i="489"/>
  <c r="M406" i="489"/>
  <c r="M408" i="489"/>
  <c r="M466" i="489"/>
  <c r="M468" i="489"/>
  <c r="H349" i="489"/>
  <c r="J349" i="489" a="1"/>
  <c r="J349" i="489" s="1"/>
  <c r="K349" i="489" a="1"/>
  <c r="K349" i="489" s="1"/>
  <c r="K370" i="489" s="1"/>
  <c r="W349" i="489"/>
  <c r="J350" i="489" a="1"/>
  <c r="J350" i="489" s="1"/>
  <c r="H355" i="489"/>
  <c r="J355" i="489" a="1"/>
  <c r="J355" i="489" s="1"/>
  <c r="J356" i="489" a="1"/>
  <c r="J356" i="489" s="1"/>
  <c r="J357" i="489" a="1"/>
  <c r="J357" i="489" s="1"/>
  <c r="J358" i="489" a="1"/>
  <c r="J358" i="489" s="1"/>
  <c r="J361" i="489" a="1"/>
  <c r="J361" i="489" s="1"/>
  <c r="J362" i="489" a="1"/>
  <c r="J362" i="489" s="1"/>
  <c r="J363" i="489" a="1"/>
  <c r="J363" i="489" s="1"/>
  <c r="J364" i="489" a="1"/>
  <c r="J364" i="489" s="1"/>
  <c r="H365" i="489"/>
  <c r="H367" i="489"/>
  <c r="J369" i="489" a="1"/>
  <c r="J369" i="489" s="1"/>
  <c r="J374" i="489" a="1"/>
  <c r="J374" i="489" s="1"/>
  <c r="H375" i="489"/>
  <c r="J375" i="489" a="1"/>
  <c r="J375" i="489" s="1"/>
  <c r="H376" i="489"/>
  <c r="H377" i="489"/>
  <c r="H378" i="489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J389" i="489" a="1"/>
  <c r="J389" i="489" s="1"/>
  <c r="H390" i="489"/>
  <c r="J390" i="489" a="1"/>
  <c r="J390" i="489" s="1"/>
  <c r="H391" i="489"/>
  <c r="H392" i="489"/>
  <c r="H393" i="489"/>
  <c r="H394" i="489"/>
  <c r="H395" i="489"/>
  <c r="H397" i="489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07" i="489"/>
  <c r="J407" i="489" a="1"/>
  <c r="J407" i="489" s="1"/>
  <c r="H408" i="489"/>
  <c r="J408" i="489" a="1"/>
  <c r="J408" i="489" s="1"/>
  <c r="H419" i="489"/>
  <c r="H421" i="489"/>
  <c r="H426" i="489"/>
  <c r="V428" i="489"/>
  <c r="W428" i="489" s="1"/>
  <c r="N429" i="489"/>
  <c r="V429" i="489"/>
  <c r="N433" i="489"/>
  <c r="N434" i="489"/>
  <c r="H464" i="489"/>
  <c r="J464" i="489" a="1"/>
  <c r="J464" i="489" s="1"/>
  <c r="K464" i="489" a="1"/>
  <c r="K464" i="489" s="1"/>
  <c r="K479" i="489" s="1"/>
  <c r="H465" i="489"/>
  <c r="J465" i="489" a="1"/>
  <c r="J465" i="489" s="1"/>
  <c r="H466" i="489"/>
  <c r="J466" i="489" a="1"/>
  <c r="J466" i="489" s="1"/>
  <c r="H467" i="489"/>
  <c r="J467" i="489" a="1"/>
  <c r="J467" i="489" s="1"/>
  <c r="H468" i="489"/>
  <c r="J468" i="489" a="1"/>
  <c r="J468" i="489" s="1"/>
  <c r="M469" i="489"/>
  <c r="M470" i="489"/>
  <c r="M472" i="489"/>
  <c r="M474" i="489"/>
  <c r="M476" i="489"/>
  <c r="M478" i="489"/>
  <c r="M484" i="489"/>
  <c r="M491" i="489"/>
  <c r="M492" i="489"/>
  <c r="M497" i="489"/>
  <c r="J530" i="489"/>
  <c r="L530" i="489"/>
  <c r="N349" i="489"/>
  <c r="H351" i="489"/>
  <c r="J351" i="489" a="1"/>
  <c r="J351" i="489" s="1"/>
  <c r="H366" i="489"/>
  <c r="H368" i="489"/>
  <c r="H371" i="489"/>
  <c r="J371" i="489" a="1"/>
  <c r="J371" i="489" s="1"/>
  <c r="K371" i="489" a="1"/>
  <c r="K371" i="489" s="1"/>
  <c r="N373" i="489"/>
  <c r="O428" i="489"/>
  <c r="M493" i="489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H477" i="489"/>
  <c r="J477" i="489" a="1"/>
  <c r="J477" i="489" s="1"/>
  <c r="H478" i="489"/>
  <c r="J478" i="489" a="1"/>
  <c r="J478" i="489" s="1"/>
  <c r="N480" i="489"/>
  <c r="V480" i="489"/>
  <c r="N491" i="489"/>
  <c r="J501" i="489" a="1"/>
  <c r="J501" i="489" s="1"/>
  <c r="G506" i="489"/>
  <c r="I506" i="489"/>
  <c r="H489" i="489"/>
  <c r="J489" i="489" a="1"/>
  <c r="J489" i="489" s="1"/>
  <c r="H491" i="489"/>
  <c r="J491" i="489" a="1"/>
  <c r="J491" i="489" s="1"/>
  <c r="H492" i="489"/>
  <c r="J492" i="489" a="1"/>
  <c r="J492" i="489" s="1"/>
  <c r="J493" i="489" a="1"/>
  <c r="J493" i="489" s="1"/>
  <c r="J494" i="489" a="1"/>
  <c r="J494" i="489" s="1"/>
  <c r="K494" i="489" a="1"/>
  <c r="K494" i="489" s="1"/>
  <c r="M494" i="489" s="1"/>
  <c r="J497" i="489" a="1"/>
  <c r="J497" i="489" s="1"/>
  <c r="J498" i="489" a="1"/>
  <c r="J498" i="489" s="1"/>
  <c r="H238" i="434"/>
  <c r="H201" i="434"/>
  <c r="L508" i="489" l="1"/>
  <c r="J137" i="489" a="1"/>
  <c r="J137" i="489" s="1"/>
  <c r="M525" i="489"/>
  <c r="V28" i="489"/>
  <c r="V137" i="489"/>
  <c r="W137" i="489" s="1"/>
  <c r="R338" i="489"/>
  <c r="P335" i="489"/>
  <c r="X339" i="489" s="1"/>
  <c r="X344" i="489" s="1"/>
  <c r="Z343" i="489" s="1"/>
  <c r="R170" i="489"/>
  <c r="H490" i="489"/>
  <c r="K334" i="489"/>
  <c r="K292" i="489"/>
  <c r="K148" i="489"/>
  <c r="R337" i="489"/>
  <c r="M463" i="489"/>
  <c r="W7" i="489"/>
  <c r="W28" i="489" s="1"/>
  <c r="V292" i="489"/>
  <c r="W292" i="489" s="1"/>
  <c r="W319" i="489"/>
  <c r="V148" i="489"/>
  <c r="W148" i="489" s="1"/>
  <c r="K490" i="489"/>
  <c r="K463" i="489"/>
  <c r="J527" i="489"/>
  <c r="M527" i="489" s="1"/>
  <c r="K86" i="489"/>
  <c r="AC334" i="489"/>
  <c r="AA507" i="489"/>
  <c r="K428" i="489"/>
  <c r="J479" i="489" a="1"/>
  <c r="J479" i="489" s="1"/>
  <c r="N479" i="489"/>
  <c r="V308" i="489"/>
  <c r="W308" i="489" s="1"/>
  <c r="Y335" i="489"/>
  <c r="T335" i="489"/>
  <c r="R164" i="489"/>
  <c r="R335" i="489"/>
  <c r="W479" i="489"/>
  <c r="J508" i="489"/>
  <c r="M508" i="489" s="1"/>
  <c r="J28" i="489" a="1"/>
  <c r="J28" i="489" s="1"/>
  <c r="V199" i="489"/>
  <c r="J334" i="489" a="1"/>
  <c r="J334" i="489" s="1"/>
  <c r="K319" i="489"/>
  <c r="V334" i="489"/>
  <c r="W334" i="489" s="1"/>
  <c r="R339" i="489"/>
  <c r="N490" i="489"/>
  <c r="N428" i="489"/>
  <c r="N370" i="489"/>
  <c r="W464" i="489"/>
  <c r="V370" i="489"/>
  <c r="N308" i="489"/>
  <c r="J463" i="489" a="1"/>
  <c r="J463" i="489" s="1"/>
  <c r="N319" i="489"/>
  <c r="K308" i="489"/>
  <c r="W258" i="489"/>
  <c r="K199" i="489"/>
  <c r="J308" i="489" a="1"/>
  <c r="J308" i="489" s="1"/>
  <c r="K28" i="489"/>
  <c r="V121" i="489"/>
  <c r="W121" i="489" s="1"/>
  <c r="T507" i="489"/>
  <c r="P507" i="489"/>
  <c r="N334" i="489"/>
  <c r="V257" i="489"/>
  <c r="W257" i="489" s="1"/>
  <c r="AA335" i="489"/>
  <c r="W370" i="489"/>
  <c r="M528" i="489"/>
  <c r="M464" i="489"/>
  <c r="M479" i="489" s="1"/>
  <c r="M349" i="489"/>
  <c r="M370" i="489" s="1"/>
  <c r="R171" i="489"/>
  <c r="M29" i="489"/>
  <c r="M86" i="489" s="1"/>
  <c r="AC28" i="489"/>
  <c r="I164" i="489"/>
  <c r="B172" i="489" s="1"/>
  <c r="N506" i="489"/>
  <c r="AC148" i="489"/>
  <c r="M178" i="489"/>
  <c r="M199" i="489" s="1"/>
  <c r="AC199" i="489"/>
  <c r="R342" i="489"/>
  <c r="J319" i="489" a="1"/>
  <c r="J319" i="489" s="1"/>
  <c r="N292" i="489"/>
  <c r="AC308" i="489"/>
  <c r="M529" i="489"/>
  <c r="AC319" i="489"/>
  <c r="K257" i="489"/>
  <c r="AC292" i="489"/>
  <c r="AC257" i="489"/>
  <c r="AC163" i="489"/>
  <c r="AC137" i="489"/>
  <c r="AC86" i="489"/>
  <c r="AC121" i="489"/>
  <c r="Y507" i="489"/>
  <c r="Z335" i="489"/>
  <c r="U335" i="489"/>
  <c r="Q335" i="489"/>
  <c r="X335" i="489"/>
  <c r="S335" i="489"/>
  <c r="H428" i="489"/>
  <c r="K528" i="489" s="1"/>
  <c r="M257" i="489"/>
  <c r="V506" i="489"/>
  <c r="W506" i="489" s="1"/>
  <c r="Z507" i="489"/>
  <c r="U507" i="489"/>
  <c r="Q507" i="489"/>
  <c r="R340" i="489"/>
  <c r="W138" i="489"/>
  <c r="H28" i="489"/>
  <c r="H463" i="489"/>
  <c r="K529" i="489" s="1"/>
  <c r="X507" i="489"/>
  <c r="S507" i="489"/>
  <c r="R341" i="489"/>
  <c r="J506" i="489" a="1"/>
  <c r="J506" i="489" s="1"/>
  <c r="J531" i="489"/>
  <c r="V463" i="489"/>
  <c r="W463" i="489" s="1"/>
  <c r="W429" i="489"/>
  <c r="V86" i="489"/>
  <c r="W29" i="489"/>
  <c r="K166" i="489"/>
  <c r="I170" i="489"/>
  <c r="J518" i="489"/>
  <c r="M518" i="489" s="1"/>
  <c r="J163" i="489" a="1"/>
  <c r="J163" i="489" s="1"/>
  <c r="J121" i="489" a="1"/>
  <c r="J121" i="489" s="1"/>
  <c r="K506" i="489"/>
  <c r="M506" i="489"/>
  <c r="H370" i="489"/>
  <c r="M320" i="489"/>
  <c r="M334" i="489" s="1"/>
  <c r="M293" i="489"/>
  <c r="M308" i="489" s="1"/>
  <c r="M258" i="489"/>
  <c r="M292" i="489" s="1"/>
  <c r="G507" i="489"/>
  <c r="M121" i="489"/>
  <c r="I335" i="489"/>
  <c r="B343" i="489" s="1"/>
  <c r="M521" i="489"/>
  <c r="K163" i="489"/>
  <c r="K137" i="489"/>
  <c r="W163" i="489"/>
  <c r="M138" i="489"/>
  <c r="M148" i="489" s="1"/>
  <c r="G164" i="489"/>
  <c r="L531" i="489"/>
  <c r="W480" i="489"/>
  <c r="V490" i="489"/>
  <c r="W490" i="489" s="1"/>
  <c r="J522" i="489"/>
  <c r="M522" i="489" s="1"/>
  <c r="J257" i="489" a="1"/>
  <c r="J257" i="489" s="1"/>
  <c r="M337" i="489"/>
  <c r="K341" i="489"/>
  <c r="M341" i="489" s="1"/>
  <c r="J148" i="489" a="1"/>
  <c r="J148" i="489" s="1"/>
  <c r="H506" i="489"/>
  <c r="M371" i="489"/>
  <c r="M428" i="489" s="1"/>
  <c r="M530" i="489"/>
  <c r="H479" i="489"/>
  <c r="N463" i="489"/>
  <c r="M490" i="489"/>
  <c r="H334" i="489"/>
  <c r="K525" i="489" s="1"/>
  <c r="H319" i="489"/>
  <c r="H257" i="489"/>
  <c r="K522" i="489" s="1"/>
  <c r="I507" i="489"/>
  <c r="H308" i="489"/>
  <c r="K524" i="489" s="1"/>
  <c r="H292" i="489"/>
  <c r="O507" i="489"/>
  <c r="M319" i="489"/>
  <c r="W199" i="489"/>
  <c r="H199" i="489"/>
  <c r="K121" i="489"/>
  <c r="H86" i="489"/>
  <c r="Z338" i="489"/>
  <c r="G335" i="489"/>
  <c r="M163" i="489"/>
  <c r="M137" i="489"/>
  <c r="M7" i="489"/>
  <c r="M28" i="489" s="1"/>
  <c r="H286" i="434"/>
  <c r="H287" i="434"/>
  <c r="H288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7" i="489" l="1" a="1"/>
  <c r="Z337" i="489" s="1"/>
  <c r="Z342" i="489"/>
  <c r="Z340" i="489"/>
  <c r="K335" i="489"/>
  <c r="E343" i="489" s="1"/>
  <c r="I343" i="489" s="1"/>
  <c r="M343" i="489" s="1"/>
  <c r="V335" i="489"/>
  <c r="I344" i="489" s="1"/>
  <c r="Z339" i="489"/>
  <c r="Z341" i="489"/>
  <c r="G508" i="489"/>
  <c r="K507" i="489"/>
  <c r="L507" i="489" s="1"/>
  <c r="AC335" i="489"/>
  <c r="N507" i="489"/>
  <c r="R344" i="489"/>
  <c r="T343" i="489" s="1"/>
  <c r="AC164" i="489"/>
  <c r="M164" i="489"/>
  <c r="K164" i="489"/>
  <c r="E172" i="489" s="1"/>
  <c r="I172" i="489" s="1"/>
  <c r="M172" i="489" s="1"/>
  <c r="W335" i="489"/>
  <c r="M507" i="489"/>
  <c r="J335" i="489" a="1"/>
  <c r="J335" i="489" s="1"/>
  <c r="M342" i="489" s="1"/>
  <c r="B342" i="489"/>
  <c r="J526" i="489" s="1"/>
  <c r="K521" i="489"/>
  <c r="H335" i="489"/>
  <c r="E342" i="489" s="1"/>
  <c r="K523" i="489"/>
  <c r="B171" i="489"/>
  <c r="J164" i="489" a="1"/>
  <c r="J164" i="489" s="1"/>
  <c r="M171" i="489" s="1"/>
  <c r="K527" i="489"/>
  <c r="H507" i="489"/>
  <c r="K170" i="489"/>
  <c r="M170" i="489" s="1"/>
  <c r="M166" i="489"/>
  <c r="W86" i="489"/>
  <c r="W164" i="489" s="1"/>
  <c r="V164" i="489"/>
  <c r="I173" i="489" s="1"/>
  <c r="M335" i="489"/>
  <c r="Z344" i="489"/>
  <c r="K530" i="489"/>
  <c r="K531" i="489"/>
  <c r="J532" i="489"/>
  <c r="J507" i="489" a="1"/>
  <c r="J507" i="489" s="1"/>
  <c r="V507" i="489"/>
  <c r="M531" i="489"/>
  <c r="T340" i="489" l="1"/>
  <c r="L335" i="489"/>
  <c r="I342" i="489" s="1"/>
  <c r="AC508" i="489"/>
  <c r="M344" i="489" a="1"/>
  <c r="M344" i="489" s="1"/>
  <c r="T342" i="489"/>
  <c r="T337" i="489" a="1"/>
  <c r="T337" i="489" s="1"/>
  <c r="T338" i="489"/>
  <c r="L164" i="489"/>
  <c r="I171" i="489" s="1"/>
  <c r="T339" i="489"/>
  <c r="T341" i="489"/>
  <c r="W507" i="489"/>
  <c r="J519" i="489"/>
  <c r="M173" i="489" a="1"/>
  <c r="M173" i="489" s="1"/>
  <c r="T344" i="489" l="1"/>
  <c r="X515" i="434" l="1"/>
  <c r="X514" i="434"/>
  <c r="X513" i="434"/>
  <c r="X512" i="434"/>
  <c r="X511" i="434"/>
  <c r="X343" i="434"/>
  <c r="X342" i="434"/>
  <c r="X341" i="434"/>
  <c r="X340" i="434"/>
  <c r="X337" i="434"/>
  <c r="X166" i="434"/>
  <c r="X169" i="434"/>
  <c r="X170" i="434"/>
  <c r="X171" i="434"/>
  <c r="K457" i="434" a="1"/>
  <c r="K457" i="434" s="1"/>
  <c r="M457" i="434" s="1"/>
  <c r="K458" i="434" a="1"/>
  <c r="K458" i="434" s="1"/>
  <c r="M458" i="434" s="1"/>
  <c r="K459" i="434" a="1"/>
  <c r="K459" i="434" s="1"/>
  <c r="M459" i="434" s="1"/>
  <c r="K460" i="434" a="1"/>
  <c r="K460" i="434" s="1"/>
  <c r="M460" i="434" s="1"/>
  <c r="K461" i="434" a="1"/>
  <c r="K461" i="434" s="1"/>
  <c r="K427" i="434" a="1"/>
  <c r="K427" i="434" s="1"/>
  <c r="M427" i="434" s="1"/>
  <c r="K426" i="434" a="1"/>
  <c r="K426" i="434" s="1"/>
  <c r="M426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395" i="434" a="1"/>
  <c r="K395" i="434" s="1"/>
  <c r="M395" i="434" s="1"/>
  <c r="K396" i="434" a="1"/>
  <c r="K396" i="434" s="1"/>
  <c r="M396" i="434" s="1"/>
  <c r="K397" i="434" a="1"/>
  <c r="K397" i="434" s="1"/>
  <c r="M397" i="434" s="1"/>
  <c r="K398" i="434" a="1"/>
  <c r="K398" i="434" s="1"/>
  <c r="M398" i="434" s="1"/>
  <c r="M242" i="434"/>
  <c r="K239" i="434" a="1"/>
  <c r="K239" i="434" s="1"/>
  <c r="M239" i="434" s="1"/>
  <c r="K240" i="434" a="1"/>
  <c r="K240" i="434" s="1"/>
  <c r="M240" i="434" s="1"/>
  <c r="N224" i="434"/>
  <c r="N225" i="434"/>
  <c r="N226" i="434"/>
  <c r="N227" i="434"/>
  <c r="N228" i="434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227" i="434" a="1"/>
  <c r="K227" i="434" s="1"/>
  <c r="M227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50" i="434" a="1"/>
  <c r="K250" i="434" s="1"/>
  <c r="M250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376" i="434" a="1"/>
  <c r="K376" i="434" s="1"/>
  <c r="M376" i="434" s="1"/>
  <c r="K377" i="434" a="1"/>
  <c r="K377" i="434" s="1"/>
  <c r="M377" i="434" s="1"/>
  <c r="K378" i="434" a="1"/>
  <c r="K378" i="434" s="1"/>
  <c r="M378" i="434" s="1"/>
  <c r="H457" i="434"/>
  <c r="H458" i="434"/>
  <c r="H459" i="434"/>
  <c r="H460" i="434"/>
  <c r="H461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4" i="489" l="1"/>
  <c r="T164" i="489"/>
  <c r="X164" i="489"/>
  <c r="Z164" i="489"/>
  <c r="S164" i="489"/>
  <c r="U164" i="489"/>
  <c r="Y164" i="489"/>
  <c r="AA164" i="489"/>
  <c r="H121" i="489" l="1"/>
  <c r="K508" i="489" s="1"/>
  <c r="N148" i="489"/>
  <c r="H137" i="489"/>
  <c r="X167" i="489"/>
  <c r="P164" i="489"/>
  <c r="X168" i="489" s="1"/>
  <c r="O164" i="489"/>
  <c r="R169" i="489"/>
  <c r="N163" i="489"/>
  <c r="H163" i="489"/>
  <c r="H148" i="489"/>
  <c r="N137" i="489"/>
  <c r="N121" i="489"/>
  <c r="N86" i="489"/>
  <c r="N28" i="489"/>
  <c r="N257" i="489"/>
  <c r="N199" i="489"/>
  <c r="H164" i="489" l="1"/>
  <c r="E171" i="489" s="1"/>
  <c r="N164" i="489"/>
  <c r="B173" i="489" s="1"/>
  <c r="E173" i="489" s="1"/>
  <c r="X173" i="489"/>
  <c r="Z168" i="489" s="1"/>
  <c r="K518" i="489"/>
  <c r="R173" i="489"/>
  <c r="T169" i="489" s="1"/>
  <c r="N335" i="489"/>
  <c r="B344" i="489" s="1"/>
  <c r="T167" i="489" l="1"/>
  <c r="T170" i="489"/>
  <c r="T166" i="489" a="1"/>
  <c r="T166" i="489" s="1"/>
  <c r="T172" i="489"/>
  <c r="T171" i="489"/>
  <c r="T168" i="489"/>
  <c r="Z167" i="489"/>
  <c r="Z170" i="489"/>
  <c r="Z169" i="489"/>
  <c r="Z172" i="489"/>
  <c r="Z166" i="489" a="1"/>
  <c r="Z166" i="489" s="1"/>
  <c r="Z171" i="489"/>
  <c r="E344" i="489"/>
  <c r="T173" i="489" l="1"/>
  <c r="Z173" i="489"/>
  <c r="P536" i="434" l="1"/>
  <c r="O536" i="434"/>
  <c r="N536" i="434"/>
  <c r="M536" i="434"/>
  <c r="L536" i="434"/>
  <c r="K536" i="434"/>
  <c r="I536" i="434"/>
  <c r="H536" i="434"/>
  <c r="G536" i="434"/>
  <c r="F536" i="434"/>
  <c r="E536" i="434"/>
  <c r="D536" i="434"/>
  <c r="C535" i="434"/>
  <c r="T535" i="434" s="1" a="1"/>
  <c r="T535" i="434" s="1"/>
  <c r="C534" i="434"/>
  <c r="T534" i="434" s="1" a="1"/>
  <c r="T534" i="434" s="1"/>
  <c r="C533" i="434"/>
  <c r="G517" i="434"/>
  <c r="N517" i="434" s="1"/>
  <c r="G513" i="434"/>
  <c r="C513" i="434"/>
  <c r="I512" i="434"/>
  <c r="E512" i="434"/>
  <c r="I511" i="434"/>
  <c r="E511" i="434"/>
  <c r="I510" i="434"/>
  <c r="E510" i="434"/>
  <c r="I509" i="434"/>
  <c r="I513" i="434" s="1"/>
  <c r="E509" i="434"/>
  <c r="E513" i="434" s="1"/>
  <c r="AA506" i="434"/>
  <c r="Z506" i="434"/>
  <c r="Y506" i="434"/>
  <c r="X506" i="434"/>
  <c r="U506" i="434"/>
  <c r="T506" i="434"/>
  <c r="S506" i="434"/>
  <c r="R506" i="434"/>
  <c r="Q506" i="434"/>
  <c r="P506" i="434"/>
  <c r="O506" i="434"/>
  <c r="I506" i="434"/>
  <c r="G506" i="434"/>
  <c r="V501" i="434"/>
  <c r="W501" i="434" s="1"/>
  <c r="N501" i="434"/>
  <c r="K501" i="434" a="1"/>
  <c r="K501" i="434" s="1"/>
  <c r="M501" i="434" s="1"/>
  <c r="J501" i="434" a="1"/>
  <c r="J501" i="434" s="1"/>
  <c r="V498" i="434"/>
  <c r="W498" i="434" s="1"/>
  <c r="N498" i="434"/>
  <c r="K498" i="434" a="1"/>
  <c r="K498" i="434" s="1"/>
  <c r="M498" i="434" s="1"/>
  <c r="J498" i="434" a="1"/>
  <c r="J498" i="434" s="1"/>
  <c r="V497" i="434"/>
  <c r="W497" i="434" s="1"/>
  <c r="N497" i="434"/>
  <c r="K497" i="434" a="1"/>
  <c r="K497" i="434" s="1"/>
  <c r="M497" i="434" s="1"/>
  <c r="J497" i="434" a="1"/>
  <c r="J497" i="434" s="1"/>
  <c r="V494" i="434"/>
  <c r="W494" i="434" s="1"/>
  <c r="N494" i="434"/>
  <c r="K494" i="434" a="1"/>
  <c r="K494" i="434" s="1"/>
  <c r="M494" i="434" s="1"/>
  <c r="J494" i="434" a="1"/>
  <c r="J494" i="434" s="1"/>
  <c r="V493" i="434"/>
  <c r="W493" i="434" s="1"/>
  <c r="N493" i="434"/>
  <c r="K493" i="434" a="1"/>
  <c r="K493" i="434" s="1"/>
  <c r="M493" i="434" s="1"/>
  <c r="J493" i="434" a="1"/>
  <c r="J493" i="434" s="1"/>
  <c r="V492" i="434"/>
  <c r="W492" i="434" s="1"/>
  <c r="N492" i="434"/>
  <c r="K492" i="434" a="1"/>
  <c r="K492" i="434" s="1"/>
  <c r="M492" i="434" s="1"/>
  <c r="J492" i="434" a="1"/>
  <c r="J492" i="434" s="1"/>
  <c r="H492" i="434"/>
  <c r="V491" i="434"/>
  <c r="W491" i="434" s="1"/>
  <c r="N491" i="434"/>
  <c r="K491" i="434" a="1"/>
  <c r="K491" i="434" s="1"/>
  <c r="J491" i="434" a="1"/>
  <c r="J491" i="434" s="1"/>
  <c r="H491" i="434"/>
  <c r="AA490" i="434"/>
  <c r="Z490" i="434"/>
  <c r="Y490" i="434"/>
  <c r="X490" i="434"/>
  <c r="U490" i="434"/>
  <c r="T490" i="434"/>
  <c r="S490" i="434"/>
  <c r="Q490" i="434"/>
  <c r="P490" i="434"/>
  <c r="O490" i="434"/>
  <c r="I490" i="434"/>
  <c r="G490" i="434"/>
  <c r="V489" i="434"/>
  <c r="W489" i="434" s="1"/>
  <c r="N489" i="434"/>
  <c r="K489" i="434" a="1"/>
  <c r="K489" i="434" s="1"/>
  <c r="M489" i="434" s="1"/>
  <c r="J489" i="434" a="1"/>
  <c r="J489" i="434" s="1"/>
  <c r="H489" i="434"/>
  <c r="V484" i="434"/>
  <c r="W484" i="434" s="1"/>
  <c r="N484" i="434"/>
  <c r="K484" i="434" a="1"/>
  <c r="K484" i="434" s="1"/>
  <c r="M484" i="434" s="1"/>
  <c r="J484" i="434" a="1"/>
  <c r="J484" i="434" s="1"/>
  <c r="H484" i="434"/>
  <c r="V483" i="434"/>
  <c r="W483" i="434" s="1"/>
  <c r="N483" i="434"/>
  <c r="K483" i="434" a="1"/>
  <c r="K483" i="434" s="1"/>
  <c r="M483" i="434" s="1"/>
  <c r="J483" i="434" a="1"/>
  <c r="J483" i="434" s="1"/>
  <c r="H483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N480" i="434"/>
  <c r="K480" i="434" a="1"/>
  <c r="K480" i="434" s="1"/>
  <c r="J480" i="434" a="1"/>
  <c r="J480" i="434" s="1"/>
  <c r="H480" i="434"/>
  <c r="AA479" i="434"/>
  <c r="Z479" i="434"/>
  <c r="Y479" i="434"/>
  <c r="X479" i="434"/>
  <c r="U479" i="434"/>
  <c r="T479" i="434"/>
  <c r="S479" i="434"/>
  <c r="Q479" i="434"/>
  <c r="P479" i="434"/>
  <c r="O479" i="434"/>
  <c r="I479" i="434"/>
  <c r="G479" i="434"/>
  <c r="V478" i="434"/>
  <c r="W478" i="434" s="1"/>
  <c r="N478" i="434"/>
  <c r="K478" i="434" a="1"/>
  <c r="K478" i="434" s="1"/>
  <c r="M478" i="434" s="1"/>
  <c r="J478" i="434" a="1"/>
  <c r="J478" i="434" s="1"/>
  <c r="H478" i="434"/>
  <c r="V477" i="434"/>
  <c r="W477" i="434" s="1"/>
  <c r="N477" i="434"/>
  <c r="K477" i="434" a="1"/>
  <c r="K477" i="434" s="1"/>
  <c r="M477" i="434" s="1"/>
  <c r="J477" i="434" a="1"/>
  <c r="J477" i="434" s="1"/>
  <c r="H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N464" i="434"/>
  <c r="K464" i="434" a="1"/>
  <c r="K464" i="434" s="1"/>
  <c r="M464" i="434" s="1"/>
  <c r="J464" i="434" a="1"/>
  <c r="J464" i="434" s="1"/>
  <c r="H464" i="434"/>
  <c r="AA463" i="434"/>
  <c r="Z463" i="434"/>
  <c r="Y463" i="434"/>
  <c r="X463" i="434"/>
  <c r="U463" i="434"/>
  <c r="T463" i="434"/>
  <c r="S463" i="434"/>
  <c r="R463" i="434"/>
  <c r="Q463" i="434"/>
  <c r="P463" i="434"/>
  <c r="O463" i="434"/>
  <c r="I463" i="434"/>
  <c r="G463" i="434"/>
  <c r="V462" i="434"/>
  <c r="W462" i="434" s="1"/>
  <c r="N462" i="434"/>
  <c r="K462" i="434" a="1"/>
  <c r="K462" i="434" s="1"/>
  <c r="M462" i="434" s="1"/>
  <c r="J462" i="434" a="1"/>
  <c r="J462" i="434" s="1"/>
  <c r="H462" i="434"/>
  <c r="V461" i="434"/>
  <c r="W461" i="434" s="1"/>
  <c r="N461" i="434"/>
  <c r="M461" i="434"/>
  <c r="J461" i="434" a="1"/>
  <c r="J461" i="434" s="1"/>
  <c r="V460" i="434"/>
  <c r="W460" i="434" s="1"/>
  <c r="N460" i="434"/>
  <c r="J460" i="434" a="1"/>
  <c r="J460" i="434" s="1"/>
  <c r="V456" i="434"/>
  <c r="W456" i="434" s="1"/>
  <c r="N456" i="434"/>
  <c r="K456" i="434" a="1"/>
  <c r="K456" i="434" s="1"/>
  <c r="M456" i="434" s="1"/>
  <c r="J456" i="434" a="1"/>
  <c r="J456" i="434" s="1"/>
  <c r="H456" i="434"/>
  <c r="V455" i="434"/>
  <c r="W455" i="434" s="1"/>
  <c r="N455" i="434"/>
  <c r="K455" i="434" a="1"/>
  <c r="K455" i="434" s="1"/>
  <c r="M455" i="434" s="1"/>
  <c r="J455" i="434" a="1"/>
  <c r="J455" i="434" s="1"/>
  <c r="H455" i="434"/>
  <c r="N454" i="434"/>
  <c r="K454" i="434" a="1"/>
  <c r="K454" i="434" s="1"/>
  <c r="M454" i="434" s="1"/>
  <c r="H454" i="434"/>
  <c r="N453" i="434"/>
  <c r="K453" i="434" a="1"/>
  <c r="K453" i="434" s="1"/>
  <c r="M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V448" i="434"/>
  <c r="W448" i="434" s="1"/>
  <c r="N448" i="434"/>
  <c r="K448" i="434" a="1"/>
  <c r="K448" i="434" s="1"/>
  <c r="M448" i="434" s="1"/>
  <c r="J448" i="434" a="1"/>
  <c r="J448" i="434" s="1"/>
  <c r="H448" i="434"/>
  <c r="V447" i="434"/>
  <c r="W447" i="434" s="1"/>
  <c r="N447" i="434"/>
  <c r="K447" i="434" a="1"/>
  <c r="K447" i="434" s="1"/>
  <c r="M447" i="434" s="1"/>
  <c r="J447" i="434" a="1"/>
  <c r="J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N436" i="434"/>
  <c r="K436" i="434" a="1"/>
  <c r="K436" i="434" s="1"/>
  <c r="M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V434" i="434"/>
  <c r="W434" i="434" s="1"/>
  <c r="N434" i="434"/>
  <c r="K434" i="434" a="1"/>
  <c r="K434" i="434" s="1"/>
  <c r="M434" i="434" s="1"/>
  <c r="J434" i="434" a="1"/>
  <c r="J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N429" i="434"/>
  <c r="K429" i="434" a="1"/>
  <c r="K429" i="434" s="1"/>
  <c r="J429" i="434" a="1"/>
  <c r="J429" i="434" s="1"/>
  <c r="H429" i="434"/>
  <c r="AA428" i="434"/>
  <c r="Z428" i="434"/>
  <c r="Y428" i="434"/>
  <c r="X428" i="434"/>
  <c r="U428" i="434"/>
  <c r="T428" i="434"/>
  <c r="S428" i="434"/>
  <c r="R428" i="434"/>
  <c r="Q428" i="434"/>
  <c r="P428" i="434"/>
  <c r="O428" i="434"/>
  <c r="I428" i="434"/>
  <c r="G428" i="434"/>
  <c r="H427" i="434"/>
  <c r="H426" i="434"/>
  <c r="H425" i="434"/>
  <c r="H424" i="434"/>
  <c r="H423" i="434"/>
  <c r="H422" i="434"/>
  <c r="H421" i="434"/>
  <c r="H420" i="434"/>
  <c r="H419" i="434"/>
  <c r="H418" i="434"/>
  <c r="V417" i="434"/>
  <c r="W417" i="434" s="1"/>
  <c r="N417" i="434"/>
  <c r="K417" i="434" a="1"/>
  <c r="K417" i="434" s="1"/>
  <c r="M417" i="434" s="1"/>
  <c r="J417" i="434" a="1"/>
  <c r="J417" i="434" s="1"/>
  <c r="H417" i="434"/>
  <c r="V416" i="434"/>
  <c r="W416" i="434" s="1"/>
  <c r="N416" i="434"/>
  <c r="K416" i="434" a="1"/>
  <c r="K416" i="434" s="1"/>
  <c r="M416" i="434" s="1"/>
  <c r="J416" i="434" a="1"/>
  <c r="J416" i="434" s="1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V411" i="434"/>
  <c r="W411" i="434" s="1"/>
  <c r="N411" i="434"/>
  <c r="K411" i="434" a="1"/>
  <c r="K411" i="434" s="1"/>
  <c r="M411" i="434" s="1"/>
  <c r="J411" i="434" a="1"/>
  <c r="J411" i="434" s="1"/>
  <c r="H411" i="434"/>
  <c r="H410" i="434"/>
  <c r="V408" i="434"/>
  <c r="W408" i="434" s="1"/>
  <c r="N408" i="434"/>
  <c r="K408" i="434" a="1"/>
  <c r="K408" i="434" s="1"/>
  <c r="M408" i="434" s="1"/>
  <c r="J408" i="434" a="1"/>
  <c r="J408" i="434" s="1"/>
  <c r="H408" i="434"/>
  <c r="V407" i="434"/>
  <c r="W407" i="434" s="1"/>
  <c r="N407" i="434"/>
  <c r="K407" i="434" a="1"/>
  <c r="K407" i="434" s="1"/>
  <c r="M407" i="434" s="1"/>
  <c r="J407" i="434" a="1"/>
  <c r="J407" i="434" s="1"/>
  <c r="H407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H398" i="434"/>
  <c r="H397" i="434"/>
  <c r="H396" i="434"/>
  <c r="H395" i="434"/>
  <c r="N394" i="434"/>
  <c r="K394" i="434" a="1"/>
  <c r="K394" i="434" s="1"/>
  <c r="M394" i="434" s="1"/>
  <c r="H394" i="434"/>
  <c r="N393" i="434"/>
  <c r="K393" i="434" a="1"/>
  <c r="K393" i="434" s="1"/>
  <c r="M393" i="434" s="1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V390" i="434"/>
  <c r="W390" i="434" s="1"/>
  <c r="N390" i="434"/>
  <c r="K390" i="434" a="1"/>
  <c r="K390" i="434" s="1"/>
  <c r="M390" i="434" s="1"/>
  <c r="J390" i="434" a="1"/>
  <c r="J390" i="434" s="1"/>
  <c r="H390" i="434"/>
  <c r="V389" i="434"/>
  <c r="W389" i="434" s="1"/>
  <c r="N389" i="434"/>
  <c r="K389" i="434" a="1"/>
  <c r="K389" i="434" s="1"/>
  <c r="M389" i="434" s="1"/>
  <c r="J389" i="434" a="1"/>
  <c r="J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5" i="434"/>
  <c r="W375" i="434" s="1"/>
  <c r="N375" i="434"/>
  <c r="K375" i="434" a="1"/>
  <c r="K375" i="434" s="1"/>
  <c r="M375" i="434" s="1"/>
  <c r="J375" i="434" a="1"/>
  <c r="J375" i="434" s="1"/>
  <c r="H375" i="434"/>
  <c r="V374" i="434"/>
  <c r="W374" i="434" s="1"/>
  <c r="N374" i="434"/>
  <c r="K374" i="434" a="1"/>
  <c r="K374" i="434" s="1"/>
  <c r="M374" i="434" s="1"/>
  <c r="J374" i="434" a="1"/>
  <c r="J374" i="434" s="1"/>
  <c r="H374" i="434"/>
  <c r="V373" i="434"/>
  <c r="W373" i="434" s="1"/>
  <c r="N373" i="434"/>
  <c r="K373" i="434" a="1"/>
  <c r="K373" i="434" s="1"/>
  <c r="M373" i="434" s="1"/>
  <c r="J373" i="434" a="1"/>
  <c r="J373" i="434" s="1"/>
  <c r="V371" i="434"/>
  <c r="W371" i="434" s="1"/>
  <c r="N371" i="434"/>
  <c r="K371" i="434" a="1"/>
  <c r="K371" i="434" s="1"/>
  <c r="M371" i="434" s="1"/>
  <c r="J371" i="434" a="1"/>
  <c r="J371" i="434" s="1"/>
  <c r="H371" i="434"/>
  <c r="AA370" i="434"/>
  <c r="AA507" i="434" s="1"/>
  <c r="Z370" i="434"/>
  <c r="Z507" i="434" s="1"/>
  <c r="Y370" i="434"/>
  <c r="Y507" i="434" s="1"/>
  <c r="X370" i="434"/>
  <c r="X507" i="434" s="1"/>
  <c r="U370" i="434"/>
  <c r="U507" i="434" s="1"/>
  <c r="T370" i="434"/>
  <c r="T507" i="434" s="1"/>
  <c r="S370" i="434"/>
  <c r="S507" i="434" s="1"/>
  <c r="R370" i="434"/>
  <c r="R507" i="434" s="1"/>
  <c r="Q370" i="434"/>
  <c r="Q507" i="434" s="1"/>
  <c r="P370" i="434"/>
  <c r="P507" i="434" s="1"/>
  <c r="O370" i="434"/>
  <c r="I370" i="434"/>
  <c r="I507" i="434" s="1"/>
  <c r="G370" i="434"/>
  <c r="G507" i="434" s="1"/>
  <c r="V369" i="434"/>
  <c r="W369" i="434" s="1"/>
  <c r="N369" i="434"/>
  <c r="K369" i="434" a="1"/>
  <c r="K369" i="434" s="1"/>
  <c r="M369" i="434" s="1"/>
  <c r="J369" i="434" a="1"/>
  <c r="J369" i="434" s="1"/>
  <c r="H369" i="434"/>
  <c r="V368" i="434"/>
  <c r="W368" i="434" s="1"/>
  <c r="N368" i="434"/>
  <c r="K368" i="434" a="1"/>
  <c r="K368" i="434" s="1"/>
  <c r="M368" i="434" s="1"/>
  <c r="J368" i="434" a="1"/>
  <c r="J368" i="434" s="1"/>
  <c r="H368" i="434"/>
  <c r="K367" i="434" a="1"/>
  <c r="K367" i="434" s="1"/>
  <c r="M367" i="434" s="1"/>
  <c r="H367" i="434"/>
  <c r="K366" i="434" a="1"/>
  <c r="K366" i="434" s="1"/>
  <c r="M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V363" i="434"/>
  <c r="W363" i="434" s="1"/>
  <c r="N363" i="434"/>
  <c r="K363" i="434" a="1"/>
  <c r="K363" i="434" s="1"/>
  <c r="M363" i="434" s="1"/>
  <c r="J363" i="434" a="1"/>
  <c r="J363" i="434" s="1"/>
  <c r="V362" i="434"/>
  <c r="W362" i="434" s="1"/>
  <c r="N362" i="434"/>
  <c r="K362" i="434" a="1"/>
  <c r="K362" i="434" s="1"/>
  <c r="M362" i="434" s="1"/>
  <c r="J362" i="434" a="1"/>
  <c r="J362" i="434" s="1"/>
  <c r="V361" i="434"/>
  <c r="W361" i="434" s="1"/>
  <c r="N361" i="434"/>
  <c r="K361" i="434" a="1"/>
  <c r="K361" i="434" s="1"/>
  <c r="M361" i="434" s="1"/>
  <c r="J361" i="434" a="1"/>
  <c r="J361" i="434" s="1"/>
  <c r="V358" i="434"/>
  <c r="W358" i="434" s="1"/>
  <c r="N358" i="434"/>
  <c r="K358" i="434" a="1"/>
  <c r="K358" i="434" s="1"/>
  <c r="M358" i="434" s="1"/>
  <c r="J358" i="434" a="1"/>
  <c r="J358" i="434" s="1"/>
  <c r="H358" i="434"/>
  <c r="V357" i="434"/>
  <c r="W357" i="434" s="1"/>
  <c r="N357" i="434"/>
  <c r="K357" i="434" a="1"/>
  <c r="K357" i="434" s="1"/>
  <c r="M357" i="434" s="1"/>
  <c r="J357" i="434" a="1"/>
  <c r="J357" i="434" s="1"/>
  <c r="H357" i="434"/>
  <c r="K356" i="434" a="1"/>
  <c r="K356" i="434" s="1"/>
  <c r="M356" i="434" s="1"/>
  <c r="H356" i="434"/>
  <c r="K355" i="434" a="1"/>
  <c r="K355" i="434" s="1"/>
  <c r="M355" i="434" s="1"/>
  <c r="H355" i="434"/>
  <c r="V354" i="434"/>
  <c r="W354" i="434" s="1"/>
  <c r="N354" i="434"/>
  <c r="K354" i="434" a="1"/>
  <c r="K354" i="434" s="1"/>
  <c r="M354" i="434" s="1"/>
  <c r="J354" i="434" a="1"/>
  <c r="J354" i="434" s="1"/>
  <c r="H354" i="434"/>
  <c r="V353" i="434"/>
  <c r="W353" i="434" s="1"/>
  <c r="N353" i="434"/>
  <c r="K353" i="434" a="1"/>
  <c r="K353" i="434" s="1"/>
  <c r="M353" i="434" s="1"/>
  <c r="J353" i="434" a="1"/>
  <c r="J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N349" i="434"/>
  <c r="K349" i="434" a="1"/>
  <c r="K349" i="434" s="1"/>
  <c r="M349" i="434" s="1"/>
  <c r="J349" i="434" a="1"/>
  <c r="J349" i="434" s="1"/>
  <c r="H349" i="434"/>
  <c r="G341" i="434"/>
  <c r="C341" i="434"/>
  <c r="I340" i="434"/>
  <c r="E340" i="434"/>
  <c r="I339" i="434"/>
  <c r="E339" i="434"/>
  <c r="I338" i="434"/>
  <c r="E338" i="434"/>
  <c r="I337" i="434"/>
  <c r="I341" i="434" s="1"/>
  <c r="E337" i="434"/>
  <c r="E341" i="434" s="1"/>
  <c r="AA334" i="434"/>
  <c r="Z334" i="434"/>
  <c r="Y334" i="434"/>
  <c r="X334" i="434"/>
  <c r="U334" i="434"/>
  <c r="T334" i="434"/>
  <c r="S334" i="434"/>
  <c r="R334" i="434"/>
  <c r="Q334" i="434"/>
  <c r="P334" i="434"/>
  <c r="O334" i="434"/>
  <c r="I334" i="434"/>
  <c r="G334" i="434"/>
  <c r="V330" i="434"/>
  <c r="W330" i="434" s="1"/>
  <c r="N330" i="434"/>
  <c r="H330" i="434"/>
  <c r="V326" i="434"/>
  <c r="W326" i="434" s="1"/>
  <c r="N326" i="434"/>
  <c r="K326" i="434" a="1"/>
  <c r="K326" i="434" s="1"/>
  <c r="M326" i="434" s="1"/>
  <c r="J326" i="434" a="1"/>
  <c r="J326" i="434" s="1"/>
  <c r="V325" i="434"/>
  <c r="W325" i="434" s="1"/>
  <c r="N325" i="434"/>
  <c r="K325" i="434" a="1"/>
  <c r="K325" i="434" s="1"/>
  <c r="M325" i="434" s="1"/>
  <c r="J325" i="434" a="1"/>
  <c r="J325" i="434" s="1"/>
  <c r="V323" i="434"/>
  <c r="W323" i="434" s="1"/>
  <c r="N323" i="434"/>
  <c r="K323" i="434" a="1"/>
  <c r="K323" i="434" s="1"/>
  <c r="M323" i="434" s="1"/>
  <c r="J323" i="434" a="1"/>
  <c r="J323" i="434" s="1"/>
  <c r="H323" i="434"/>
  <c r="V322" i="434"/>
  <c r="W322" i="434" s="1"/>
  <c r="N322" i="434"/>
  <c r="K322" i="434" a="1"/>
  <c r="K322" i="434" s="1"/>
  <c r="M322" i="434" s="1"/>
  <c r="J322" i="434" a="1"/>
  <c r="J322" i="434" s="1"/>
  <c r="H322" i="434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N320" i="434"/>
  <c r="K320" i="434" a="1"/>
  <c r="K320" i="434" s="1"/>
  <c r="J320" i="434" a="1"/>
  <c r="J320" i="434" s="1"/>
  <c r="H320" i="434"/>
  <c r="AA319" i="434"/>
  <c r="Z319" i="434"/>
  <c r="Y319" i="434"/>
  <c r="X319" i="434"/>
  <c r="U319" i="434"/>
  <c r="T319" i="434"/>
  <c r="S319" i="434"/>
  <c r="Q319" i="434"/>
  <c r="P319" i="434"/>
  <c r="O319" i="434"/>
  <c r="I319" i="434"/>
  <c r="G319" i="434"/>
  <c r="V318" i="434"/>
  <c r="W318" i="434" s="1"/>
  <c r="N318" i="434"/>
  <c r="K318" i="434" a="1"/>
  <c r="K318" i="434" s="1"/>
  <c r="M318" i="434" s="1"/>
  <c r="J318" i="434" a="1"/>
  <c r="J318" i="434" s="1"/>
  <c r="H318" i="434"/>
  <c r="V313" i="434"/>
  <c r="W313" i="434" s="1"/>
  <c r="N313" i="434"/>
  <c r="K313" i="434" a="1"/>
  <c r="K313" i="434" s="1"/>
  <c r="M313" i="434" s="1"/>
  <c r="J313" i="434" a="1"/>
  <c r="J313" i="434" s="1"/>
  <c r="H313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N309" i="434"/>
  <c r="K309" i="434" a="1"/>
  <c r="K309" i="434" s="1"/>
  <c r="J309" i="434" a="1"/>
  <c r="J309" i="434" s="1"/>
  <c r="H309" i="434"/>
  <c r="AA308" i="434"/>
  <c r="Z308" i="434"/>
  <c r="Y308" i="434"/>
  <c r="X308" i="434"/>
  <c r="U308" i="434"/>
  <c r="T308" i="434"/>
  <c r="S308" i="434"/>
  <c r="Q308" i="434"/>
  <c r="P308" i="434"/>
  <c r="O308" i="434"/>
  <c r="I308" i="434"/>
  <c r="G308" i="434"/>
  <c r="V307" i="434"/>
  <c r="W307" i="434" s="1"/>
  <c r="N307" i="434"/>
  <c r="K307" i="434" a="1"/>
  <c r="K307" i="434" s="1"/>
  <c r="M307" i="434" s="1"/>
  <c r="J307" i="434" a="1"/>
  <c r="J307" i="434" s="1"/>
  <c r="H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N293" i="434"/>
  <c r="K293" i="434" a="1"/>
  <c r="K293" i="434" s="1"/>
  <c r="J293" i="434" a="1"/>
  <c r="J293" i="434" s="1"/>
  <c r="H293" i="434"/>
  <c r="AA292" i="434"/>
  <c r="Z292" i="434"/>
  <c r="Y292" i="434"/>
  <c r="X292" i="434"/>
  <c r="U292" i="434"/>
  <c r="T292" i="434"/>
  <c r="S292" i="434"/>
  <c r="R292" i="434"/>
  <c r="Q292" i="434"/>
  <c r="P292" i="434"/>
  <c r="O292" i="434"/>
  <c r="I292" i="434"/>
  <c r="G292" i="434"/>
  <c r="V291" i="434"/>
  <c r="W291" i="434" s="1"/>
  <c r="N291" i="434"/>
  <c r="K291" i="434" a="1"/>
  <c r="K291" i="434" s="1"/>
  <c r="M291" i="434" s="1"/>
  <c r="J291" i="434" a="1"/>
  <c r="J291" i="434" s="1"/>
  <c r="H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5" i="434"/>
  <c r="W285" i="434" s="1"/>
  <c r="N285" i="434"/>
  <c r="K285" i="434" a="1"/>
  <c r="K285" i="434" s="1"/>
  <c r="M285" i="434" s="1"/>
  <c r="J285" i="434" a="1"/>
  <c r="J285" i="434" s="1"/>
  <c r="H285" i="434"/>
  <c r="V284" i="434"/>
  <c r="W284" i="434" s="1"/>
  <c r="N284" i="434"/>
  <c r="K284" i="434" a="1"/>
  <c r="K284" i="434" s="1"/>
  <c r="M284" i="434" s="1"/>
  <c r="J284" i="434" a="1"/>
  <c r="J284" i="434" s="1"/>
  <c r="H284" i="434"/>
  <c r="N283" i="434"/>
  <c r="K283" i="434" a="1"/>
  <c r="K283" i="434" s="1"/>
  <c r="M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V277" i="434"/>
  <c r="W277" i="434" s="1"/>
  <c r="N277" i="434"/>
  <c r="K277" i="434" a="1"/>
  <c r="K277" i="434" s="1"/>
  <c r="M277" i="434" s="1"/>
  <c r="J277" i="434" a="1"/>
  <c r="J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N265" i="434"/>
  <c r="K265" i="434" a="1"/>
  <c r="K265" i="434" s="1"/>
  <c r="M265" i="434" s="1"/>
  <c r="H265" i="434"/>
  <c r="V264" i="434"/>
  <c r="W264" i="434" s="1"/>
  <c r="N264" i="434"/>
  <c r="K264" i="434" a="1"/>
  <c r="K264" i="434" s="1"/>
  <c r="M264" i="434" s="1"/>
  <c r="J264" i="434" a="1"/>
  <c r="J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N258" i="434"/>
  <c r="K258" i="434" a="1"/>
  <c r="K258" i="434" s="1"/>
  <c r="J258" i="434" a="1"/>
  <c r="J258" i="434" s="1"/>
  <c r="H258" i="434"/>
  <c r="AA257" i="434"/>
  <c r="Z257" i="434"/>
  <c r="Y257" i="434"/>
  <c r="X257" i="434"/>
  <c r="U257" i="434"/>
  <c r="T257" i="434"/>
  <c r="S257" i="434"/>
  <c r="R257" i="434"/>
  <c r="Q257" i="434"/>
  <c r="P257" i="434"/>
  <c r="O257" i="434"/>
  <c r="I257" i="434"/>
  <c r="G257" i="434"/>
  <c r="V246" i="434"/>
  <c r="W246" i="434" s="1"/>
  <c r="N246" i="434"/>
  <c r="K246" i="434" a="1"/>
  <c r="K246" i="434" s="1"/>
  <c r="M246" i="434" s="1"/>
  <c r="J246" i="434" a="1"/>
  <c r="J246" i="434" s="1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1" i="434"/>
  <c r="W241" i="434" s="1"/>
  <c r="N241" i="434"/>
  <c r="K241" i="434" a="1"/>
  <c r="K241" i="434" s="1"/>
  <c r="M241" i="434" s="1"/>
  <c r="J241" i="434" a="1"/>
  <c r="J241" i="434" s="1"/>
  <c r="V240" i="434"/>
  <c r="W240" i="434" s="1"/>
  <c r="N240" i="434"/>
  <c r="J240" i="434" a="1"/>
  <c r="J240" i="434" s="1"/>
  <c r="H239" i="434"/>
  <c r="V237" i="434"/>
  <c r="W237" i="434" s="1"/>
  <c r="N237" i="434"/>
  <c r="K237" i="434" a="1"/>
  <c r="K237" i="434" s="1"/>
  <c r="M237" i="434" s="1"/>
  <c r="J237" i="434" a="1"/>
  <c r="J237" i="434" s="1"/>
  <c r="H237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V228" i="434"/>
  <c r="W228" i="434" s="1"/>
  <c r="K228" i="434" a="1"/>
  <c r="K228" i="434" s="1"/>
  <c r="M228" i="434" s="1"/>
  <c r="J228" i="434" a="1"/>
  <c r="J228" i="434" s="1"/>
  <c r="N223" i="434"/>
  <c r="K223" i="434" a="1"/>
  <c r="K223" i="434" s="1"/>
  <c r="M223" i="434" s="1"/>
  <c r="H223" i="434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V219" i="434"/>
  <c r="W219" i="434" s="1"/>
  <c r="N219" i="434"/>
  <c r="K219" i="434" a="1"/>
  <c r="K219" i="434" s="1"/>
  <c r="M219" i="434" s="1"/>
  <c r="J219" i="434" a="1"/>
  <c r="J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4" i="434"/>
  <c r="W204" i="434" s="1"/>
  <c r="N204" i="434"/>
  <c r="K204" i="434" a="1"/>
  <c r="K204" i="434" s="1"/>
  <c r="M204" i="434" s="1"/>
  <c r="J204" i="434" a="1"/>
  <c r="J204" i="434" s="1"/>
  <c r="V203" i="434"/>
  <c r="W203" i="434" s="1"/>
  <c r="N203" i="434"/>
  <c r="K203" i="434" a="1"/>
  <c r="K203" i="434" s="1"/>
  <c r="M203" i="434" s="1"/>
  <c r="J203" i="434" a="1"/>
  <c r="J203" i="434" s="1"/>
  <c r="H203" i="434"/>
  <c r="V202" i="434"/>
  <c r="W202" i="434" s="1"/>
  <c r="N202" i="434"/>
  <c r="K202" i="434" a="1"/>
  <c r="K202" i="434" s="1"/>
  <c r="M202" i="434" s="1"/>
  <c r="J202" i="434" a="1"/>
  <c r="J202" i="434" s="1"/>
  <c r="H202" i="434"/>
  <c r="V200" i="434"/>
  <c r="W200" i="434" s="1"/>
  <c r="N200" i="434"/>
  <c r="K200" i="434" a="1"/>
  <c r="K200" i="434" s="1"/>
  <c r="M200" i="434" s="1"/>
  <c r="J200" i="434" a="1"/>
  <c r="J200" i="434" s="1"/>
  <c r="H200" i="434"/>
  <c r="AA199" i="434"/>
  <c r="AA335" i="434" s="1"/>
  <c r="Z199" i="434"/>
  <c r="Z335" i="434" s="1"/>
  <c r="Y199" i="434"/>
  <c r="Y335" i="434" s="1"/>
  <c r="X199" i="434"/>
  <c r="X335" i="434" s="1"/>
  <c r="U199" i="434"/>
  <c r="U335" i="434" s="1"/>
  <c r="T199" i="434"/>
  <c r="T335" i="434" s="1"/>
  <c r="S199" i="434"/>
  <c r="S335" i="434" s="1"/>
  <c r="R199" i="434"/>
  <c r="R335" i="434" s="1"/>
  <c r="Q199" i="434"/>
  <c r="Q335" i="434" s="1"/>
  <c r="P199" i="434"/>
  <c r="O199" i="434"/>
  <c r="O335" i="434" s="1"/>
  <c r="I199" i="434"/>
  <c r="I335" i="434" s="1"/>
  <c r="G199" i="434"/>
  <c r="G335" i="434" s="1"/>
  <c r="V198" i="434"/>
  <c r="W198" i="434" s="1"/>
  <c r="N198" i="434"/>
  <c r="K198" i="434" a="1"/>
  <c r="K198" i="434" s="1"/>
  <c r="M198" i="434" s="1"/>
  <c r="J198" i="434" a="1"/>
  <c r="J198" i="434" s="1"/>
  <c r="H198" i="434"/>
  <c r="V197" i="434"/>
  <c r="W197" i="434" s="1"/>
  <c r="N197" i="434"/>
  <c r="K197" i="434" a="1"/>
  <c r="K197" i="434" s="1"/>
  <c r="M197" i="434" s="1"/>
  <c r="J197" i="434" a="1"/>
  <c r="J197" i="434" s="1"/>
  <c r="H197" i="434"/>
  <c r="K196" i="434" a="1"/>
  <c r="K196" i="434" s="1"/>
  <c r="M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V192" i="434"/>
  <c r="W192" i="434" s="1"/>
  <c r="N192" i="434"/>
  <c r="K192" i="434" a="1"/>
  <c r="K192" i="434" s="1"/>
  <c r="M192" i="434" s="1"/>
  <c r="J192" i="434" a="1"/>
  <c r="J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V187" i="434"/>
  <c r="W187" i="434" s="1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N185" i="434"/>
  <c r="K185" i="434" a="1"/>
  <c r="K185" i="434" s="1"/>
  <c r="M185" i="434" s="1"/>
  <c r="H185" i="434"/>
  <c r="N184" i="434"/>
  <c r="K184" i="434" a="1"/>
  <c r="K184" i="434" s="1"/>
  <c r="M184" i="434" s="1"/>
  <c r="H184" i="434"/>
  <c r="V183" i="434"/>
  <c r="W183" i="434" s="1"/>
  <c r="N183" i="434"/>
  <c r="K183" i="434" a="1"/>
  <c r="K183" i="434" s="1"/>
  <c r="M183" i="434" s="1"/>
  <c r="J183" i="434" a="1"/>
  <c r="J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G170" i="434"/>
  <c r="C170" i="434"/>
  <c r="I169" i="434"/>
  <c r="E169" i="434"/>
  <c r="I168" i="434"/>
  <c r="E168" i="434"/>
  <c r="I167" i="434"/>
  <c r="E167" i="434"/>
  <c r="I166" i="434"/>
  <c r="I170" i="434" s="1"/>
  <c r="E166" i="434"/>
  <c r="E170" i="434" s="1"/>
  <c r="AA163" i="434"/>
  <c r="Z163" i="434"/>
  <c r="Y163" i="434"/>
  <c r="X163" i="434"/>
  <c r="U163" i="434"/>
  <c r="T163" i="434"/>
  <c r="S163" i="434"/>
  <c r="R163" i="434"/>
  <c r="Q163" i="434"/>
  <c r="P163" i="434"/>
  <c r="O163" i="434"/>
  <c r="I163" i="434"/>
  <c r="G163" i="434"/>
  <c r="V159" i="434"/>
  <c r="W159" i="434" s="1"/>
  <c r="N159" i="434"/>
  <c r="K159" i="434" a="1"/>
  <c r="K159" i="434" s="1"/>
  <c r="J159" i="434" a="1"/>
  <c r="J159" i="434" s="1"/>
  <c r="D159" i="434"/>
  <c r="V158" i="434"/>
  <c r="W158" i="434" s="1"/>
  <c r="N158" i="434"/>
  <c r="K158" i="434" a="1"/>
  <c r="K158" i="434" s="1"/>
  <c r="M158" i="434" s="1"/>
  <c r="J158" i="434" a="1"/>
  <c r="J158" i="434" s="1"/>
  <c r="V155" i="434"/>
  <c r="W155" i="434" s="1"/>
  <c r="N155" i="434"/>
  <c r="K155" i="434" a="1"/>
  <c r="K155" i="434" s="1"/>
  <c r="M155" i="434" s="1"/>
  <c r="J155" i="434" a="1"/>
  <c r="J155" i="434" s="1"/>
  <c r="V154" i="434"/>
  <c r="W154" i="434" s="1"/>
  <c r="N154" i="434"/>
  <c r="K154" i="434" a="1"/>
  <c r="K154" i="434" s="1"/>
  <c r="M154" i="434" s="1"/>
  <c r="J154" i="434" a="1"/>
  <c r="J154" i="434" s="1"/>
  <c r="V152" i="434"/>
  <c r="W152" i="434" s="1"/>
  <c r="N152" i="434"/>
  <c r="K152" i="434" a="1"/>
  <c r="K152" i="434" s="1"/>
  <c r="M152" i="434" s="1"/>
  <c r="J152" i="434" a="1"/>
  <c r="J152" i="434" s="1"/>
  <c r="V151" i="434"/>
  <c r="W151" i="434" s="1"/>
  <c r="N151" i="434"/>
  <c r="K151" i="434" a="1"/>
  <c r="K151" i="434" s="1"/>
  <c r="M151" i="434" s="1"/>
  <c r="J151" i="434" a="1"/>
  <c r="J151" i="434" s="1"/>
  <c r="H151" i="434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J149" i="434" a="1"/>
  <c r="J149" i="434" s="1"/>
  <c r="H149" i="434"/>
  <c r="AA148" i="434"/>
  <c r="Z148" i="434"/>
  <c r="Y148" i="434"/>
  <c r="X148" i="434"/>
  <c r="U148" i="434"/>
  <c r="T148" i="434"/>
  <c r="S148" i="434"/>
  <c r="Q148" i="434"/>
  <c r="P148" i="434"/>
  <c r="O148" i="434"/>
  <c r="I148" i="434"/>
  <c r="G148" i="434"/>
  <c r="C528" i="434" s="1"/>
  <c r="V147" i="434"/>
  <c r="W147" i="434" s="1"/>
  <c r="N147" i="434"/>
  <c r="K147" i="434" a="1"/>
  <c r="K147" i="434" s="1"/>
  <c r="M147" i="434" s="1"/>
  <c r="J147" i="434" a="1"/>
  <c r="J147" i="434" s="1"/>
  <c r="H147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6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4" i="434" s="1"/>
  <c r="Y28" i="434"/>
  <c r="X28" i="434"/>
  <c r="X164" i="434" s="1"/>
  <c r="U28" i="434"/>
  <c r="T28" i="434"/>
  <c r="S28" i="434"/>
  <c r="R28" i="434"/>
  <c r="Q28" i="434"/>
  <c r="Q164" i="434" s="1"/>
  <c r="P28" i="434"/>
  <c r="O28" i="434"/>
  <c r="O164" i="434" s="1"/>
  <c r="I28" i="434"/>
  <c r="G28" i="434"/>
  <c r="G164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7" i="434" l="1"/>
  <c r="O507" i="434"/>
  <c r="X510" i="434" s="1"/>
  <c r="X509" i="434"/>
  <c r="P335" i="434"/>
  <c r="X339" i="434" s="1"/>
  <c r="X338" i="434"/>
  <c r="B515" i="434"/>
  <c r="S164" i="434"/>
  <c r="U164" i="434"/>
  <c r="Y164" i="434"/>
  <c r="AA164" i="434"/>
  <c r="C525" i="434"/>
  <c r="K510" i="434"/>
  <c r="M510" i="434" s="1"/>
  <c r="K511" i="434"/>
  <c r="M511" i="434" s="1"/>
  <c r="K512" i="434"/>
  <c r="M512" i="434" s="1"/>
  <c r="R167" i="434"/>
  <c r="J257" i="434" a="1"/>
  <c r="J257" i="434" s="1"/>
  <c r="C536" i="434"/>
  <c r="I164" i="434"/>
  <c r="B172" i="434" s="1"/>
  <c r="P164" i="434"/>
  <c r="X168" i="434" s="1"/>
  <c r="R164" i="434"/>
  <c r="T164" i="434"/>
  <c r="N257" i="434"/>
  <c r="N121" i="434"/>
  <c r="J292" i="434" a="1"/>
  <c r="J292" i="434" s="1"/>
  <c r="R339" i="434"/>
  <c r="N199" i="434"/>
  <c r="N28" i="434"/>
  <c r="R168" i="434"/>
  <c r="N137" i="434"/>
  <c r="N148" i="434"/>
  <c r="J308" i="434" a="1"/>
  <c r="J308" i="434" s="1"/>
  <c r="N334" i="434"/>
  <c r="K338" i="434"/>
  <c r="M338" i="434" s="1"/>
  <c r="K339" i="434"/>
  <c r="M339" i="434" s="1"/>
  <c r="K340" i="434"/>
  <c r="M340" i="434" s="1"/>
  <c r="N370" i="434"/>
  <c r="V479" i="434"/>
  <c r="W479" i="434" s="1"/>
  <c r="H28" i="434"/>
  <c r="H479" i="434"/>
  <c r="C524" i="434"/>
  <c r="N86" i="434"/>
  <c r="H137" i="434"/>
  <c r="V137" i="434"/>
  <c r="W137" i="434" s="1"/>
  <c r="C527" i="434"/>
  <c r="N163" i="434"/>
  <c r="C529" i="434"/>
  <c r="B343" i="434"/>
  <c r="H292" i="434"/>
  <c r="V292" i="434"/>
  <c r="W292" i="434" s="1"/>
  <c r="V308" i="434"/>
  <c r="W308" i="434" s="1"/>
  <c r="N319" i="434"/>
  <c r="J319" i="434" a="1"/>
  <c r="J319" i="434" s="1"/>
  <c r="N428" i="434"/>
  <c r="H463" i="434"/>
  <c r="V463" i="434"/>
  <c r="W463" i="434" s="1"/>
  <c r="J479" i="434" a="1"/>
  <c r="J479" i="434" s="1"/>
  <c r="R512" i="434"/>
  <c r="H490" i="434"/>
  <c r="V490" i="434"/>
  <c r="W490" i="434" s="1"/>
  <c r="J490" i="434" a="1"/>
  <c r="J490" i="434" s="1"/>
  <c r="R513" i="434"/>
  <c r="K121" i="434"/>
  <c r="M137" i="434"/>
  <c r="V28" i="434"/>
  <c r="H86" i="434"/>
  <c r="V86" i="434"/>
  <c r="W86" i="434" s="1"/>
  <c r="H121" i="434"/>
  <c r="V121" i="434"/>
  <c r="W121" i="434" s="1"/>
  <c r="R169" i="434"/>
  <c r="H148" i="434"/>
  <c r="V148" i="434"/>
  <c r="W148" i="434" s="1"/>
  <c r="R170" i="434"/>
  <c r="H163" i="434"/>
  <c r="R171" i="434"/>
  <c r="K529" i="434" s="1"/>
  <c r="K167" i="434"/>
  <c r="M167" i="434" s="1"/>
  <c r="K168" i="434"/>
  <c r="M168" i="434" s="1"/>
  <c r="K169" i="434"/>
  <c r="M169" i="434" s="1"/>
  <c r="H199" i="434"/>
  <c r="K292" i="434"/>
  <c r="R340" i="434"/>
  <c r="H319" i="434"/>
  <c r="V319" i="434"/>
  <c r="W319" i="434" s="1"/>
  <c r="R341" i="434"/>
  <c r="H334" i="434"/>
  <c r="V334" i="434"/>
  <c r="R342" i="434"/>
  <c r="H370" i="434"/>
  <c r="V370" i="434"/>
  <c r="J370" i="434" a="1"/>
  <c r="J370" i="434" s="1"/>
  <c r="H428" i="434"/>
  <c r="J428" i="434" a="1"/>
  <c r="J428" i="434" s="1"/>
  <c r="R510" i="434"/>
  <c r="N463" i="434"/>
  <c r="W429" i="434"/>
  <c r="R511" i="434"/>
  <c r="N479" i="434"/>
  <c r="W464" i="434"/>
  <c r="N490" i="434"/>
  <c r="N506" i="434"/>
  <c r="R514" i="434"/>
  <c r="J137" i="434" a="1"/>
  <c r="J137" i="434" s="1"/>
  <c r="J148" i="434" a="1"/>
  <c r="J148" i="434" s="1"/>
  <c r="J199" i="434" a="1"/>
  <c r="J199" i="434" s="1"/>
  <c r="H257" i="434"/>
  <c r="V257" i="434"/>
  <c r="W257" i="434" s="1"/>
  <c r="N292" i="434"/>
  <c r="W258" i="434"/>
  <c r="K463" i="434"/>
  <c r="J463" i="434" a="1"/>
  <c r="J463" i="434" s="1"/>
  <c r="J506" i="434" a="1"/>
  <c r="J506" i="434" s="1"/>
  <c r="M28" i="434"/>
  <c r="Q525" i="434"/>
  <c r="Q527" i="434"/>
  <c r="Q529" i="434"/>
  <c r="K86" i="434"/>
  <c r="M86" i="434"/>
  <c r="K527" i="434"/>
  <c r="K148" i="434"/>
  <c r="M138" i="434"/>
  <c r="M148" i="434" s="1"/>
  <c r="K528" i="434"/>
  <c r="K163" i="434"/>
  <c r="M149" i="434"/>
  <c r="M163" i="434" s="1"/>
  <c r="W7" i="434"/>
  <c r="M199" i="434"/>
  <c r="W199" i="434"/>
  <c r="W28" i="434"/>
  <c r="Q524" i="434"/>
  <c r="Q528" i="434"/>
  <c r="K525" i="434"/>
  <c r="K526" i="434"/>
  <c r="K308" i="434"/>
  <c r="M293" i="434"/>
  <c r="M308" i="434" s="1"/>
  <c r="K28" i="434"/>
  <c r="M257" i="434"/>
  <c r="C530" i="434"/>
  <c r="E524" i="434" s="1"/>
  <c r="K319" i="434"/>
  <c r="M309" i="434"/>
  <c r="M319" i="434" s="1"/>
  <c r="K334" i="434"/>
  <c r="M320" i="434"/>
  <c r="M334" i="434" s="1"/>
  <c r="M87" i="434"/>
  <c r="M121" i="434" s="1"/>
  <c r="J121" i="434" a="1"/>
  <c r="J121" i="434" s="1"/>
  <c r="K137" i="434"/>
  <c r="J163" i="434" a="1"/>
  <c r="J163" i="434" s="1"/>
  <c r="V163" i="434"/>
  <c r="W163" i="434" s="1"/>
  <c r="K166" i="434"/>
  <c r="R166" i="434"/>
  <c r="K199" i="434"/>
  <c r="V199" i="434"/>
  <c r="V335" i="434" s="1"/>
  <c r="K257" i="434"/>
  <c r="M428" i="434"/>
  <c r="J335" i="434" a="1"/>
  <c r="J335" i="434" s="1"/>
  <c r="M342" i="434" s="1"/>
  <c r="B342" i="434"/>
  <c r="R337" i="434"/>
  <c r="K370" i="434"/>
  <c r="M370" i="434"/>
  <c r="J28" i="434" a="1"/>
  <c r="J28" i="434" s="1"/>
  <c r="J86" i="434" a="1"/>
  <c r="J86" i="434" s="1"/>
  <c r="W138" i="434"/>
  <c r="R338" i="434"/>
  <c r="M258" i="434"/>
  <c r="M292" i="434" s="1"/>
  <c r="H308" i="434"/>
  <c r="N308" i="434"/>
  <c r="W293" i="434"/>
  <c r="B514" i="434"/>
  <c r="J507" i="434" a="1"/>
  <c r="J507" i="434" s="1"/>
  <c r="M514" i="434" s="1"/>
  <c r="R509" i="434"/>
  <c r="K490" i="434"/>
  <c r="M480" i="434"/>
  <c r="M490" i="434" s="1"/>
  <c r="K506" i="434"/>
  <c r="M491" i="434"/>
  <c r="M506" i="434" s="1"/>
  <c r="W309" i="434"/>
  <c r="W320" i="434"/>
  <c r="W334" i="434" s="1"/>
  <c r="K337" i="434"/>
  <c r="W349" i="434"/>
  <c r="W370" i="434" s="1"/>
  <c r="V428" i="434"/>
  <c r="W428" i="434" s="1"/>
  <c r="M479" i="434"/>
  <c r="H506" i="434"/>
  <c r="W506" i="434"/>
  <c r="K428" i="434"/>
  <c r="T536" i="434" a="1"/>
  <c r="T536" i="434" s="1"/>
  <c r="M429" i="434"/>
  <c r="M463" i="434" s="1"/>
  <c r="K479" i="434"/>
  <c r="V506" i="434"/>
  <c r="J533" i="434"/>
  <c r="J534" i="434"/>
  <c r="Q534" i="434" s="1"/>
  <c r="J535" i="434"/>
  <c r="Q535" i="434" s="1"/>
  <c r="W480" i="434"/>
  <c r="K509" i="434"/>
  <c r="T533" i="434" a="1"/>
  <c r="T533" i="434" s="1"/>
  <c r="K507" i="434" l="1"/>
  <c r="V507" i="434"/>
  <c r="N507" i="434"/>
  <c r="M507" i="434"/>
  <c r="H507" i="434"/>
  <c r="E514" i="434" s="1"/>
  <c r="E529" i="434"/>
  <c r="E526" i="434"/>
  <c r="B516" i="434"/>
  <c r="E516" i="434" s="1"/>
  <c r="K335" i="434"/>
  <c r="M335" i="434"/>
  <c r="H335" i="434"/>
  <c r="E342" i="434" s="1"/>
  <c r="N335" i="434"/>
  <c r="B344" i="434" s="1"/>
  <c r="E344" i="434" s="1"/>
  <c r="W335" i="434"/>
  <c r="C520" i="434"/>
  <c r="M164" i="434"/>
  <c r="N164" i="434"/>
  <c r="B173" i="434" s="1"/>
  <c r="E173" i="434" s="1"/>
  <c r="K164" i="434"/>
  <c r="E172" i="434" s="1"/>
  <c r="W164" i="434"/>
  <c r="V164" i="434"/>
  <c r="H164" i="434"/>
  <c r="E171" i="434" s="1"/>
  <c r="X173" i="434"/>
  <c r="Z166" i="434" s="1" a="1"/>
  <c r="Z166" i="434" s="1"/>
  <c r="E528" i="434"/>
  <c r="E527" i="434"/>
  <c r="E525" i="434"/>
  <c r="K513" i="434"/>
  <c r="M513" i="434" s="1"/>
  <c r="M509" i="434"/>
  <c r="S534" i="434" a="1"/>
  <c r="S534" i="434" s="1"/>
  <c r="R534" i="434"/>
  <c r="X516" i="434"/>
  <c r="Z509" i="434" s="1" a="1"/>
  <c r="Z509" i="434" s="1"/>
  <c r="R344" i="434"/>
  <c r="T337" i="434" s="1" a="1"/>
  <c r="T337" i="434" s="1"/>
  <c r="X344" i="434"/>
  <c r="Z337" i="434" s="1" a="1"/>
  <c r="Z337" i="434" s="1"/>
  <c r="K524" i="434"/>
  <c r="R173" i="434"/>
  <c r="T166" i="434" s="1" a="1"/>
  <c r="T166" i="434" s="1"/>
  <c r="S535" i="434" a="1"/>
  <c r="S535" i="434" s="1"/>
  <c r="R535" i="434"/>
  <c r="Q533" i="434"/>
  <c r="J536" i="434"/>
  <c r="K341" i="434"/>
  <c r="M341" i="434" s="1"/>
  <c r="M337" i="434"/>
  <c r="R516" i="434"/>
  <c r="T509" i="434" s="1" a="1"/>
  <c r="T509" i="434" s="1"/>
  <c r="I344" i="434"/>
  <c r="M344" i="434" s="1" a="1"/>
  <c r="M344" i="434" s="1"/>
  <c r="Q526" i="434"/>
  <c r="Q530" i="434" s="1"/>
  <c r="K170" i="434"/>
  <c r="M170" i="434" s="1"/>
  <c r="M166" i="434"/>
  <c r="J164" i="434" a="1"/>
  <c r="J164" i="434" s="1"/>
  <c r="M171" i="434" s="1"/>
  <c r="B171" i="434"/>
  <c r="C519" i="434" s="1"/>
  <c r="Z512" i="434" l="1"/>
  <c r="T338" i="434"/>
  <c r="Z341" i="434"/>
  <c r="Z170" i="434"/>
  <c r="Z338" i="434"/>
  <c r="Z342" i="434"/>
  <c r="Z339" i="434"/>
  <c r="Z171" i="434"/>
  <c r="Z167" i="434"/>
  <c r="C521" i="434"/>
  <c r="G521" i="434" s="1"/>
  <c r="Z513" i="434"/>
  <c r="S529" i="434"/>
  <c r="G519" i="434"/>
  <c r="Z343" i="434"/>
  <c r="Z510" i="434"/>
  <c r="Z514" i="434"/>
  <c r="Z168" i="434"/>
  <c r="Z340" i="434"/>
  <c r="Z511" i="434"/>
  <c r="Z515" i="434"/>
  <c r="Z169" i="434"/>
  <c r="Z172" i="434"/>
  <c r="E530" i="434"/>
  <c r="S525" i="434"/>
  <c r="S527" i="434"/>
  <c r="I173" i="434"/>
  <c r="I516" i="434"/>
  <c r="M516" i="434" s="1" a="1"/>
  <c r="M516" i="434" s="1"/>
  <c r="W507" i="434"/>
  <c r="O519" i="434" a="1"/>
  <c r="O519" i="434" s="1"/>
  <c r="E343" i="434"/>
  <c r="I343" i="434" s="1"/>
  <c r="M343" i="434" s="1"/>
  <c r="L335" i="434"/>
  <c r="I342" i="434" s="1"/>
  <c r="K530" i="434"/>
  <c r="T167" i="434"/>
  <c r="T168" i="434"/>
  <c r="T172" i="434"/>
  <c r="T169" i="434"/>
  <c r="T170" i="434"/>
  <c r="T171" i="434"/>
  <c r="S528" i="434"/>
  <c r="I172" i="434"/>
  <c r="M172" i="434" s="1"/>
  <c r="E515" i="434"/>
  <c r="I515" i="434" s="1"/>
  <c r="M515" i="434" s="1"/>
  <c r="L507" i="434"/>
  <c r="I514" i="434" s="1"/>
  <c r="T510" i="434"/>
  <c r="T512" i="434"/>
  <c r="T514" i="434"/>
  <c r="T513" i="434"/>
  <c r="T515" i="434"/>
  <c r="T511" i="434"/>
  <c r="Q536" i="434"/>
  <c r="S536" i="434" s="1" a="1"/>
  <c r="S536" i="434" s="1"/>
  <c r="S533" i="434" a="1"/>
  <c r="S533" i="434" s="1"/>
  <c r="R533" i="434"/>
  <c r="R536" i="434" s="1"/>
  <c r="T339" i="434"/>
  <c r="T341" i="434"/>
  <c r="T343" i="434"/>
  <c r="T340" i="434"/>
  <c r="T342" i="434"/>
  <c r="S524" i="434" a="1"/>
  <c r="S524" i="434" s="1"/>
  <c r="L164" i="434"/>
  <c r="I171" i="434" s="1"/>
  <c r="S526" i="434"/>
  <c r="M524" i="434" a="1"/>
  <c r="M524" i="434" s="1"/>
  <c r="M526" i="434" l="1"/>
  <c r="M529" i="434"/>
  <c r="M527" i="434"/>
  <c r="M525" i="434"/>
  <c r="M528" i="434"/>
  <c r="S530" i="434"/>
  <c r="G520" i="434"/>
  <c r="K521" i="434"/>
  <c r="O521" i="434" s="1" a="1"/>
  <c r="O521" i="434" s="1"/>
  <c r="M173" i="434" a="1"/>
  <c r="M173" i="434" s="1"/>
  <c r="K520" i="434" l="1"/>
  <c r="O520" i="434" s="1"/>
  <c r="K519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75件返工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12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返工624件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G20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退库返箱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返工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3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4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5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<sst xmlns="http://schemas.openxmlformats.org/spreadsheetml/2006/main" count="25785" uniqueCount="556">
  <si>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</si>
  <si>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</si>
  <si>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</si>
  <si>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</si>
  <si>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</si>
  <si>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</si>
  <si>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</si>
  <si>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</si>
  <si>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</si>
  <si>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</si>
  <si>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</si>
  <si>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</si>
  <si>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</si>
  <si>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</si>
  <si>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</si>
  <si>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</si>
  <si>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</si>
  <si>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</si>
  <si>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</si>
  <si>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</si>
  <si>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</si>
  <si>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</si>
  <si>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</si>
  <si>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</si>
  <si>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</si>
  <si>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</si>
  <si>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</si>
  <si>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</si>
  <si>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</si>
  <si>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</si>
  <si>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</si>
  <si>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</si>
  <si>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</si>
  <si>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</si>
  <si>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</si>
  <si>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</si>
  <si>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</si>
  <si>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</si>
  <si>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</si>
  <si>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</si>
  <si>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</si>
  <si>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</si>
  <si>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</si>
  <si>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</si>
  <si>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</si>
  <si>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</si>
  <si>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</si>
  <si>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</si>
  <si>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</si>
  <si>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</si>
  <si>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</si>
  <si>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</si>
  <si>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</si>
  <si>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</si>
  <si>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</si>
  <si>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</si>
  <si>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</si>
  <si>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</si>
  <si>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</si>
  <si>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</si>
  <si>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</si>
  <si>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</si>
  <si>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</si>
  <si>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</si>
  <si>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</si>
  <si>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</si>
  <si>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</si>
  <si>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</si>
  <si>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</si>
  <si>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</si>
  <si>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</si>
  <si>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</si>
  <si>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</si>
  <si>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</si>
  <si>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</si>
  <si>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</si>
  <si>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</si>
  <si>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</si>
  <si>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</si>
  <si>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</si>
  <si>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</si>
  <si>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</si>
  <si>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</si>
  <si>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</si>
  <si>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</si>
  <si>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</si>
  <si>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</si>
  <si>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</si>
  <si>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</si>
  <si>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</si>
  <si>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</si>
  <si>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</si>
  <si>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</si>
  <si>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</si>
  <si>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</si>
  <si>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</si>
  <si>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</si>
  <si>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</si>
  <si>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</si>
  <si>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</si>
  <si>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</si>
  <si>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</si>
  <si>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</si>
  <si>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</si>
  <si>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</si>
  <si>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</si>
  <si>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</si>
  <si>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</si>
  <si>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</si>
  <si>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</si>
  <si>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</si>
  <si>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</si>
  <si>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</si>
  <si>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</si>
  <si>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</si>
  <si>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</si>
  <si>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</si>
  <si>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</si>
  <si>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</si>
  <si>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</si>
  <si>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</si>
  <si>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</si>
  <si>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</si>
  <si>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</si>
  <si>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</si>
  <si>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</si>
  <si>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</si>
  <si>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</si>
  <si>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</si>
  <si>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</si>
  <si>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</si>
  <si>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</si>
  <si>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</si>
  <si>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</si>
  <si>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</si>
  <si>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</si>
  <si>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</si>
  <si>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</si>
  <si>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</si>
  <si>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</si>
  <si>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</si>
  <si>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</si>
  <si>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</si>
  <si>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</si>
  <si>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</si>
  <si>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</si>
  <si>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</si>
  <si>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</si>
  <si>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</si>
  <si>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</si>
  <si>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</si>
  <si>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</si>
  <si>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</si>
  <si>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</si>
  <si>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</si>
  <si>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</si>
  <si>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</si>
  <si>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</si>
  <si>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</si>
  <si>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</si>
  <si>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</si>
  <si>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</si>
  <si>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</si>
  <si>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</si>
  <si>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</si>
  <si>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</si>
  <si>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</si>
  <si>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</si>
  <si>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</si>
  <si>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</si>
  <si>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</si>
  <si>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</si>
  <si>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</si>
  <si>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</si>
  <si>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</si>
  <si>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</si>
  <si>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</si>
  <si>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</si>
  <si>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</si>
  <si>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</si>
  <si>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</si>
  <si>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</si>
  <si>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</si>
  <si>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</si>
  <si>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</si>
  <si>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</si>
  <si>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</si>
  <si>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</si>
  <si>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</si>
  <si>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</si>
  <si>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</si>
  <si>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</si>
  <si>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</si>
  <si>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</si>
  <si>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</si>
  <si>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</si>
  <si>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</si>
  <si>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</si>
  <si>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</si>
  <si>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</si>
  <si>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</si>
  <si>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</si>
  <si>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</si>
  <si>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</si>
  <si>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</si>
  <si>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</si>
  <si>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</si>
  <si>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</si>
  <si>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</si>
  <si>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</si>
  <si>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</si>
  <si>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</si>
  <si>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</si>
  <si>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</si>
  <si>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</si>
  <si>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</si>
  <si>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</si>
  <si>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</si>
  <si>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</si>
  <si>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</si>
  <si>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</si>
  <si>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</si>
  <si>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</si>
  <si>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</si>
  <si>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</si>
  <si>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</si>
  <si>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</si>
  <si>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</si>
  <si>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</si>
  <si>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</si>
  <si>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</si>
  <si>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</si>
  <si>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</si>
  <si>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</si>
  <si>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</si>
  <si>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</si>
  <si>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</si>
  <si>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</si>
  <si>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</si>
  <si>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</si>
  <si>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</si>
  <si>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</si>
  <si>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</si>
  <si>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</si>
  <si>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</si>
  <si>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</si>
  <si>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</si>
  <si>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</si>
  <si>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</si>
  <si>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</si>
  <si>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</si>
  <si>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</si>
  <si>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</si>
  <si>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</si>
  <si>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</si>
  <si>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</si>
  <si>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</si>
  <si>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</si>
  <si>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</si>
  <si>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</si>
  <si>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</si>
  <si>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</si>
  <si>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</si>
  <si>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</si>
  <si>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</si>
  <si>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</si>
  <si>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</si>
  <si>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</si>
  <si>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</si>
  <si>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</si>
  <si>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</si>
  <si>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</si>
  <si>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</si>
  <si>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</si>
  <si>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</si>
  <si>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</si>
  <si>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</si>
  <si>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</si>
  <si>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</si>
  <si>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</si>
  <si>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</si>
  <si>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</si>
  <si>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</si>
  <si>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</si>
  <si>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</si>
  <si>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</si>
  <si>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</si>
  <si>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</si>
  <si>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</si>
  <si>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</si>
  <si>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</si>
  <si>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</si>
  <si>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</si>
  <si>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</si>
  <si>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</si>
  <si>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</si>
  <si>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</si>
  <si>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</si>
  <si>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</si>
  <si>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</si>
  <si>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</si>
  <si>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</si>
  <si>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</si>
  <si>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</si>
  <si>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</si>
  <si>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</si>
  <si>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</si>
  <si>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</si>
  <si>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</si>
  <si>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</si>
  <si>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</si>
  <si>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</si>
  <si>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</si>
  <si>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</si>
  <si>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</si>
  <si>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</si>
  <si>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</si>
  <si>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</si>
  <si>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</si>
  <si>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</si>
  <si>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</si>
  <si>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</si>
  <si>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</si>
  <si>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</si>
  <si>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</si>
  <si>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</si>
  <si>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</si>
  <si>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</si>
  <si>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</si>
  <si>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</si>
  <si>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</si>
  <si>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</si>
  <si>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</si>
  <si>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</si>
  <si>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</si>
  <si>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</si>
  <si>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</si>
  <si>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</si>
  <si>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</si>
  <si>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</si>
  <si>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</si>
  <si>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</si>
  <si>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</si>
  <si>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</si>
  <si>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</si>
  <si>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</si>
  <si>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</si>
  <si>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</si>
  <si>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</si>
  <si>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</si>
  <si>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</si>
  <si>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</si>
  <si>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</si>
  <si>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</si>
  <si>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</si>
  <si>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</si>
  <si>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</si>
  <si>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</si>
  <si>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</si>
  <si>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</si>
  <si>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</si>
  <si>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</si>
  <si>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</si>
  <si>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</si>
  <si>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</si>
  <si>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</si>
  <si>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</si>
  <si>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</si>
  <si>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</si>
  <si>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</si>
  <si>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</si>
  <si>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</si>
  <si>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</si>
  <si>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</si>
  <si>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</si>
  <si>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</si>
  <si>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</si>
  <si>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</si>
  <si>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</si>
  <si>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</si>
  <si>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</si>
  <si>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</si>
  <si>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</si>
  <si>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</si>
  <si>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</si>
  <si>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</si>
  <si>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</si>
  <si>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</si>
  <si>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</si>
  <si>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</si>
  <si>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</si>
  <si>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</si>
  <si>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</si>
  <si>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</si>
  <si>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</si>
  <si>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</si>
  <si>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</si>
  <si>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</si>
  <si>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</si>
  <si>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</si>
  <si>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</si>
  <si>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</si>
  <si>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</si>
  <si>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</si>
  <si>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</si>
  <si>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</si>
  <si>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</si>
  <si>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</si>
  <si>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</si>
  <si>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</si>
  <si>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</si>
  <si>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</si>
  <si>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</si>
  <si>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</si>
  <si>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</si>
  <si>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</si>
  <si>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</si>
  <si>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</si>
  <si>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</si>
  <si>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</si>
  <si>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</si>
  <si>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</si>
  <si>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</si>
  <si>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</si>
  <si>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</si>
  <si>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</si>
  <si>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</si>
  <si>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</si>
  <si>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</si>
  <si>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</si>
  <si>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</si>
  <si>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</si>
  <si>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</si>
  <si>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</si>
  <si>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</si>
  <si>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</si>
  <si>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</si>
  <si>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</si>
  <si>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</si>
  <si>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</si>
  <si>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</si>
  <si>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</si>
  <si>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</si>
  <si>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</si>
  <si>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</si>
  <si>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</si>
  <si>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</si>
  <si>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</si>
  <si>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</si>
  <si>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</si>
  <si>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</si>
  <si>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</si>
  <si>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</si>
  <si>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</si>
  <si>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</si>
  <si>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</si>
  <si>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</si>
  <si>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</si>
  <si>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</si>
  <si>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</si>
  <si>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</si>
  <si>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</si>
  <si>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</si>
  <si>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</si>
  <si>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</si>
  <si>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</si>
  <si>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</si>
  <si>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</si>
  <si>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</si>
  <si>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</si>
  <si>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</si>
  <si>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</si>
  <si>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</si>
  <si>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</si>
  <si>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</si>
  <si>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</si>
  <si>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</si>
  <si>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</si>
  <si>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</si>
  <si>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</si>
  <si>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</si>
  <si>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</si>
  <si>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</si>
  <si>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</si>
  <si>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</si>
  <si>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</si>
  <si>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</si>
  <si>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</si>
  <si>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</si>
  <si>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</si>
  <si>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</si>
  <si>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</si>
  <si>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</si>
  <si>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</si>
  <si>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</si>
  <si>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</si>
  <si>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</si>
  <si>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</si>
  <si>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</si>
  <si>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</si>
  <si>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</si>
  <si>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</si>
  <si>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</si>
  <si>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</si>
  <si>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</si>
  <si>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</si>
  <si>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</si>
  <si>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</si>
  <si>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</si>
  <si>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</si>
  <si>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</si>
  <si>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</si>
  <si>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</si>
  <si>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</si>
  <si>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</si>
  <si>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</si>
  <si>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t>哈密瓜</t>
    <phoneticPr fontId="4" type="noConversion"/>
  </si>
  <si>
    <t>香橙</t>
    <phoneticPr fontId="4" type="noConversion"/>
  </si>
  <si>
    <t>项目</t>
    <phoneticPr fontId="4" type="noConversion"/>
  </si>
  <si>
    <t>A班</t>
    <phoneticPr fontId="4" type="noConversion"/>
  </si>
  <si>
    <t>B班</t>
    <phoneticPr fontId="4" type="noConversion"/>
  </si>
  <si>
    <t>C班</t>
    <phoneticPr fontId="52" type="noConversion"/>
  </si>
  <si>
    <t>类别</t>
    <phoneticPr fontId="4" type="noConversion"/>
  </si>
  <si>
    <t>当班产量（箱）</t>
    <phoneticPr fontId="4" type="noConversion"/>
  </si>
  <si>
    <t>生产工时（H）</t>
    <phoneticPr fontId="52" type="noConversion"/>
  </si>
  <si>
    <t>产能</t>
    <phoneticPr fontId="52" type="noConversion"/>
  </si>
  <si>
    <t>果肉类</t>
    <phoneticPr fontId="4" type="noConversion"/>
  </si>
  <si>
    <t>果味类</t>
    <phoneticPr fontId="4" type="noConversion"/>
  </si>
  <si>
    <t>吸吸类</t>
    <phoneticPr fontId="4" type="noConversion"/>
  </si>
  <si>
    <t>层层类</t>
    <phoneticPr fontId="4" type="noConversion"/>
  </si>
  <si>
    <t>自立袋</t>
    <phoneticPr fontId="4" type="noConversion"/>
  </si>
  <si>
    <t>礼包类</t>
    <phoneticPr fontId="4" type="noConversion"/>
  </si>
  <si>
    <t>其他类</t>
    <phoneticPr fontId="4" type="noConversion"/>
  </si>
  <si>
    <t>合计：</t>
    <phoneticPr fontId="4" type="noConversion"/>
  </si>
  <si>
    <t>当班总计（箱）：</t>
    <phoneticPr fontId="4" type="noConversion"/>
  </si>
  <si>
    <t>汇总</t>
    <phoneticPr fontId="4" type="noConversion"/>
  </si>
  <si>
    <t>包装产品日报表日期：2017-1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</si>
  <si>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</si>
  <si>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</si>
  <si>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</si>
  <si>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</si>
  <si>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</si>
  <si>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</si>
  <si>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</si>
  <si>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j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</si>
  <si>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</si>
  <si>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</si>
  <si>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2017-1-11/1-7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</si>
  <si>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</si>
  <si>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调出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</si>
  <si>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phoneticPr fontId="4" type="noConversion"/>
  </si>
  <si>
    <t>果味类产品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</si>
  <si>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</si>
  <si>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2017-1-4/1-11</t>
    <phoneticPr fontId="4" type="noConversion"/>
  </si>
  <si>
    <t>2017-1-16/1-4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</si>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</sst>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4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  <font>
      <sz val="9"/>
      <name val="宋体"/>
      <family val="2"/>
      <charset val="134"/>
      <scheme val="minor"/>
    </font>
    <font>
      <sz val="18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780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81" fontId="6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6" fillId="8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9" fontId="0" fillId="0" borderId="0" xfId="0" applyNumberFormat="1" applyAlignment="1">
      <alignment horizont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3" fillId="8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0" fontId="6" fillId="2" borderId="5" xfId="0" applyNumberFormat="1" applyFont="1" applyFill="1" applyBorder="1" applyAlignment="1"/>
    <xf numFmtId="0" fontId="22" fillId="2" borderId="5" xfId="0" applyFont="1" applyFill="1" applyBorder="1" applyAlignment="1"/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2" fillId="3" borderId="6" xfId="0" applyFont="1" applyFill="1" applyBorder="1" applyAlignment="1">
      <alignment horizontal="center" vertical="center"/>
    </xf>
    <xf numFmtId="14" fontId="22" fillId="2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8" fillId="2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2" xfId="0" applyNumberFormat="1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178" fontId="22" fillId="0" borderId="4" xfId="0" applyNumberFormat="1" applyFont="1" applyFill="1" applyBorder="1" applyAlignment="1">
      <alignment horizontal="center" vertical="center" wrapText="1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 applyProtection="1">
      <alignment horizontal="left" vertical="center"/>
      <protection locked="0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53" fillId="0" borderId="2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4" xfId="0" applyFont="1" applyFill="1" applyBorder="1" applyAlignment="1">
      <alignment horizontal="center" vertical="center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1</xdr:row>
      <xdr:rowOff>38099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4" activePane="bottomRight" state="frozen"/>
      <selection activeCell="E487" sqref="E487"/>
      <selection pane="topRight" activeCell="E487" sqref="E487"/>
      <selection pane="bottomLeft" activeCell="E487" sqref="E487"/>
      <selection pane="bottomRight" activeCell="E487" sqref="E48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411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400" t="s">
        <v>178</v>
      </c>
      <c r="C7" s="126" t="s">
        <v>179</v>
      </c>
      <c r="D7" s="108">
        <v>5.03</v>
      </c>
      <c r="E7" s="108"/>
      <c r="F7" s="127"/>
      <c r="G7" s="128"/>
      <c r="H7" s="40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09"/>
      <c r="P7" s="409"/>
      <c r="Q7" s="409"/>
      <c r="R7" s="409"/>
      <c r="S7" s="409"/>
      <c r="T7" s="409"/>
      <c r="U7" s="40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09"/>
      <c r="Q8" s="409"/>
      <c r="R8" s="409"/>
      <c r="S8" s="409"/>
      <c r="T8" s="409"/>
      <c r="U8" s="40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09"/>
      <c r="P9" s="409"/>
      <c r="Q9" s="409"/>
      <c r="R9" s="409"/>
      <c r="S9" s="409"/>
      <c r="T9" s="409"/>
      <c r="U9" s="40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0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09"/>
      <c r="P10" s="409"/>
      <c r="Q10" s="409"/>
      <c r="R10" s="409"/>
      <c r="S10" s="409"/>
      <c r="T10" s="409"/>
      <c r="U10" s="40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0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09"/>
      <c r="P11" s="409"/>
      <c r="Q11" s="409"/>
      <c r="R11" s="409"/>
      <c r="S11" s="409"/>
      <c r="T11" s="409"/>
      <c r="U11" s="40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09"/>
      <c r="P12" s="409"/>
      <c r="Q12" s="409"/>
      <c r="R12" s="409"/>
      <c r="S12" s="409"/>
      <c r="T12" s="409"/>
      <c r="U12" s="40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09"/>
      <c r="P13" s="409"/>
      <c r="Q13" s="409"/>
      <c r="R13" s="409"/>
      <c r="S13" s="409"/>
      <c r="T13" s="409"/>
      <c r="U13" s="40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09"/>
      <c r="P14" s="409"/>
      <c r="Q14" s="409"/>
      <c r="R14" s="409"/>
      <c r="S14" s="409"/>
      <c r="T14" s="409"/>
      <c r="U14" s="40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1">
        <f t="shared" si="0"/>
        <v>0</v>
      </c>
      <c r="I15" s="40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09"/>
      <c r="P15" s="409"/>
      <c r="Q15" s="409"/>
      <c r="R15" s="409"/>
      <c r="S15" s="409"/>
      <c r="T15" s="409"/>
      <c r="U15" s="40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1">
        <f t="shared" si="0"/>
        <v>0</v>
      </c>
      <c r="I16" s="40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09"/>
      <c r="P16" s="409"/>
      <c r="Q16" s="409"/>
      <c r="R16" s="409"/>
      <c r="S16" s="409"/>
      <c r="T16" s="409"/>
      <c r="U16" s="40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09"/>
      <c r="P17" s="409"/>
      <c r="Q17" s="409"/>
      <c r="R17" s="409"/>
      <c r="S17" s="409"/>
      <c r="T17" s="409"/>
      <c r="U17" s="40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09"/>
      <c r="P18" s="409"/>
      <c r="Q18" s="409"/>
      <c r="R18" s="409"/>
      <c r="S18" s="409"/>
      <c r="T18" s="409"/>
      <c r="U18" s="40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09"/>
      <c r="P19" s="409"/>
      <c r="Q19" s="409"/>
      <c r="R19" s="409"/>
      <c r="S19" s="409"/>
      <c r="T19" s="409"/>
      <c r="U19" s="409"/>
      <c r="V19" s="132">
        <f t="shared" ref="V19:V21" si="5">SUM(X19:AA19)</f>
        <v>0</v>
      </c>
      <c r="W19" s="40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09"/>
      <c r="P20" s="409"/>
      <c r="Q20" s="409"/>
      <c r="R20" s="409"/>
      <c r="S20" s="409"/>
      <c r="T20" s="409"/>
      <c r="U20" s="40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09"/>
      <c r="P21" s="409"/>
      <c r="Q21" s="409"/>
      <c r="R21" s="409"/>
      <c r="S21" s="409"/>
      <c r="T21" s="409"/>
      <c r="U21" s="40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6" t="s">
        <v>190</v>
      </c>
      <c r="D22" s="108">
        <v>4.8</v>
      </c>
      <c r="E22" s="108"/>
      <c r="F22" s="127"/>
      <c r="G22" s="128"/>
      <c r="H22" s="40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09"/>
      <c r="P22" s="409"/>
      <c r="Q22" s="409"/>
      <c r="R22" s="409"/>
      <c r="S22" s="409"/>
      <c r="T22" s="409"/>
      <c r="U22" s="40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6" t="s">
        <v>187</v>
      </c>
      <c r="D23" s="108">
        <v>4.8</v>
      </c>
      <c r="E23" s="108"/>
      <c r="F23" s="127"/>
      <c r="G23" s="128"/>
      <c r="H23" s="40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09"/>
      <c r="P23" s="409"/>
      <c r="Q23" s="409"/>
      <c r="R23" s="409"/>
      <c r="S23" s="409"/>
      <c r="T23" s="409"/>
      <c r="U23" s="40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6" t="s">
        <v>179</v>
      </c>
      <c r="D24" s="108">
        <v>4.8</v>
      </c>
      <c r="E24" s="108"/>
      <c r="F24" s="127"/>
      <c r="G24" s="128"/>
      <c r="H24" s="40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09"/>
      <c r="P24" s="409"/>
      <c r="Q24" s="409"/>
      <c r="R24" s="409"/>
      <c r="S24" s="409"/>
      <c r="T24" s="409"/>
      <c r="U24" s="40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6" t="s">
        <v>199</v>
      </c>
      <c r="D25" s="108">
        <v>4.8</v>
      </c>
      <c r="E25" s="108"/>
      <c r="F25" s="127"/>
      <c r="G25" s="128"/>
      <c r="H25" s="40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09"/>
      <c r="P25" s="409"/>
      <c r="Q25" s="409"/>
      <c r="R25" s="409"/>
      <c r="S25" s="409"/>
      <c r="T25" s="409"/>
      <c r="U25" s="40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09"/>
      <c r="P26" s="409"/>
      <c r="Q26" s="409"/>
      <c r="R26" s="409"/>
      <c r="S26" s="409"/>
      <c r="T26" s="409"/>
      <c r="U26" s="40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09"/>
      <c r="P27" s="409"/>
      <c r="Q27" s="409"/>
      <c r="R27" s="409"/>
      <c r="S27" s="409"/>
      <c r="T27" s="409"/>
      <c r="U27" s="40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618" t="s">
        <v>201</v>
      </c>
      <c r="B28" s="619"/>
      <c r="C28" s="41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00" t="s">
        <v>206</v>
      </c>
      <c r="C29" s="126" t="s">
        <v>199</v>
      </c>
      <c r="D29" s="108">
        <v>5.03</v>
      </c>
      <c r="E29" s="108"/>
      <c r="F29" s="127"/>
      <c r="G29" s="128"/>
      <c r="H29" s="40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4"/>
      <c r="P29" s="404"/>
      <c r="Q29" s="404"/>
      <c r="R29" s="404"/>
      <c r="S29" s="404"/>
      <c r="T29" s="404"/>
      <c r="U29" s="40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00" t="s">
        <v>425</v>
      </c>
      <c r="C30" s="187" t="s">
        <v>427</v>
      </c>
      <c r="D30" s="108">
        <v>5.03</v>
      </c>
      <c r="E30" s="108"/>
      <c r="F30" s="127"/>
      <c r="G30" s="128"/>
      <c r="H30" s="40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4"/>
      <c r="P30" s="404"/>
      <c r="Q30" s="404"/>
      <c r="R30" s="404"/>
      <c r="S30" s="404"/>
      <c r="T30" s="404"/>
      <c r="U30" s="40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00" t="s">
        <v>206</v>
      </c>
      <c r="C31" s="126" t="s">
        <v>186</v>
      </c>
      <c r="D31" s="108">
        <v>5.03</v>
      </c>
      <c r="E31" s="108"/>
      <c r="F31" s="127"/>
      <c r="G31" s="128"/>
      <c r="H31" s="40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4"/>
      <c r="P31" s="404"/>
      <c r="Q31" s="404"/>
      <c r="R31" s="404"/>
      <c r="S31" s="404"/>
      <c r="T31" s="404"/>
      <c r="U31" s="40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00" t="s">
        <v>206</v>
      </c>
      <c r="C32" s="126" t="s">
        <v>203</v>
      </c>
      <c r="D32" s="108">
        <v>5.03</v>
      </c>
      <c r="E32" s="108"/>
      <c r="F32" s="127"/>
      <c r="G32" s="128"/>
      <c r="H32" s="40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4"/>
      <c r="P32" s="404"/>
      <c r="Q32" s="404"/>
      <c r="R32" s="404"/>
      <c r="S32" s="404"/>
      <c r="T32" s="404"/>
      <c r="U32" s="40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00" t="s">
        <v>206</v>
      </c>
      <c r="C33" s="126" t="s">
        <v>207</v>
      </c>
      <c r="D33" s="108">
        <v>5.03</v>
      </c>
      <c r="E33" s="108"/>
      <c r="F33" s="127"/>
      <c r="G33" s="128"/>
      <c r="H33" s="40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4"/>
      <c r="P33" s="404"/>
      <c r="Q33" s="404"/>
      <c r="R33" s="404"/>
      <c r="S33" s="404"/>
      <c r="T33" s="404"/>
      <c r="U33" s="40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00" t="s">
        <v>414</v>
      </c>
      <c r="C34" s="187" t="s">
        <v>415</v>
      </c>
      <c r="D34" s="108">
        <v>5.03</v>
      </c>
      <c r="E34" s="108"/>
      <c r="F34" s="127"/>
      <c r="G34" s="128"/>
      <c r="H34" s="401">
        <f t="shared" si="11"/>
        <v>0</v>
      </c>
      <c r="I34" s="129"/>
      <c r="J34" s="130"/>
      <c r="K34" s="131"/>
      <c r="L34" s="129">
        <v>52</v>
      </c>
      <c r="M34" s="109"/>
      <c r="N34" s="130"/>
      <c r="O34" s="404"/>
      <c r="P34" s="404"/>
      <c r="Q34" s="404"/>
      <c r="R34" s="404"/>
      <c r="S34" s="404"/>
      <c r="T34" s="404"/>
      <c r="U34" s="40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00" t="s">
        <v>414</v>
      </c>
      <c r="C35" s="187" t="s">
        <v>416</v>
      </c>
      <c r="D35" s="108">
        <v>5.03</v>
      </c>
      <c r="E35" s="108"/>
      <c r="F35" s="127"/>
      <c r="G35" s="128"/>
      <c r="H35" s="401">
        <f t="shared" si="11"/>
        <v>0</v>
      </c>
      <c r="I35" s="129"/>
      <c r="J35" s="130"/>
      <c r="K35" s="131"/>
      <c r="L35" s="129">
        <v>52</v>
      </c>
      <c r="M35" s="109"/>
      <c r="N35" s="130"/>
      <c r="O35" s="404"/>
      <c r="P35" s="404"/>
      <c r="Q35" s="404"/>
      <c r="R35" s="404"/>
      <c r="S35" s="404"/>
      <c r="T35" s="404"/>
      <c r="U35" s="40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00" t="s">
        <v>414</v>
      </c>
      <c r="C36" s="187" t="s">
        <v>61</v>
      </c>
      <c r="D36" s="108">
        <v>5.03</v>
      </c>
      <c r="E36" s="108"/>
      <c r="F36" s="127"/>
      <c r="G36" s="128"/>
      <c r="H36" s="401">
        <f t="shared" si="11"/>
        <v>0</v>
      </c>
      <c r="I36" s="129"/>
      <c r="J36" s="130"/>
      <c r="K36" s="131"/>
      <c r="L36" s="129">
        <v>52</v>
      </c>
      <c r="M36" s="109"/>
      <c r="N36" s="130"/>
      <c r="O36" s="404"/>
      <c r="P36" s="404"/>
      <c r="Q36" s="404"/>
      <c r="R36" s="404"/>
      <c r="S36" s="404"/>
      <c r="T36" s="404"/>
      <c r="U36" s="40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00" t="s">
        <v>208</v>
      </c>
      <c r="C37" s="126" t="s">
        <v>179</v>
      </c>
      <c r="D37" s="108">
        <v>5.08</v>
      </c>
      <c r="E37" s="108"/>
      <c r="F37" s="127"/>
      <c r="G37" s="128"/>
      <c r="H37" s="40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04"/>
      <c r="P37" s="404"/>
      <c r="Q37" s="404"/>
      <c r="R37" s="404"/>
      <c r="S37" s="404"/>
      <c r="T37" s="404"/>
      <c r="U37" s="40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00" t="s">
        <v>208</v>
      </c>
      <c r="C38" s="126" t="s">
        <v>204</v>
      </c>
      <c r="D38" s="108">
        <v>5.08</v>
      </c>
      <c r="E38" s="108"/>
      <c r="F38" s="127"/>
      <c r="G38" s="128"/>
      <c r="H38" s="40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4"/>
      <c r="P38" s="404"/>
      <c r="Q38" s="404"/>
      <c r="R38" s="404"/>
      <c r="S38" s="404"/>
      <c r="T38" s="404"/>
      <c r="U38" s="40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00" t="s">
        <v>208</v>
      </c>
      <c r="C39" s="126" t="s">
        <v>205</v>
      </c>
      <c r="D39" s="108">
        <v>5.08</v>
      </c>
      <c r="E39" s="108"/>
      <c r="F39" s="127"/>
      <c r="G39" s="128"/>
      <c r="H39" s="40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4"/>
      <c r="P39" s="404"/>
      <c r="Q39" s="404"/>
      <c r="R39" s="404"/>
      <c r="S39" s="404"/>
      <c r="T39" s="404"/>
      <c r="U39" s="40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00" t="s">
        <v>208</v>
      </c>
      <c r="C40" s="126" t="s">
        <v>186</v>
      </c>
      <c r="D40" s="108">
        <v>5.08</v>
      </c>
      <c r="E40" s="108"/>
      <c r="F40" s="127"/>
      <c r="G40" s="128"/>
      <c r="H40" s="40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4"/>
      <c r="P40" s="404"/>
      <c r="Q40" s="404"/>
      <c r="R40" s="404"/>
      <c r="S40" s="404"/>
      <c r="T40" s="404"/>
      <c r="U40" s="40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00" t="s">
        <v>208</v>
      </c>
      <c r="C41" s="126" t="s">
        <v>203</v>
      </c>
      <c r="D41" s="108">
        <v>5.08</v>
      </c>
      <c r="E41" s="108"/>
      <c r="F41" s="127"/>
      <c r="G41" s="128"/>
      <c r="H41" s="40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4"/>
      <c r="P41" s="404"/>
      <c r="Q41" s="404"/>
      <c r="R41" s="404"/>
      <c r="S41" s="404"/>
      <c r="T41" s="404"/>
      <c r="U41" s="40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00" t="s">
        <v>208</v>
      </c>
      <c r="C42" s="126" t="s">
        <v>199</v>
      </c>
      <c r="D42" s="108">
        <v>5.08</v>
      </c>
      <c r="E42" s="108"/>
      <c r="F42" s="127"/>
      <c r="G42" s="128"/>
      <c r="H42" s="40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09"/>
      <c r="P42" s="409"/>
      <c r="Q42" s="409"/>
      <c r="R42" s="409"/>
      <c r="S42" s="409"/>
      <c r="T42" s="409"/>
      <c r="U42" s="40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00" t="s">
        <v>208</v>
      </c>
      <c r="C43" s="126" t="s">
        <v>187</v>
      </c>
      <c r="D43" s="108">
        <v>5.08</v>
      </c>
      <c r="E43" s="108"/>
      <c r="F43" s="127"/>
      <c r="G43" s="128"/>
      <c r="H43" s="40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4"/>
      <c r="P43" s="404"/>
      <c r="Q43" s="404"/>
      <c r="R43" s="404"/>
      <c r="S43" s="404"/>
      <c r="T43" s="404"/>
      <c r="U43" s="40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00" t="s">
        <v>208</v>
      </c>
      <c r="C44" s="126" t="s">
        <v>207</v>
      </c>
      <c r="D44" s="108">
        <v>5.08</v>
      </c>
      <c r="E44" s="108"/>
      <c r="F44" s="127"/>
      <c r="G44" s="128"/>
      <c r="H44" s="40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09"/>
      <c r="P44" s="409"/>
      <c r="Q44" s="409"/>
      <c r="R44" s="409"/>
      <c r="S44" s="409"/>
      <c r="T44" s="409"/>
      <c r="U44" s="40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00" t="s">
        <v>209</v>
      </c>
      <c r="C45" s="126" t="s">
        <v>194</v>
      </c>
      <c r="D45" s="108">
        <v>5.03</v>
      </c>
      <c r="E45" s="108"/>
      <c r="F45" s="127"/>
      <c r="G45" s="128"/>
      <c r="H45" s="40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4"/>
      <c r="P45" s="404"/>
      <c r="Q45" s="404"/>
      <c r="R45" s="404"/>
      <c r="S45" s="404"/>
      <c r="T45" s="404"/>
      <c r="U45" s="40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00" t="s">
        <v>209</v>
      </c>
      <c r="C46" s="126" t="s">
        <v>179</v>
      </c>
      <c r="D46" s="108">
        <v>5.03</v>
      </c>
      <c r="E46" s="108"/>
      <c r="F46" s="127"/>
      <c r="G46" s="128"/>
      <c r="H46" s="40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4"/>
      <c r="P46" s="404"/>
      <c r="Q46" s="404"/>
      <c r="R46" s="404"/>
      <c r="S46" s="404"/>
      <c r="T46" s="404"/>
      <c r="U46" s="40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00" t="s">
        <v>209</v>
      </c>
      <c r="C47" s="126" t="s">
        <v>195</v>
      </c>
      <c r="D47" s="108">
        <v>5.03</v>
      </c>
      <c r="E47" s="108"/>
      <c r="F47" s="127"/>
      <c r="G47" s="128"/>
      <c r="H47" s="40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4"/>
      <c r="P47" s="404"/>
      <c r="Q47" s="404"/>
      <c r="R47" s="404"/>
      <c r="S47" s="404"/>
      <c r="T47" s="404"/>
      <c r="U47" s="40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00" t="s">
        <v>209</v>
      </c>
      <c r="C48" s="126" t="s">
        <v>204</v>
      </c>
      <c r="D48" s="108">
        <v>5.03</v>
      </c>
      <c r="E48" s="108"/>
      <c r="F48" s="127"/>
      <c r="G48" s="128"/>
      <c r="H48" s="40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4"/>
      <c r="P48" s="404"/>
      <c r="Q48" s="404"/>
      <c r="R48" s="404"/>
      <c r="S48" s="404"/>
      <c r="T48" s="404"/>
      <c r="U48" s="40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00" t="s">
        <v>382</v>
      </c>
      <c r="C49" s="187" t="s">
        <v>383</v>
      </c>
      <c r="D49" s="108">
        <v>5.03</v>
      </c>
      <c r="E49" s="108"/>
      <c r="F49" s="127"/>
      <c r="G49" s="128"/>
      <c r="H49" s="40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4"/>
      <c r="P49" s="404"/>
      <c r="Q49" s="404"/>
      <c r="R49" s="404"/>
      <c r="S49" s="404"/>
      <c r="T49" s="404"/>
      <c r="U49" s="40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00" t="s">
        <v>382</v>
      </c>
      <c r="C50" s="187" t="s">
        <v>384</v>
      </c>
      <c r="D50" s="108">
        <v>5.03</v>
      </c>
      <c r="E50" s="108"/>
      <c r="F50" s="127"/>
      <c r="G50" s="128"/>
      <c r="H50" s="40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4"/>
      <c r="P50" s="404"/>
      <c r="Q50" s="404"/>
      <c r="R50" s="404"/>
      <c r="S50" s="404"/>
      <c r="T50" s="404"/>
      <c r="U50" s="40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00" t="s">
        <v>382</v>
      </c>
      <c r="C51" s="187" t="s">
        <v>389</v>
      </c>
      <c r="D51" s="108">
        <v>5.03</v>
      </c>
      <c r="E51" s="108"/>
      <c r="F51" s="127"/>
      <c r="G51" s="128"/>
      <c r="H51" s="40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4"/>
      <c r="P51" s="404"/>
      <c r="Q51" s="404"/>
      <c r="R51" s="404"/>
      <c r="S51" s="404"/>
      <c r="T51" s="404"/>
      <c r="U51" s="40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00" t="s">
        <v>382</v>
      </c>
      <c r="C52" s="187" t="s">
        <v>391</v>
      </c>
      <c r="D52" s="108">
        <v>5.03</v>
      </c>
      <c r="E52" s="108"/>
      <c r="F52" s="127"/>
      <c r="G52" s="128"/>
      <c r="H52" s="40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4"/>
      <c r="P52" s="404"/>
      <c r="Q52" s="404"/>
      <c r="R52" s="404"/>
      <c r="S52" s="404"/>
      <c r="T52" s="404"/>
      <c r="U52" s="40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00" t="s">
        <v>418</v>
      </c>
      <c r="C53" s="187" t="s">
        <v>364</v>
      </c>
      <c r="D53" s="108">
        <v>5.03</v>
      </c>
      <c r="E53" s="108"/>
      <c r="F53" s="127"/>
      <c r="G53" s="128"/>
      <c r="H53" s="40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4"/>
      <c r="P53" s="404"/>
      <c r="Q53" s="404"/>
      <c r="R53" s="404"/>
      <c r="S53" s="404"/>
      <c r="T53" s="404"/>
      <c r="U53" s="40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00" t="s">
        <v>418</v>
      </c>
      <c r="C54" s="187" t="s">
        <v>365</v>
      </c>
      <c r="D54" s="108">
        <v>5.03</v>
      </c>
      <c r="E54" s="108"/>
      <c r="F54" s="127"/>
      <c r="G54" s="128"/>
      <c r="H54" s="40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4"/>
      <c r="P54" s="404"/>
      <c r="Q54" s="404"/>
      <c r="R54" s="404"/>
      <c r="S54" s="404"/>
      <c r="T54" s="404"/>
      <c r="U54" s="40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00" t="s">
        <v>418</v>
      </c>
      <c r="C55" s="187" t="s">
        <v>366</v>
      </c>
      <c r="D55" s="108">
        <v>5.03</v>
      </c>
      <c r="E55" s="108"/>
      <c r="F55" s="127"/>
      <c r="G55" s="128"/>
      <c r="H55" s="40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4"/>
      <c r="P55" s="404"/>
      <c r="Q55" s="404"/>
      <c r="R55" s="404"/>
      <c r="S55" s="404"/>
      <c r="T55" s="404"/>
      <c r="U55" s="40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00" t="s">
        <v>418</v>
      </c>
      <c r="C56" s="187" t="s">
        <v>367</v>
      </c>
      <c r="D56" s="108">
        <v>5.03</v>
      </c>
      <c r="E56" s="108"/>
      <c r="F56" s="127"/>
      <c r="G56" s="128"/>
      <c r="H56" s="40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4"/>
      <c r="P56" s="404"/>
      <c r="Q56" s="404"/>
      <c r="R56" s="404"/>
      <c r="S56" s="404"/>
      <c r="T56" s="404"/>
      <c r="U56" s="40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09"/>
      <c r="P57" s="409"/>
      <c r="Q57" s="409"/>
      <c r="R57" s="409"/>
      <c r="S57" s="409"/>
      <c r="T57" s="409"/>
      <c r="U57" s="40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09"/>
      <c r="P58" s="409"/>
      <c r="Q58" s="409"/>
      <c r="R58" s="409"/>
      <c r="S58" s="409"/>
      <c r="T58" s="409"/>
      <c r="U58" s="40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09"/>
      <c r="P59" s="409"/>
      <c r="Q59" s="409"/>
      <c r="R59" s="409"/>
      <c r="S59" s="409"/>
      <c r="T59" s="409"/>
      <c r="U59" s="40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09"/>
      <c r="P60" s="409"/>
      <c r="Q60" s="409"/>
      <c r="R60" s="409"/>
      <c r="S60" s="409"/>
      <c r="T60" s="409"/>
      <c r="U60" s="40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09"/>
      <c r="P61" s="409"/>
      <c r="Q61" s="409"/>
      <c r="R61" s="409"/>
      <c r="S61" s="409"/>
      <c r="T61" s="409"/>
      <c r="U61" s="40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09"/>
      <c r="P62" s="409"/>
      <c r="Q62" s="409"/>
      <c r="R62" s="409"/>
      <c r="S62" s="409"/>
      <c r="T62" s="409"/>
      <c r="U62" s="40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09"/>
      <c r="P63" s="409"/>
      <c r="Q63" s="409"/>
      <c r="R63" s="409"/>
      <c r="S63" s="409"/>
      <c r="T63" s="409"/>
      <c r="U63" s="40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09"/>
      <c r="P64" s="409"/>
      <c r="Q64" s="409"/>
      <c r="R64" s="409"/>
      <c r="S64" s="409"/>
      <c r="T64" s="409"/>
      <c r="U64" s="40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09"/>
      <c r="P65" s="409"/>
      <c r="Q65" s="409"/>
      <c r="R65" s="409"/>
      <c r="S65" s="409"/>
      <c r="T65" s="409"/>
      <c r="U65" s="40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09"/>
      <c r="P66" s="409"/>
      <c r="Q66" s="409"/>
      <c r="R66" s="409"/>
      <c r="S66" s="409"/>
      <c r="T66" s="409"/>
      <c r="U66" s="40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09"/>
      <c r="P67" s="409"/>
      <c r="Q67" s="409"/>
      <c r="R67" s="409"/>
      <c r="S67" s="409"/>
      <c r="T67" s="409"/>
      <c r="U67" s="40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09"/>
      <c r="P68" s="409"/>
      <c r="Q68" s="409"/>
      <c r="R68" s="409"/>
      <c r="S68" s="409"/>
      <c r="T68" s="409"/>
      <c r="U68" s="40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09"/>
      <c r="P69" s="409"/>
      <c r="Q69" s="409"/>
      <c r="R69" s="409"/>
      <c r="S69" s="409"/>
      <c r="T69" s="409"/>
      <c r="U69" s="40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09"/>
      <c r="P70" s="409"/>
      <c r="Q70" s="409"/>
      <c r="R70" s="409"/>
      <c r="S70" s="409"/>
      <c r="T70" s="409"/>
      <c r="U70" s="40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1">
        <f t="shared" si="11"/>
        <v>0</v>
      </c>
      <c r="I71" s="129"/>
      <c r="J71" s="130"/>
      <c r="K71" s="131"/>
      <c r="L71" s="129"/>
      <c r="M71" s="109"/>
      <c r="N71" s="130"/>
      <c r="O71" s="409"/>
      <c r="P71" s="409"/>
      <c r="Q71" s="409"/>
      <c r="R71" s="409"/>
      <c r="S71" s="409"/>
      <c r="T71" s="409"/>
      <c r="U71" s="40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09"/>
      <c r="P72" s="409"/>
      <c r="Q72" s="409"/>
      <c r="R72" s="409"/>
      <c r="S72" s="409"/>
      <c r="T72" s="409"/>
      <c r="U72" s="40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09"/>
      <c r="P73" s="409"/>
      <c r="Q73" s="409"/>
      <c r="R73" s="409"/>
      <c r="S73" s="409"/>
      <c r="T73" s="409"/>
      <c r="U73" s="40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09"/>
      <c r="P74" s="409"/>
      <c r="Q74" s="409"/>
      <c r="R74" s="409"/>
      <c r="S74" s="409"/>
      <c r="T74" s="409"/>
      <c r="U74" s="40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09"/>
      <c r="P75" s="409"/>
      <c r="Q75" s="409"/>
      <c r="R75" s="409"/>
      <c r="S75" s="409"/>
      <c r="T75" s="409"/>
      <c r="U75" s="40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09"/>
      <c r="P76" s="409"/>
      <c r="Q76" s="409"/>
      <c r="R76" s="409"/>
      <c r="S76" s="409"/>
      <c r="T76" s="409"/>
      <c r="U76" s="40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09"/>
      <c r="P77" s="409"/>
      <c r="Q77" s="409"/>
      <c r="R77" s="409"/>
      <c r="S77" s="409"/>
      <c r="T77" s="409"/>
      <c r="U77" s="40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09"/>
      <c r="P78" s="409"/>
      <c r="Q78" s="409"/>
      <c r="R78" s="409"/>
      <c r="S78" s="409"/>
      <c r="T78" s="409"/>
      <c r="U78" s="40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09"/>
      <c r="P79" s="409"/>
      <c r="Q79" s="409"/>
      <c r="R79" s="409"/>
      <c r="S79" s="409"/>
      <c r="T79" s="409"/>
      <c r="U79" s="40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09"/>
      <c r="P80" s="409"/>
      <c r="Q80" s="409"/>
      <c r="R80" s="409"/>
      <c r="S80" s="409"/>
      <c r="T80" s="409"/>
      <c r="U80" s="40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09"/>
      <c r="P81" s="409"/>
      <c r="Q81" s="409"/>
      <c r="R81" s="409"/>
      <c r="S81" s="409"/>
      <c r="T81" s="409"/>
      <c r="U81" s="40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09"/>
      <c r="P82" s="409"/>
      <c r="Q82" s="409"/>
      <c r="R82" s="409"/>
      <c r="S82" s="409"/>
      <c r="T82" s="409"/>
      <c r="U82" s="40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09"/>
      <c r="P83" s="409"/>
      <c r="Q83" s="409"/>
      <c r="R83" s="409"/>
      <c r="S83" s="409"/>
      <c r="T83" s="409"/>
      <c r="U83" s="40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09"/>
      <c r="P84" s="409"/>
      <c r="Q84" s="409"/>
      <c r="R84" s="409"/>
      <c r="S84" s="409"/>
      <c r="T84" s="409"/>
      <c r="U84" s="40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09"/>
      <c r="P85" s="409"/>
      <c r="Q85" s="409"/>
      <c r="R85" s="409"/>
      <c r="S85" s="409"/>
      <c r="T85" s="409"/>
      <c r="U85" s="40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629" t="s">
        <v>216</v>
      </c>
      <c r="B86" s="629"/>
      <c r="C86" s="41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00" t="s">
        <v>217</v>
      </c>
      <c r="C87" s="126" t="s">
        <v>179</v>
      </c>
      <c r="D87" s="108">
        <v>5.03</v>
      </c>
      <c r="E87" s="108"/>
      <c r="F87" s="127"/>
      <c r="G87" s="128"/>
      <c r="H87" s="40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09"/>
      <c r="P87" s="409"/>
      <c r="Q87" s="409"/>
      <c r="R87" s="409"/>
      <c r="S87" s="409"/>
      <c r="T87" s="409"/>
      <c r="U87" s="40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00" t="s">
        <v>217</v>
      </c>
      <c r="C88" s="126" t="s">
        <v>186</v>
      </c>
      <c r="D88" s="108">
        <v>5.03</v>
      </c>
      <c r="E88" s="108"/>
      <c r="F88" s="127"/>
      <c r="G88" s="128"/>
      <c r="H88" s="40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09"/>
      <c r="P88" s="409"/>
      <c r="Q88" s="409"/>
      <c r="R88" s="409"/>
      <c r="S88" s="409"/>
      <c r="T88" s="409"/>
      <c r="U88" s="40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00" t="s">
        <v>217</v>
      </c>
      <c r="C89" s="126" t="s">
        <v>204</v>
      </c>
      <c r="D89" s="108">
        <v>5.03</v>
      </c>
      <c r="E89" s="108"/>
      <c r="F89" s="127"/>
      <c r="G89" s="128"/>
      <c r="H89" s="40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09"/>
      <c r="P89" s="409"/>
      <c r="Q89" s="409"/>
      <c r="R89" s="409"/>
      <c r="S89" s="409"/>
      <c r="T89" s="409"/>
      <c r="U89" s="40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09"/>
      <c r="P90" s="409"/>
      <c r="Q90" s="409"/>
      <c r="R90" s="409"/>
      <c r="S90" s="409"/>
      <c r="T90" s="409"/>
      <c r="U90" s="40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0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09"/>
      <c r="P91" s="409"/>
      <c r="Q91" s="409"/>
      <c r="R91" s="409"/>
      <c r="S91" s="409"/>
      <c r="T91" s="409"/>
      <c r="U91" s="40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0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09"/>
      <c r="P92" s="409"/>
      <c r="Q92" s="409"/>
      <c r="R92" s="409"/>
      <c r="S92" s="409"/>
      <c r="T92" s="409"/>
      <c r="U92" s="40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0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09"/>
      <c r="P93" s="409"/>
      <c r="Q93" s="409"/>
      <c r="R93" s="409"/>
      <c r="S93" s="409"/>
      <c r="T93" s="409"/>
      <c r="U93" s="40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0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09"/>
      <c r="P94" s="409"/>
      <c r="Q94" s="409"/>
      <c r="R94" s="409"/>
      <c r="S94" s="409"/>
      <c r="T94" s="409"/>
      <c r="U94" s="40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09"/>
      <c r="P95" s="409"/>
      <c r="Q95" s="409"/>
      <c r="R95" s="409"/>
      <c r="S95" s="409"/>
      <c r="T95" s="409"/>
      <c r="U95" s="40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09"/>
      <c r="P96" s="409"/>
      <c r="Q96" s="409"/>
      <c r="R96" s="409"/>
      <c r="S96" s="409"/>
      <c r="T96" s="409"/>
      <c r="U96" s="40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09"/>
      <c r="P97" s="409"/>
      <c r="Q97" s="409"/>
      <c r="R97" s="409"/>
      <c r="S97" s="409"/>
      <c r="T97" s="409"/>
      <c r="U97" s="40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09"/>
      <c r="P98" s="409"/>
      <c r="Q98" s="409"/>
      <c r="R98" s="409"/>
      <c r="S98" s="409"/>
      <c r="T98" s="409"/>
      <c r="U98" s="40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09"/>
      <c r="P99" s="409"/>
      <c r="Q99" s="409"/>
      <c r="R99" s="409"/>
      <c r="S99" s="409"/>
      <c r="T99" s="409"/>
      <c r="U99" s="40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09"/>
      <c r="P100" s="409"/>
      <c r="Q100" s="409"/>
      <c r="R100" s="409"/>
      <c r="S100" s="409"/>
      <c r="T100" s="409"/>
      <c r="U100" s="40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09"/>
      <c r="P101" s="409"/>
      <c r="Q101" s="409"/>
      <c r="R101" s="409"/>
      <c r="S101" s="409"/>
      <c r="T101" s="409"/>
      <c r="U101" s="40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09"/>
      <c r="P102" s="409"/>
      <c r="Q102" s="409"/>
      <c r="R102" s="409"/>
      <c r="S102" s="409"/>
      <c r="T102" s="409"/>
      <c r="U102" s="40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0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09"/>
      <c r="P103" s="409"/>
      <c r="Q103" s="409"/>
      <c r="R103" s="409"/>
      <c r="S103" s="409"/>
      <c r="T103" s="409"/>
      <c r="U103" s="40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0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09"/>
      <c r="P104" s="409"/>
      <c r="Q104" s="409"/>
      <c r="R104" s="409"/>
      <c r="S104" s="409"/>
      <c r="T104" s="409"/>
      <c r="U104" s="40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0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09"/>
      <c r="P105" s="409"/>
      <c r="Q105" s="409"/>
      <c r="R105" s="409"/>
      <c r="S105" s="409"/>
      <c r="T105" s="409"/>
      <c r="U105" s="40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0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09"/>
      <c r="P106" s="409"/>
      <c r="Q106" s="409"/>
      <c r="R106" s="409"/>
      <c r="S106" s="409"/>
      <c r="T106" s="409"/>
      <c r="U106" s="40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00" t="s">
        <v>393</v>
      </c>
      <c r="C107" s="187" t="s">
        <v>395</v>
      </c>
      <c r="D107" s="108">
        <v>5</v>
      </c>
      <c r="E107" s="108"/>
      <c r="F107" s="127"/>
      <c r="G107" s="128"/>
      <c r="H107" s="40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09"/>
      <c r="P107" s="409"/>
      <c r="Q107" s="409"/>
      <c r="R107" s="409"/>
      <c r="S107" s="409"/>
      <c r="T107" s="409"/>
      <c r="U107" s="40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00" t="s">
        <v>393</v>
      </c>
      <c r="C108" s="187" t="s">
        <v>402</v>
      </c>
      <c r="D108" s="108">
        <v>5</v>
      </c>
      <c r="E108" s="108"/>
      <c r="F108" s="127"/>
      <c r="G108" s="128"/>
      <c r="H108" s="40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09"/>
      <c r="P108" s="409"/>
      <c r="Q108" s="409"/>
      <c r="R108" s="409"/>
      <c r="S108" s="409"/>
      <c r="T108" s="409"/>
      <c r="U108" s="40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00" t="s">
        <v>404</v>
      </c>
      <c r="C109" s="187" t="s">
        <v>405</v>
      </c>
      <c r="D109" s="108">
        <v>5</v>
      </c>
      <c r="E109" s="108"/>
      <c r="F109" s="127"/>
      <c r="G109" s="128"/>
      <c r="H109" s="40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09"/>
      <c r="P109" s="409"/>
      <c r="Q109" s="409"/>
      <c r="R109" s="409"/>
      <c r="S109" s="409"/>
      <c r="T109" s="409"/>
      <c r="U109" s="40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00" t="s">
        <v>492</v>
      </c>
      <c r="C110" s="187" t="s">
        <v>372</v>
      </c>
      <c r="D110" s="108">
        <v>5</v>
      </c>
      <c r="E110" s="108"/>
      <c r="F110" s="127"/>
      <c r="G110" s="128"/>
      <c r="H110" s="40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09"/>
      <c r="P110" s="409"/>
      <c r="Q110" s="409"/>
      <c r="R110" s="409"/>
      <c r="S110" s="409"/>
      <c r="T110" s="409"/>
      <c r="U110" s="40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00" t="s">
        <v>343</v>
      </c>
      <c r="C111" s="126" t="s">
        <v>345</v>
      </c>
      <c r="D111" s="108">
        <v>5</v>
      </c>
      <c r="E111" s="108"/>
      <c r="F111" s="127"/>
      <c r="G111" s="128"/>
      <c r="H111" s="40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09"/>
      <c r="P111" s="409"/>
      <c r="Q111" s="409"/>
      <c r="R111" s="409"/>
      <c r="S111" s="409"/>
      <c r="T111" s="409"/>
      <c r="U111" s="40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00" t="s">
        <v>343</v>
      </c>
      <c r="C112" s="126" t="s">
        <v>347</v>
      </c>
      <c r="D112" s="108">
        <v>5</v>
      </c>
      <c r="E112" s="108"/>
      <c r="F112" s="127"/>
      <c r="G112" s="128"/>
      <c r="H112" s="40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09"/>
      <c r="P112" s="409"/>
      <c r="Q112" s="409"/>
      <c r="R112" s="409"/>
      <c r="S112" s="409"/>
      <c r="T112" s="409"/>
      <c r="U112" s="40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09"/>
      <c r="P113" s="409"/>
      <c r="Q113" s="409"/>
      <c r="R113" s="409"/>
      <c r="S113" s="409"/>
      <c r="T113" s="409"/>
      <c r="U113" s="40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09"/>
      <c r="P114" s="409"/>
      <c r="Q114" s="409"/>
      <c r="R114" s="409"/>
      <c r="S114" s="409"/>
      <c r="T114" s="409"/>
      <c r="U114" s="40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09"/>
      <c r="P115" s="409"/>
      <c r="Q115" s="409"/>
      <c r="R115" s="409"/>
      <c r="S115" s="409"/>
      <c r="T115" s="409"/>
      <c r="U115" s="40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09"/>
      <c r="P116" s="409"/>
      <c r="Q116" s="409"/>
      <c r="R116" s="409"/>
      <c r="S116" s="409"/>
      <c r="T116" s="409"/>
      <c r="U116" s="40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09"/>
      <c r="P117" s="409"/>
      <c r="Q117" s="409"/>
      <c r="R117" s="409"/>
      <c r="S117" s="409"/>
      <c r="T117" s="409"/>
      <c r="U117" s="40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09"/>
      <c r="P118" s="409"/>
      <c r="Q118" s="409"/>
      <c r="R118" s="409"/>
      <c r="S118" s="409"/>
      <c r="T118" s="409"/>
      <c r="U118" s="40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09"/>
      <c r="P119" s="409"/>
      <c r="Q119" s="409"/>
      <c r="R119" s="409"/>
      <c r="S119" s="409"/>
      <c r="T119" s="409"/>
      <c r="U119" s="40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1">
        <f t="shared" si="36"/>
        <v>0</v>
      </c>
      <c r="I120" s="129"/>
      <c r="J120" s="130" t="str">
        <f t="array" ref="J120">IF(ISERROR(G120/I120),"",G120/I120)</f>
        <v/>
      </c>
      <c r="K120" s="40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09"/>
      <c r="P120" s="409"/>
      <c r="Q120" s="409"/>
      <c r="R120" s="409"/>
      <c r="S120" s="409"/>
      <c r="T120" s="409"/>
      <c r="U120" s="40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18" t="s">
        <v>224</v>
      </c>
      <c r="B121" s="619"/>
      <c r="C121" s="410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09"/>
      <c r="P122" s="409"/>
      <c r="Q122" s="409"/>
      <c r="R122" s="409"/>
      <c r="S122" s="409"/>
      <c r="T122" s="409"/>
      <c r="U122" s="40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09"/>
      <c r="P123" s="409"/>
      <c r="Q123" s="409"/>
      <c r="R123" s="409"/>
      <c r="S123" s="409"/>
      <c r="T123" s="409"/>
      <c r="U123" s="40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09"/>
      <c r="P124" s="409"/>
      <c r="Q124" s="409"/>
      <c r="R124" s="409"/>
      <c r="S124" s="409"/>
      <c r="T124" s="409"/>
      <c r="U124" s="40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09"/>
      <c r="P125" s="409"/>
      <c r="Q125" s="409"/>
      <c r="R125" s="409"/>
      <c r="S125" s="409"/>
      <c r="T125" s="409"/>
      <c r="U125" s="40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8" t="s">
        <v>203</v>
      </c>
      <c r="D126" s="108">
        <v>5.03</v>
      </c>
      <c r="E126" s="108"/>
      <c r="F126" s="127"/>
      <c r="G126" s="128"/>
      <c r="H126" s="40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09"/>
      <c r="P126" s="409"/>
      <c r="Q126" s="409"/>
      <c r="R126" s="409"/>
      <c r="S126" s="409"/>
      <c r="T126" s="409"/>
      <c r="U126" s="40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09"/>
      <c r="P127" s="409"/>
      <c r="Q127" s="409"/>
      <c r="R127" s="409"/>
      <c r="S127" s="409"/>
      <c r="T127" s="409"/>
      <c r="U127" s="40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09"/>
      <c r="P128" s="409"/>
      <c r="Q128" s="409"/>
      <c r="R128" s="409"/>
      <c r="S128" s="409"/>
      <c r="T128" s="409"/>
      <c r="U128" s="40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8" t="s">
        <v>228</v>
      </c>
      <c r="D129" s="108">
        <v>5.03</v>
      </c>
      <c r="E129" s="108"/>
      <c r="F129" s="127"/>
      <c r="G129" s="128"/>
      <c r="H129" s="40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09"/>
      <c r="P129" s="409"/>
      <c r="Q129" s="409"/>
      <c r="R129" s="409"/>
      <c r="S129" s="409"/>
      <c r="T129" s="409"/>
      <c r="U129" s="40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8" t="s">
        <v>212</v>
      </c>
      <c r="D130" s="108">
        <v>5.03</v>
      </c>
      <c r="E130" s="108"/>
      <c r="F130" s="127"/>
      <c r="G130" s="128"/>
      <c r="H130" s="40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09"/>
      <c r="P130" s="409"/>
      <c r="Q130" s="409"/>
      <c r="R130" s="409"/>
      <c r="S130" s="409"/>
      <c r="T130" s="409"/>
      <c r="U130" s="40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8" t="s">
        <v>203</v>
      </c>
      <c r="D131" s="108">
        <v>5.03</v>
      </c>
      <c r="E131" s="108"/>
      <c r="F131" s="127"/>
      <c r="G131" s="128"/>
      <c r="H131" s="40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09"/>
      <c r="P131" s="409"/>
      <c r="Q131" s="409"/>
      <c r="R131" s="409"/>
      <c r="S131" s="409"/>
      <c r="T131" s="409"/>
      <c r="U131" s="40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8" t="s">
        <v>186</v>
      </c>
      <c r="D132" s="108">
        <v>5.03</v>
      </c>
      <c r="E132" s="108"/>
      <c r="F132" s="127"/>
      <c r="G132" s="128"/>
      <c r="H132" s="40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09"/>
      <c r="P132" s="409"/>
      <c r="Q132" s="409"/>
      <c r="R132" s="409"/>
      <c r="S132" s="409"/>
      <c r="T132" s="409"/>
      <c r="U132" s="40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8" t="s">
        <v>228</v>
      </c>
      <c r="D133" s="108">
        <v>5.03</v>
      </c>
      <c r="E133" s="108"/>
      <c r="F133" s="127"/>
      <c r="G133" s="128"/>
      <c r="H133" s="40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09"/>
      <c r="P133" s="409"/>
      <c r="Q133" s="409"/>
      <c r="R133" s="409"/>
      <c r="S133" s="409"/>
      <c r="T133" s="409"/>
      <c r="U133" s="40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8" t="s">
        <v>199</v>
      </c>
      <c r="D134" s="108">
        <v>5.03</v>
      </c>
      <c r="E134" s="108"/>
      <c r="F134" s="127"/>
      <c r="G134" s="128"/>
      <c r="H134" s="40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09"/>
      <c r="P134" s="409"/>
      <c r="Q134" s="409"/>
      <c r="R134" s="409"/>
      <c r="S134" s="409"/>
      <c r="T134" s="409"/>
      <c r="U134" s="40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09"/>
      <c r="P135" s="409"/>
      <c r="Q135" s="409"/>
      <c r="R135" s="409"/>
      <c r="S135" s="409"/>
      <c r="T135" s="409"/>
      <c r="U135" s="40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09"/>
      <c r="P136" s="409"/>
      <c r="Q136" s="409"/>
      <c r="R136" s="409"/>
      <c r="S136" s="409"/>
      <c r="T136" s="409"/>
      <c r="U136" s="40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18" t="s">
        <v>231</v>
      </c>
      <c r="B137" s="619"/>
      <c r="C137" s="41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09"/>
      <c r="P138" s="409"/>
      <c r="Q138" s="409"/>
      <c r="R138" s="409"/>
      <c r="S138" s="409"/>
      <c r="T138" s="409"/>
      <c r="U138" s="40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09"/>
      <c r="P139" s="409"/>
      <c r="Q139" s="409"/>
      <c r="R139" s="409"/>
      <c r="S139" s="409"/>
      <c r="T139" s="409"/>
      <c r="U139" s="40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09"/>
      <c r="P140" s="409"/>
      <c r="Q140" s="409"/>
      <c r="R140" s="409"/>
      <c r="S140" s="409"/>
      <c r="T140" s="409"/>
      <c r="U140" s="40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09"/>
      <c r="P141" s="409"/>
      <c r="Q141" s="409"/>
      <c r="R141" s="409"/>
      <c r="S141" s="409"/>
      <c r="T141" s="409"/>
      <c r="U141" s="40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09"/>
      <c r="P142" s="409"/>
      <c r="Q142" s="409"/>
      <c r="R142" s="409"/>
      <c r="S142" s="409"/>
      <c r="T142" s="409"/>
      <c r="U142" s="40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09"/>
      <c r="P143" s="409"/>
      <c r="Q143" s="409"/>
      <c r="R143" s="409"/>
      <c r="S143" s="409"/>
      <c r="T143" s="409"/>
      <c r="U143" s="40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0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09"/>
      <c r="P144" s="409"/>
      <c r="Q144" s="409"/>
      <c r="R144" s="409"/>
      <c r="S144" s="409"/>
      <c r="T144" s="409"/>
      <c r="U144" s="40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0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09"/>
      <c r="P145" s="409"/>
      <c r="Q145" s="409"/>
      <c r="R145" s="409"/>
      <c r="S145" s="409"/>
      <c r="T145" s="409"/>
      <c r="U145" s="40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0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09"/>
      <c r="P147" s="409"/>
      <c r="Q147" s="409"/>
      <c r="R147" s="409"/>
      <c r="S147" s="409"/>
      <c r="T147" s="409"/>
      <c r="U147" s="40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18" t="s">
        <v>234</v>
      </c>
      <c r="B148" s="619"/>
      <c r="C148" s="41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06"/>
      <c r="D149" s="108">
        <v>3.65</v>
      </c>
      <c r="E149" s="108"/>
      <c r="F149" s="153"/>
      <c r="G149" s="128"/>
      <c r="H149" s="401">
        <f t="shared" ref="H149:H162" si="63">D149*G149</f>
        <v>0</v>
      </c>
      <c r="I149" s="129"/>
      <c r="J149" s="130" t="str">
        <f t="array" ref="J149">IF(ISERROR(G149/I149),"",G149/I149)</f>
        <v/>
      </c>
      <c r="K149" s="40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09"/>
      <c r="P149" s="409"/>
      <c r="Q149" s="409"/>
      <c r="R149" s="409"/>
      <c r="S149" s="409"/>
      <c r="T149" s="409"/>
      <c r="U149" s="40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06"/>
      <c r="D150" s="108">
        <v>6.58</v>
      </c>
      <c r="E150" s="108"/>
      <c r="F150" s="127"/>
      <c r="G150" s="128"/>
      <c r="H150" s="40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409"/>
      <c r="P150" s="409"/>
      <c r="Q150" s="409"/>
      <c r="R150" s="409"/>
      <c r="S150" s="409"/>
      <c r="T150" s="409"/>
      <c r="U150" s="40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06"/>
      <c r="D151" s="108">
        <v>7.8</v>
      </c>
      <c r="E151" s="108"/>
      <c r="F151" s="127"/>
      <c r="G151" s="128"/>
      <c r="H151" s="40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409"/>
      <c r="P151" s="409"/>
      <c r="Q151" s="409"/>
      <c r="R151" s="409"/>
      <c r="S151" s="409"/>
      <c r="T151" s="409"/>
      <c r="U151" s="40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06"/>
      <c r="D152" s="108">
        <v>4.4000000000000004</v>
      </c>
      <c r="E152" s="108"/>
      <c r="F152" s="127"/>
      <c r="G152" s="128"/>
      <c r="H152" s="40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09"/>
      <c r="P152" s="409"/>
      <c r="Q152" s="409"/>
      <c r="R152" s="409"/>
      <c r="S152" s="409"/>
      <c r="T152" s="409"/>
      <c r="U152" s="40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0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09"/>
      <c r="P153" s="409"/>
      <c r="Q153" s="409"/>
      <c r="R153" s="409"/>
      <c r="S153" s="409"/>
      <c r="T153" s="409"/>
      <c r="U153" s="40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06" t="s">
        <v>239</v>
      </c>
      <c r="C154" s="406" t="s">
        <v>179</v>
      </c>
      <c r="D154" s="108">
        <v>6.04</v>
      </c>
      <c r="E154" s="108"/>
      <c r="F154" s="127"/>
      <c r="G154" s="128"/>
      <c r="H154" s="40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09"/>
      <c r="P154" s="409"/>
      <c r="Q154" s="409"/>
      <c r="R154" s="409"/>
      <c r="S154" s="409"/>
      <c r="T154" s="409"/>
      <c r="U154" s="40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06" t="s">
        <v>239</v>
      </c>
      <c r="C155" s="406" t="s">
        <v>186</v>
      </c>
      <c r="D155" s="108">
        <v>6.04</v>
      </c>
      <c r="E155" s="108"/>
      <c r="F155" s="127"/>
      <c r="G155" s="128"/>
      <c r="H155" s="40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09"/>
      <c r="P155" s="409"/>
      <c r="Q155" s="409"/>
      <c r="R155" s="409"/>
      <c r="S155" s="409"/>
      <c r="T155" s="409"/>
      <c r="U155" s="40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06" t="s">
        <v>443</v>
      </c>
      <c r="C156" s="406" t="s">
        <v>179</v>
      </c>
      <c r="D156" s="108">
        <v>6</v>
      </c>
      <c r="E156" s="108"/>
      <c r="F156" s="127"/>
      <c r="G156" s="128"/>
      <c r="H156" s="401">
        <f t="shared" si="63"/>
        <v>0</v>
      </c>
      <c r="I156" s="129"/>
      <c r="J156" s="130"/>
      <c r="K156" s="131"/>
      <c r="L156" s="129"/>
      <c r="M156" s="109"/>
      <c r="N156" s="130"/>
      <c r="O156" s="409"/>
      <c r="P156" s="409"/>
      <c r="Q156" s="409"/>
      <c r="R156" s="409"/>
      <c r="S156" s="409"/>
      <c r="T156" s="409"/>
      <c r="U156" s="40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06" t="s">
        <v>443</v>
      </c>
      <c r="C157" s="406" t="s">
        <v>60</v>
      </c>
      <c r="D157" s="108">
        <v>6</v>
      </c>
      <c r="E157" s="108"/>
      <c r="F157" s="127"/>
      <c r="G157" s="128"/>
      <c r="H157" s="40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09"/>
      <c r="P157" s="409"/>
      <c r="Q157" s="409"/>
      <c r="R157" s="409"/>
      <c r="S157" s="409"/>
      <c r="T157" s="409"/>
      <c r="U157" s="40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00" t="s">
        <v>240</v>
      </c>
      <c r="C158" s="126"/>
      <c r="D158" s="108">
        <v>7.3</v>
      </c>
      <c r="E158" s="108"/>
      <c r="F158" s="127"/>
      <c r="G158" s="128"/>
      <c r="H158" s="40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09"/>
      <c r="P158" s="409"/>
      <c r="Q158" s="409"/>
      <c r="R158" s="409"/>
      <c r="S158" s="409"/>
      <c r="T158" s="409"/>
      <c r="U158" s="40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00" t="s">
        <v>241</v>
      </c>
      <c r="C159" s="126"/>
      <c r="D159" s="108">
        <f>78*120/1000</f>
        <v>9.36</v>
      </c>
      <c r="E159" s="108"/>
      <c r="F159" s="127"/>
      <c r="G159" s="128"/>
      <c r="H159" s="40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09"/>
      <c r="P159" s="409"/>
      <c r="Q159" s="409"/>
      <c r="R159" s="409"/>
      <c r="S159" s="409"/>
      <c r="T159" s="409"/>
      <c r="U159" s="40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00" t="s">
        <v>242</v>
      </c>
      <c r="C160" s="126"/>
      <c r="D160" s="108">
        <v>4.5</v>
      </c>
      <c r="E160" s="108"/>
      <c r="F160" s="127"/>
      <c r="G160" s="128"/>
      <c r="H160" s="401">
        <f t="shared" si="63"/>
        <v>0</v>
      </c>
      <c r="I160" s="129"/>
      <c r="J160" s="130"/>
      <c r="K160" s="131"/>
      <c r="L160" s="129"/>
      <c r="M160" s="109"/>
      <c r="N160" s="130"/>
      <c r="O160" s="409"/>
      <c r="P160" s="409"/>
      <c r="Q160" s="409"/>
      <c r="R160" s="409"/>
      <c r="S160" s="409"/>
      <c r="T160" s="409"/>
      <c r="U160" s="40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00" t="s">
        <v>243</v>
      </c>
      <c r="C161" s="126"/>
      <c r="D161" s="108">
        <v>4.5</v>
      </c>
      <c r="E161" s="108"/>
      <c r="F161" s="127"/>
      <c r="G161" s="128"/>
      <c r="H161" s="401">
        <f t="shared" si="63"/>
        <v>0</v>
      </c>
      <c r="I161" s="129"/>
      <c r="J161" s="130"/>
      <c r="K161" s="131"/>
      <c r="L161" s="129"/>
      <c r="M161" s="109"/>
      <c r="N161" s="130"/>
      <c r="O161" s="409"/>
      <c r="P161" s="409"/>
      <c r="Q161" s="409"/>
      <c r="R161" s="409"/>
      <c r="S161" s="409"/>
      <c r="T161" s="409"/>
      <c r="U161" s="40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01">
        <f t="shared" si="63"/>
        <v>0</v>
      </c>
      <c r="I162" s="129"/>
      <c r="J162" s="130"/>
      <c r="K162" s="131"/>
      <c r="L162" s="129"/>
      <c r="M162" s="109"/>
      <c r="N162" s="130"/>
      <c r="O162" s="409"/>
      <c r="P162" s="409"/>
      <c r="Q162" s="409"/>
      <c r="R162" s="409"/>
      <c r="S162" s="409"/>
      <c r="T162" s="409"/>
      <c r="U162" s="40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618" t="s">
        <v>244</v>
      </c>
      <c r="B163" s="619"/>
      <c r="C163" s="410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403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403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403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403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403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403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403">
        <f>G164</f>
        <v>0</v>
      </c>
      <c r="C171" s="638" t="s">
        <v>269</v>
      </c>
      <c r="D171" s="639"/>
      <c r="E171" s="631">
        <f>H164</f>
        <v>0</v>
      </c>
      <c r="F171" s="631"/>
      <c r="G171" s="631" t="s">
        <v>270</v>
      </c>
      <c r="H171" s="631"/>
      <c r="I171" s="640" t="str">
        <f>L164</f>
        <v/>
      </c>
      <c r="J171" s="640"/>
      <c r="K171" s="628" t="s">
        <v>271</v>
      </c>
      <c r="L171" s="628"/>
      <c r="M171" s="640" t="str">
        <f>J164</f>
        <v/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403">
        <f>I164+C170</f>
        <v>4</v>
      </c>
      <c r="C172" s="641" t="s">
        <v>251</v>
      </c>
      <c r="D172" s="642"/>
      <c r="E172" s="643">
        <f>K164+I170</f>
        <v>41</v>
      </c>
      <c r="F172" s="643"/>
      <c r="G172" s="631" t="s">
        <v>274</v>
      </c>
      <c r="H172" s="631"/>
      <c r="I172" s="640">
        <f>B172-E172</f>
        <v>-37</v>
      </c>
      <c r="J172" s="640"/>
      <c r="K172" s="628" t="s">
        <v>275</v>
      </c>
      <c r="L172" s="628"/>
      <c r="M172" s="632">
        <f>IF(ISERROR(I172/E172),"",I172/E172)</f>
        <v>-0.90243902439024393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403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 t="str">
        <f t="array" ref="M173">IF(ISERROR(I173/B171),"",I173/B171)</f>
        <v/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538</v>
      </c>
      <c r="H177" s="406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400" t="s">
        <v>178</v>
      </c>
      <c r="C178" s="126" t="s">
        <v>179</v>
      </c>
      <c r="D178" s="108">
        <v>5.03</v>
      </c>
      <c r="E178" s="108"/>
      <c r="F178" s="127"/>
      <c r="G178" s="128"/>
      <c r="H178" s="40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09"/>
      <c r="P178" s="409"/>
      <c r="Q178" s="409"/>
      <c r="R178" s="409"/>
      <c r="S178" s="409"/>
      <c r="T178" s="409"/>
      <c r="U178" s="40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0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09"/>
      <c r="P179" s="409"/>
      <c r="Q179" s="409"/>
      <c r="R179" s="409"/>
      <c r="S179" s="409"/>
      <c r="T179" s="409"/>
      <c r="U179" s="40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0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09"/>
      <c r="P180" s="409"/>
      <c r="Q180" s="409"/>
      <c r="R180" s="409"/>
      <c r="S180" s="409"/>
      <c r="T180" s="409"/>
      <c r="U180" s="40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0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09"/>
      <c r="P181" s="409"/>
      <c r="Q181" s="409"/>
      <c r="R181" s="409"/>
      <c r="S181" s="409"/>
      <c r="T181" s="409"/>
      <c r="U181" s="40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0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09"/>
      <c r="P182" s="409"/>
      <c r="Q182" s="409"/>
      <c r="R182" s="409"/>
      <c r="S182" s="409"/>
      <c r="T182" s="409"/>
      <c r="U182" s="40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0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409"/>
      <c r="P183" s="409"/>
      <c r="Q183" s="409"/>
      <c r="R183" s="409"/>
      <c r="S183" s="409"/>
      <c r="T183" s="409"/>
      <c r="U183" s="40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0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09"/>
      <c r="P184" s="409"/>
      <c r="Q184" s="409"/>
      <c r="R184" s="409"/>
      <c r="S184" s="409"/>
      <c r="T184" s="409"/>
      <c r="U184" s="40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0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09"/>
      <c r="P185" s="409"/>
      <c r="Q185" s="409"/>
      <c r="R185" s="409"/>
      <c r="S185" s="409"/>
      <c r="T185" s="409"/>
      <c r="U185" s="40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01">
        <f t="shared" si="77"/>
        <v>0</v>
      </c>
      <c r="I186" s="40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09"/>
      <c r="P186" s="409"/>
      <c r="Q186" s="409"/>
      <c r="R186" s="409"/>
      <c r="S186" s="409"/>
      <c r="T186" s="409"/>
      <c r="U186" s="40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01">
        <f t="shared" si="77"/>
        <v>0</v>
      </c>
      <c r="I187" s="40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09"/>
      <c r="P187" s="409"/>
      <c r="Q187" s="409"/>
      <c r="R187" s="409"/>
      <c r="S187" s="409"/>
      <c r="T187" s="409"/>
      <c r="U187" s="40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0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09"/>
      <c r="P188" s="409"/>
      <c r="Q188" s="409"/>
      <c r="R188" s="409"/>
      <c r="S188" s="409"/>
      <c r="T188" s="409"/>
      <c r="U188" s="40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0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09"/>
      <c r="P189" s="409"/>
      <c r="Q189" s="409"/>
      <c r="R189" s="409"/>
      <c r="S189" s="409"/>
      <c r="T189" s="409"/>
      <c r="U189" s="40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90*3+59+90</f>
        <v>419</v>
      </c>
      <c r="H190" s="401">
        <f t="shared" ref="H190:H198" si="82">D190*G190</f>
        <v>2120.14</v>
      </c>
      <c r="I190" s="129">
        <f>7*5</f>
        <v>35</v>
      </c>
      <c r="J190" s="130">
        <f t="array" ref="J190">IF(ISERROR(G190/I190),"",G190/I190)</f>
        <v>11.971428571428572</v>
      </c>
      <c r="K190" s="131">
        <f t="array" ref="K190">IF(ISERROR(G190/L190),"",G190/L190)</f>
        <v>22.05263157894737</v>
      </c>
      <c r="L190" s="129">
        <v>19</v>
      </c>
      <c r="M190" s="109">
        <f t="shared" ref="M190:M198" si="83">IF(ISERROR(I190-K190),"",I190-K190)</f>
        <v>12.94736842105263</v>
      </c>
      <c r="N190" s="130">
        <f t="shared" ref="N190:N192" si="84">SUM(O190:U190)</f>
        <v>0</v>
      </c>
      <c r="O190" s="409"/>
      <c r="P190" s="409"/>
      <c r="Q190" s="409"/>
      <c r="R190" s="409"/>
      <c r="S190" s="409"/>
      <c r="T190" s="409"/>
      <c r="U190" s="40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0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09"/>
      <c r="P191" s="409"/>
      <c r="Q191" s="409"/>
      <c r="R191" s="409"/>
      <c r="S191" s="409"/>
      <c r="T191" s="409"/>
      <c r="U191" s="40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01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09"/>
      <c r="P192" s="409"/>
      <c r="Q192" s="409"/>
      <c r="R192" s="409"/>
      <c r="S192" s="409"/>
      <c r="T192" s="409"/>
      <c r="U192" s="40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06" t="s">
        <v>190</v>
      </c>
      <c r="D193" s="108">
        <v>4.8</v>
      </c>
      <c r="E193" s="108"/>
      <c r="F193" s="127"/>
      <c r="G193" s="128"/>
      <c r="H193" s="40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09"/>
      <c r="P193" s="409"/>
      <c r="Q193" s="409"/>
      <c r="R193" s="409"/>
      <c r="S193" s="409"/>
      <c r="T193" s="409"/>
      <c r="U193" s="40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06" t="s">
        <v>187</v>
      </c>
      <c r="D194" s="108">
        <v>4.8</v>
      </c>
      <c r="E194" s="108"/>
      <c r="F194" s="127"/>
      <c r="G194" s="128"/>
      <c r="H194" s="40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09"/>
      <c r="P194" s="409"/>
      <c r="Q194" s="409"/>
      <c r="R194" s="409"/>
      <c r="S194" s="409"/>
      <c r="T194" s="409"/>
      <c r="U194" s="40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06" t="s">
        <v>179</v>
      </c>
      <c r="D195" s="108">
        <v>4.8</v>
      </c>
      <c r="E195" s="108"/>
      <c r="F195" s="127"/>
      <c r="G195" s="128"/>
      <c r="H195" s="40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09"/>
      <c r="P195" s="409"/>
      <c r="Q195" s="409"/>
      <c r="R195" s="409"/>
      <c r="S195" s="409"/>
      <c r="T195" s="409"/>
      <c r="U195" s="40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06" t="s">
        <v>199</v>
      </c>
      <c r="D196" s="108">
        <v>4.8</v>
      </c>
      <c r="E196" s="108"/>
      <c r="F196" s="127"/>
      <c r="G196" s="128"/>
      <c r="H196" s="40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09"/>
      <c r="P196" s="409"/>
      <c r="Q196" s="409"/>
      <c r="R196" s="409"/>
      <c r="S196" s="409"/>
      <c r="T196" s="409"/>
      <c r="U196" s="40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100*7</f>
        <v>700</v>
      </c>
      <c r="H197" s="401">
        <f t="shared" si="82"/>
        <v>3493</v>
      </c>
      <c r="I197" s="129">
        <f>8*5</f>
        <v>40</v>
      </c>
      <c r="J197" s="130">
        <f t="array" ref="J197">IF(ISERROR(G197/I197),"",G197/I197)</f>
        <v>17.5</v>
      </c>
      <c r="K197" s="131">
        <f t="array" ref="K197">IF(ISERROR(G197/L197),"",G197/L197)</f>
        <v>29.787234042553191</v>
      </c>
      <c r="L197" s="129">
        <v>23.5</v>
      </c>
      <c r="M197" s="109">
        <f t="shared" si="83"/>
        <v>10.212765957446809</v>
      </c>
      <c r="N197" s="130">
        <f t="shared" ref="N197:N198" si="87">SUM(O197:U197)</f>
        <v>0</v>
      </c>
      <c r="O197" s="409"/>
      <c r="P197" s="409"/>
      <c r="Q197" s="409"/>
      <c r="R197" s="409"/>
      <c r="S197" s="409"/>
      <c r="T197" s="409"/>
      <c r="U197" s="40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40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09"/>
      <c r="P198" s="409"/>
      <c r="Q198" s="409"/>
      <c r="R198" s="409"/>
      <c r="S198" s="409"/>
      <c r="T198" s="409"/>
      <c r="U198" s="40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410" t="s">
        <v>202</v>
      </c>
      <c r="D199" s="143"/>
      <c r="E199" s="143"/>
      <c r="F199" s="144"/>
      <c r="G199" s="145">
        <f>SUM(G178:G198)</f>
        <v>1119</v>
      </c>
      <c r="H199" s="146">
        <f>SUM(H178:H198)</f>
        <v>5613.1399999999994</v>
      </c>
      <c r="I199" s="146">
        <f>SUM(I178:I198)</f>
        <v>75</v>
      </c>
      <c r="J199" s="130">
        <f t="array" ref="J199">IF(ISERROR(G199/I199),"",G199/I199)</f>
        <v>14.92</v>
      </c>
      <c r="K199" s="146">
        <f>SUM(K178:K198)</f>
        <v>51.839865621500564</v>
      </c>
      <c r="L199" s="147"/>
      <c r="M199" s="150">
        <f t="shared" ref="M199:AA199" si="90">SUM(M178:M198)</f>
        <v>23.160134378499439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00" t="s">
        <v>206</v>
      </c>
      <c r="C200" s="126" t="s">
        <v>199</v>
      </c>
      <c r="D200" s="108">
        <v>5.03</v>
      </c>
      <c r="E200" s="108"/>
      <c r="F200" s="127"/>
      <c r="G200" s="128"/>
      <c r="H200" s="401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04"/>
      <c r="P200" s="404"/>
      <c r="Q200" s="404"/>
      <c r="R200" s="404"/>
      <c r="S200" s="404"/>
      <c r="T200" s="404"/>
      <c r="U200" s="40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00" t="s">
        <v>425</v>
      </c>
      <c r="C201" s="187" t="s">
        <v>427</v>
      </c>
      <c r="D201" s="108">
        <v>5.03</v>
      </c>
      <c r="E201" s="108"/>
      <c r="F201" s="127"/>
      <c r="G201" s="128"/>
      <c r="H201" s="40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04"/>
      <c r="P201" s="404"/>
      <c r="Q201" s="404"/>
      <c r="R201" s="404"/>
      <c r="S201" s="404"/>
      <c r="T201" s="404"/>
      <c r="U201" s="40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00" t="s">
        <v>206</v>
      </c>
      <c r="C202" s="126" t="s">
        <v>186</v>
      </c>
      <c r="D202" s="108">
        <v>5.03</v>
      </c>
      <c r="E202" s="108"/>
      <c r="F202" s="127"/>
      <c r="G202" s="128"/>
      <c r="H202" s="40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404"/>
      <c r="P202" s="404"/>
      <c r="Q202" s="404"/>
      <c r="R202" s="404"/>
      <c r="S202" s="404"/>
      <c r="T202" s="404"/>
      <c r="U202" s="40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00" t="s">
        <v>206</v>
      </c>
      <c r="C203" s="126" t="s">
        <v>203</v>
      </c>
      <c r="D203" s="108">
        <v>5.03</v>
      </c>
      <c r="E203" s="108"/>
      <c r="F203" s="127"/>
      <c r="G203" s="128"/>
      <c r="H203" s="40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04"/>
      <c r="P203" s="404"/>
      <c r="Q203" s="404"/>
      <c r="R203" s="404"/>
      <c r="S203" s="404"/>
      <c r="T203" s="404"/>
      <c r="U203" s="40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00" t="s">
        <v>206</v>
      </c>
      <c r="C204" s="126" t="s">
        <v>207</v>
      </c>
      <c r="D204" s="108">
        <v>5.03</v>
      </c>
      <c r="E204" s="108"/>
      <c r="F204" s="127"/>
      <c r="G204" s="128"/>
      <c r="H204" s="40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04"/>
      <c r="P204" s="404"/>
      <c r="Q204" s="404"/>
      <c r="R204" s="404"/>
      <c r="S204" s="404"/>
      <c r="T204" s="404"/>
      <c r="U204" s="40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00" t="s">
        <v>414</v>
      </c>
      <c r="C205" s="187" t="s">
        <v>415</v>
      </c>
      <c r="D205" s="108">
        <v>5.03</v>
      </c>
      <c r="E205" s="108"/>
      <c r="F205" s="127"/>
      <c r="G205" s="128"/>
      <c r="H205" s="40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4"/>
      <c r="P205" s="404"/>
      <c r="Q205" s="404"/>
      <c r="R205" s="404"/>
      <c r="S205" s="404"/>
      <c r="T205" s="404"/>
      <c r="U205" s="40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00" t="s">
        <v>414</v>
      </c>
      <c r="C206" s="187" t="s">
        <v>416</v>
      </c>
      <c r="D206" s="108">
        <v>5.03</v>
      </c>
      <c r="E206" s="108"/>
      <c r="F206" s="127"/>
      <c r="G206" s="128"/>
      <c r="H206" s="40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4"/>
      <c r="P206" s="404"/>
      <c r="Q206" s="404"/>
      <c r="R206" s="404"/>
      <c r="S206" s="404"/>
      <c r="T206" s="404"/>
      <c r="U206" s="40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00" t="s">
        <v>414</v>
      </c>
      <c r="C207" s="187" t="s">
        <v>61</v>
      </c>
      <c r="D207" s="108">
        <v>5.03</v>
      </c>
      <c r="E207" s="108"/>
      <c r="F207" s="127"/>
      <c r="G207" s="128"/>
      <c r="H207" s="40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04"/>
      <c r="P207" s="404"/>
      <c r="Q207" s="404"/>
      <c r="R207" s="404"/>
      <c r="S207" s="404"/>
      <c r="T207" s="404"/>
      <c r="U207" s="404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0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108*2+86</f>
        <v>302</v>
      </c>
      <c r="H208" s="401">
        <f t="shared" si="91"/>
        <v>1534.16</v>
      </c>
      <c r="I208" s="129">
        <f>8.5*3</f>
        <v>25.5</v>
      </c>
      <c r="J208" s="130">
        <f t="array" ref="J208">IF(ISERROR(G208/I208),"",G208/I208)</f>
        <v>11.843137254901961</v>
      </c>
      <c r="K208" s="131">
        <f t="array" ref="K208">IF(ISERROR(G208/L208),"",G208/L208)</f>
        <v>14.380952380952381</v>
      </c>
      <c r="L208" s="129">
        <v>21</v>
      </c>
      <c r="M208" s="109">
        <f t="shared" ref="M208:M237" si="101">IF(ISERROR(I208-K208),"",I208-K208)</f>
        <v>11.119047619047619</v>
      </c>
      <c r="N208" s="130">
        <f t="shared" ref="N208:N237" si="102">SUM(O208:U208)</f>
        <v>0</v>
      </c>
      <c r="O208" s="404"/>
      <c r="P208" s="404"/>
      <c r="Q208" s="404"/>
      <c r="R208" s="404"/>
      <c r="S208" s="404"/>
      <c r="T208" s="404"/>
      <c r="U208" s="404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00" t="s">
        <v>208</v>
      </c>
      <c r="C209" s="126" t="s">
        <v>204</v>
      </c>
      <c r="D209" s="108">
        <v>5.08</v>
      </c>
      <c r="E209" s="108"/>
      <c r="F209" s="127"/>
      <c r="G209" s="128"/>
      <c r="H209" s="40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4"/>
      <c r="P209" s="404"/>
      <c r="Q209" s="404"/>
      <c r="R209" s="404"/>
      <c r="S209" s="404"/>
      <c r="T209" s="404"/>
      <c r="U209" s="40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00" t="s">
        <v>208</v>
      </c>
      <c r="C210" s="126" t="s">
        <v>205</v>
      </c>
      <c r="D210" s="108">
        <v>5.08</v>
      </c>
      <c r="E210" s="108"/>
      <c r="F210" s="127"/>
      <c r="G210" s="128"/>
      <c r="H210" s="40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4"/>
      <c r="P210" s="404"/>
      <c r="Q210" s="404"/>
      <c r="R210" s="404"/>
      <c r="S210" s="404"/>
      <c r="T210" s="404"/>
      <c r="U210" s="40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00" t="s">
        <v>208</v>
      </c>
      <c r="C211" s="126" t="s">
        <v>186</v>
      </c>
      <c r="D211" s="108">
        <v>5.08</v>
      </c>
      <c r="E211" s="108"/>
      <c r="F211" s="127"/>
      <c r="G211" s="128"/>
      <c r="H211" s="40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4"/>
      <c r="P211" s="404"/>
      <c r="Q211" s="404"/>
      <c r="R211" s="404"/>
      <c r="S211" s="404"/>
      <c r="T211" s="404"/>
      <c r="U211" s="40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00" t="s">
        <v>208</v>
      </c>
      <c r="C212" s="126" t="s">
        <v>203</v>
      </c>
      <c r="D212" s="108">
        <v>5.08</v>
      </c>
      <c r="E212" s="108"/>
      <c r="F212" s="127"/>
      <c r="G212" s="128"/>
      <c r="H212" s="40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04"/>
      <c r="P212" s="404"/>
      <c r="Q212" s="404"/>
      <c r="R212" s="404"/>
      <c r="S212" s="404"/>
      <c r="T212" s="404"/>
      <c r="U212" s="40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00" t="s">
        <v>208</v>
      </c>
      <c r="C213" s="126" t="s">
        <v>199</v>
      </c>
      <c r="D213" s="108">
        <v>5.08</v>
      </c>
      <c r="E213" s="108"/>
      <c r="F213" s="127"/>
      <c r="G213" s="128"/>
      <c r="H213" s="40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9"/>
      <c r="P213" s="409"/>
      <c r="Q213" s="409"/>
      <c r="R213" s="409"/>
      <c r="S213" s="409"/>
      <c r="T213" s="409"/>
      <c r="U213" s="40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00" t="s">
        <v>208</v>
      </c>
      <c r="C214" s="126" t="s">
        <v>187</v>
      </c>
      <c r="D214" s="108">
        <v>5.08</v>
      </c>
      <c r="E214" s="108"/>
      <c r="F214" s="127"/>
      <c r="G214" s="128"/>
      <c r="H214" s="40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04"/>
      <c r="P214" s="404"/>
      <c r="Q214" s="404"/>
      <c r="R214" s="404"/>
      <c r="S214" s="404"/>
      <c r="T214" s="404"/>
      <c r="U214" s="40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00" t="s">
        <v>208</v>
      </c>
      <c r="C215" s="126" t="s">
        <v>207</v>
      </c>
      <c r="D215" s="108">
        <v>5.08</v>
      </c>
      <c r="E215" s="108"/>
      <c r="F215" s="127"/>
      <c r="G215" s="128"/>
      <c r="H215" s="40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409"/>
      <c r="P215" s="409"/>
      <c r="Q215" s="409"/>
      <c r="R215" s="409"/>
      <c r="S215" s="409"/>
      <c r="T215" s="409"/>
      <c r="U215" s="40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00" t="s">
        <v>209</v>
      </c>
      <c r="C216" s="126" t="s">
        <v>194</v>
      </c>
      <c r="D216" s="108">
        <v>5.03</v>
      </c>
      <c r="E216" s="108"/>
      <c r="F216" s="127"/>
      <c r="G216" s="128"/>
      <c r="H216" s="40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4"/>
      <c r="P216" s="404"/>
      <c r="Q216" s="404"/>
      <c r="R216" s="404"/>
      <c r="S216" s="404"/>
      <c r="T216" s="404"/>
      <c r="U216" s="40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00" t="s">
        <v>209</v>
      </c>
      <c r="C217" s="126" t="s">
        <v>179</v>
      </c>
      <c r="D217" s="108">
        <v>5.03</v>
      </c>
      <c r="E217" s="108"/>
      <c r="F217" s="127"/>
      <c r="G217" s="128"/>
      <c r="H217" s="40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4"/>
      <c r="P217" s="404"/>
      <c r="Q217" s="404"/>
      <c r="R217" s="404"/>
      <c r="S217" s="404"/>
      <c r="T217" s="404"/>
      <c r="U217" s="40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00" t="s">
        <v>209</v>
      </c>
      <c r="C218" s="126" t="s">
        <v>195</v>
      </c>
      <c r="D218" s="108">
        <v>5.03</v>
      </c>
      <c r="E218" s="108"/>
      <c r="F218" s="127"/>
      <c r="G218" s="128"/>
      <c r="H218" s="40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4"/>
      <c r="P218" s="404"/>
      <c r="Q218" s="404"/>
      <c r="R218" s="404"/>
      <c r="S218" s="404"/>
      <c r="T218" s="404"/>
      <c r="U218" s="404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400" t="s">
        <v>209</v>
      </c>
      <c r="C219" s="126" t="s">
        <v>204</v>
      </c>
      <c r="D219" s="108">
        <v>5.03</v>
      </c>
      <c r="E219" s="108"/>
      <c r="F219" s="127">
        <v>42736</v>
      </c>
      <c r="G219" s="128">
        <f>108*9+63</f>
        <v>1035</v>
      </c>
      <c r="H219" s="401">
        <f t="shared" si="91"/>
        <v>5206.05</v>
      </c>
      <c r="I219" s="129">
        <v>20</v>
      </c>
      <c r="J219" s="130">
        <f t="array" ref="J219">IF(ISERROR(G219/I219),"",G219/I219)</f>
        <v>51.75</v>
      </c>
      <c r="K219" s="131">
        <f t="array" ref="K219">IF(ISERROR(G219/L219),"",G219/L219)</f>
        <v>18.482142857142858</v>
      </c>
      <c r="L219" s="129">
        <v>56</v>
      </c>
      <c r="M219" s="109">
        <f t="shared" si="101"/>
        <v>1.5178571428571423</v>
      </c>
      <c r="N219" s="130">
        <f t="shared" si="102"/>
        <v>0</v>
      </c>
      <c r="O219" s="404"/>
      <c r="P219" s="404"/>
      <c r="Q219" s="404"/>
      <c r="R219" s="404"/>
      <c r="S219" s="404"/>
      <c r="T219" s="404"/>
      <c r="U219" s="40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00" t="s">
        <v>382</v>
      </c>
      <c r="C220" s="187" t="s">
        <v>383</v>
      </c>
      <c r="D220" s="108">
        <v>5.03</v>
      </c>
      <c r="E220" s="108"/>
      <c r="F220" s="127"/>
      <c r="G220" s="128"/>
      <c r="H220" s="40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4"/>
      <c r="P220" s="404"/>
      <c r="Q220" s="404"/>
      <c r="R220" s="404"/>
      <c r="S220" s="404"/>
      <c r="T220" s="404"/>
      <c r="U220" s="40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00" t="s">
        <v>382</v>
      </c>
      <c r="C221" s="187" t="s">
        <v>384</v>
      </c>
      <c r="D221" s="108">
        <v>5.03</v>
      </c>
      <c r="E221" s="108"/>
      <c r="F221" s="127"/>
      <c r="G221" s="128"/>
      <c r="H221" s="40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4"/>
      <c r="P221" s="404"/>
      <c r="Q221" s="404"/>
      <c r="R221" s="404"/>
      <c r="S221" s="404"/>
      <c r="T221" s="404"/>
      <c r="U221" s="40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00" t="s">
        <v>382</v>
      </c>
      <c r="C222" s="187" t="s">
        <v>389</v>
      </c>
      <c r="D222" s="108">
        <v>5.03</v>
      </c>
      <c r="E222" s="108"/>
      <c r="F222" s="127"/>
      <c r="G222" s="128"/>
      <c r="H222" s="40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4"/>
      <c r="P222" s="404"/>
      <c r="Q222" s="404"/>
      <c r="R222" s="404"/>
      <c r="S222" s="404"/>
      <c r="T222" s="404"/>
      <c r="U222" s="40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00" t="s">
        <v>382</v>
      </c>
      <c r="C223" s="187" t="s">
        <v>391</v>
      </c>
      <c r="D223" s="108">
        <v>5.03</v>
      </c>
      <c r="E223" s="108"/>
      <c r="F223" s="127"/>
      <c r="G223" s="128"/>
      <c r="H223" s="40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04"/>
      <c r="P223" s="404"/>
      <c r="Q223" s="404"/>
      <c r="R223" s="404"/>
      <c r="S223" s="404"/>
      <c r="T223" s="404"/>
      <c r="U223" s="40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00" t="s">
        <v>418</v>
      </c>
      <c r="C224" s="187" t="s">
        <v>364</v>
      </c>
      <c r="D224" s="108">
        <v>5.03</v>
      </c>
      <c r="E224" s="108"/>
      <c r="F224" s="127"/>
      <c r="G224" s="128"/>
      <c r="H224" s="40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4"/>
      <c r="P224" s="404"/>
      <c r="Q224" s="404"/>
      <c r="R224" s="404"/>
      <c r="S224" s="404"/>
      <c r="T224" s="404"/>
      <c r="U224" s="40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00" t="s">
        <v>418</v>
      </c>
      <c r="C225" s="187" t="s">
        <v>365</v>
      </c>
      <c r="D225" s="108">
        <v>5.03</v>
      </c>
      <c r="E225" s="108"/>
      <c r="F225" s="127"/>
      <c r="G225" s="128"/>
      <c r="H225" s="40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4"/>
      <c r="P225" s="404"/>
      <c r="Q225" s="404"/>
      <c r="R225" s="404"/>
      <c r="S225" s="404"/>
      <c r="T225" s="404"/>
      <c r="U225" s="40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00" t="s">
        <v>418</v>
      </c>
      <c r="C226" s="187" t="s">
        <v>366</v>
      </c>
      <c r="D226" s="108">
        <v>5.03</v>
      </c>
      <c r="E226" s="108"/>
      <c r="F226" s="127"/>
      <c r="G226" s="128"/>
      <c r="H226" s="40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4"/>
      <c r="P226" s="404"/>
      <c r="Q226" s="404"/>
      <c r="R226" s="404"/>
      <c r="S226" s="404"/>
      <c r="T226" s="404"/>
      <c r="U226" s="40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00" t="s">
        <v>418</v>
      </c>
      <c r="C227" s="187" t="s">
        <v>367</v>
      </c>
      <c r="D227" s="108">
        <v>5.03</v>
      </c>
      <c r="E227" s="108"/>
      <c r="F227" s="127"/>
      <c r="G227" s="128"/>
      <c r="H227" s="40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04"/>
      <c r="P227" s="404"/>
      <c r="Q227" s="404"/>
      <c r="R227" s="404"/>
      <c r="S227" s="404"/>
      <c r="T227" s="404"/>
      <c r="U227" s="40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0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09"/>
      <c r="P228" s="409"/>
      <c r="Q228" s="409"/>
      <c r="R228" s="409"/>
      <c r="S228" s="409"/>
      <c r="T228" s="409"/>
      <c r="U228" s="40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0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09"/>
      <c r="P229" s="409"/>
      <c r="Q229" s="409"/>
      <c r="R229" s="409"/>
      <c r="S229" s="409"/>
      <c r="T229" s="409"/>
      <c r="U229" s="40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0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09"/>
      <c r="P230" s="409"/>
      <c r="Q230" s="409"/>
      <c r="R230" s="409"/>
      <c r="S230" s="409"/>
      <c r="T230" s="409"/>
      <c r="U230" s="40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0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09"/>
      <c r="P231" s="409"/>
      <c r="Q231" s="409"/>
      <c r="R231" s="409"/>
      <c r="S231" s="409"/>
      <c r="T231" s="409"/>
      <c r="U231" s="40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0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09"/>
      <c r="P232" s="409"/>
      <c r="Q232" s="409"/>
      <c r="R232" s="409"/>
      <c r="S232" s="409"/>
      <c r="T232" s="409"/>
      <c r="U232" s="40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0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09"/>
      <c r="P233" s="409"/>
      <c r="Q233" s="409"/>
      <c r="R233" s="409"/>
      <c r="S233" s="409"/>
      <c r="T233" s="409"/>
      <c r="U233" s="40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0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09"/>
      <c r="P234" s="409"/>
      <c r="Q234" s="409"/>
      <c r="R234" s="409"/>
      <c r="S234" s="409"/>
      <c r="T234" s="409"/>
      <c r="U234" s="40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0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09"/>
      <c r="P235" s="409"/>
      <c r="Q235" s="409"/>
      <c r="R235" s="409"/>
      <c r="S235" s="409"/>
      <c r="T235" s="409"/>
      <c r="U235" s="40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0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09"/>
      <c r="P236" s="409"/>
      <c r="Q236" s="409"/>
      <c r="R236" s="409"/>
      <c r="S236" s="409"/>
      <c r="T236" s="409"/>
      <c r="U236" s="40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0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09"/>
      <c r="P237" s="409"/>
      <c r="Q237" s="409"/>
      <c r="R237" s="409"/>
      <c r="S237" s="409"/>
      <c r="T237" s="409"/>
      <c r="U237" s="40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0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09"/>
      <c r="P238" s="409"/>
      <c r="Q238" s="409"/>
      <c r="R238" s="409"/>
      <c r="S238" s="409"/>
      <c r="T238" s="409"/>
      <c r="U238" s="40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>
        <v>42736</v>
      </c>
      <c r="G239" s="128">
        <f>108*4+64</f>
        <v>496</v>
      </c>
      <c r="H239" s="401">
        <f t="shared" si="91"/>
        <v>2480</v>
      </c>
      <c r="I239" s="129">
        <f>8.5*2</f>
        <v>17</v>
      </c>
      <c r="J239" s="130">
        <f t="array" ref="J239">IF(ISERROR(G239/I239),"",G239/I239)</f>
        <v>29.176470588235293</v>
      </c>
      <c r="K239" s="131">
        <f t="array" ref="K239">IF(ISERROR(G239/L239),"",G239/L239)</f>
        <v>9.92</v>
      </c>
      <c r="L239" s="129">
        <v>50</v>
      </c>
      <c r="M239" s="109">
        <f t="shared" ref="M239:M250" si="107">IF(ISERROR(I239-K239),"",I239-K239)</f>
        <v>7.08</v>
      </c>
      <c r="N239" s="130"/>
      <c r="O239" s="409"/>
      <c r="P239" s="409"/>
      <c r="Q239" s="409"/>
      <c r="R239" s="409"/>
      <c r="S239" s="409"/>
      <c r="T239" s="409"/>
      <c r="U239" s="40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0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09"/>
      <c r="P240" s="409"/>
      <c r="Q240" s="409"/>
      <c r="R240" s="409"/>
      <c r="S240" s="409"/>
      <c r="T240" s="409"/>
      <c r="U240" s="40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0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09"/>
      <c r="P241" s="409"/>
      <c r="Q241" s="409"/>
      <c r="R241" s="409"/>
      <c r="S241" s="409"/>
      <c r="T241" s="409"/>
      <c r="U241" s="40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0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09"/>
      <c r="P242" s="409"/>
      <c r="Q242" s="409"/>
      <c r="R242" s="409"/>
      <c r="S242" s="409"/>
      <c r="T242" s="409"/>
      <c r="U242" s="40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0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09"/>
      <c r="P243" s="409"/>
      <c r="Q243" s="409"/>
      <c r="R243" s="409"/>
      <c r="S243" s="409"/>
      <c r="T243" s="409"/>
      <c r="U243" s="40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0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09"/>
      <c r="P244" s="409"/>
      <c r="Q244" s="409"/>
      <c r="R244" s="409"/>
      <c r="S244" s="409"/>
      <c r="T244" s="409"/>
      <c r="U244" s="40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0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09"/>
      <c r="P245" s="409"/>
      <c r="Q245" s="409"/>
      <c r="R245" s="409"/>
      <c r="S245" s="409"/>
      <c r="T245" s="409"/>
      <c r="U245" s="40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0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09"/>
      <c r="P246" s="409"/>
      <c r="Q246" s="409"/>
      <c r="R246" s="409"/>
      <c r="S246" s="409"/>
      <c r="T246" s="409"/>
      <c r="U246" s="40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0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09"/>
      <c r="P247" s="409"/>
      <c r="Q247" s="409"/>
      <c r="R247" s="409"/>
      <c r="S247" s="409"/>
      <c r="T247" s="409"/>
      <c r="U247" s="40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0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09"/>
      <c r="P248" s="409"/>
      <c r="Q248" s="409"/>
      <c r="R248" s="409"/>
      <c r="S248" s="409"/>
      <c r="T248" s="409"/>
      <c r="U248" s="40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0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09"/>
      <c r="P249" s="409"/>
      <c r="Q249" s="409"/>
      <c r="R249" s="409"/>
      <c r="S249" s="409"/>
      <c r="T249" s="409"/>
      <c r="U249" s="40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0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09"/>
      <c r="P250" s="409"/>
      <c r="Q250" s="409"/>
      <c r="R250" s="409"/>
      <c r="S250" s="409"/>
      <c r="T250" s="409"/>
      <c r="U250" s="40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0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09"/>
      <c r="P251" s="409"/>
      <c r="Q251" s="409"/>
      <c r="R251" s="409"/>
      <c r="S251" s="409"/>
      <c r="T251" s="409"/>
      <c r="U251" s="40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0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09"/>
      <c r="P252" s="409"/>
      <c r="Q252" s="409"/>
      <c r="R252" s="409"/>
      <c r="S252" s="409"/>
      <c r="T252" s="409"/>
      <c r="U252" s="40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0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09"/>
      <c r="P253" s="409"/>
      <c r="Q253" s="409"/>
      <c r="R253" s="409"/>
      <c r="S253" s="409"/>
      <c r="T253" s="409"/>
      <c r="U253" s="40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0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09"/>
      <c r="P254" s="409"/>
      <c r="Q254" s="409"/>
      <c r="R254" s="409"/>
      <c r="S254" s="409"/>
      <c r="T254" s="409"/>
      <c r="U254" s="40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0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09"/>
      <c r="P255" s="409"/>
      <c r="Q255" s="409"/>
      <c r="R255" s="409"/>
      <c r="S255" s="409"/>
      <c r="T255" s="409"/>
      <c r="U255" s="40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0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09"/>
      <c r="P256" s="409"/>
      <c r="Q256" s="409"/>
      <c r="R256" s="409"/>
      <c r="S256" s="409"/>
      <c r="T256" s="409"/>
      <c r="U256" s="40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10" t="s">
        <v>202</v>
      </c>
      <c r="D257" s="143"/>
      <c r="E257" s="143"/>
      <c r="F257" s="144"/>
      <c r="G257" s="145">
        <f>SUM(G200:G256)</f>
        <v>1833</v>
      </c>
      <c r="H257" s="146">
        <f>SUM(H200:H256)</f>
        <v>9220.2099999999991</v>
      </c>
      <c r="I257" s="146">
        <f>SUM(I200:I256)</f>
        <v>62.5</v>
      </c>
      <c r="J257" s="130">
        <f t="array" ref="J257">IF(ISERROR(G257/I257),"",G257/I257)</f>
        <v>29.327999999999999</v>
      </c>
      <c r="K257" s="146">
        <f>SUM(K200:K256)</f>
        <v>42.783095238095243</v>
      </c>
      <c r="L257" s="147"/>
      <c r="M257" s="150">
        <f t="shared" ref="M257:V257" si="114">SUM(M200:M256)</f>
        <v>19.716904761904761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00" t="s">
        <v>217</v>
      </c>
      <c r="C258" s="126" t="s">
        <v>179</v>
      </c>
      <c r="D258" s="108">
        <v>5.03</v>
      </c>
      <c r="E258" s="108"/>
      <c r="F258" s="127"/>
      <c r="G258" s="128"/>
      <c r="H258" s="40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09"/>
      <c r="P258" s="409"/>
      <c r="Q258" s="409"/>
      <c r="R258" s="409"/>
      <c r="S258" s="409"/>
      <c r="T258" s="409"/>
      <c r="U258" s="40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00" t="s">
        <v>217</v>
      </c>
      <c r="C259" s="126" t="s">
        <v>186</v>
      </c>
      <c r="D259" s="108">
        <v>5.03</v>
      </c>
      <c r="E259" s="108"/>
      <c r="F259" s="127"/>
      <c r="G259" s="128"/>
      <c r="H259" s="40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09"/>
      <c r="P259" s="409"/>
      <c r="Q259" s="409"/>
      <c r="R259" s="409"/>
      <c r="S259" s="409"/>
      <c r="T259" s="409"/>
      <c r="U259" s="40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00" t="s">
        <v>217</v>
      </c>
      <c r="C260" s="126" t="s">
        <v>204</v>
      </c>
      <c r="D260" s="108">
        <v>5.03</v>
      </c>
      <c r="E260" s="108"/>
      <c r="F260" s="127"/>
      <c r="G260" s="128"/>
      <c r="H260" s="40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09"/>
      <c r="P260" s="409"/>
      <c r="Q260" s="409"/>
      <c r="R260" s="409"/>
      <c r="S260" s="409"/>
      <c r="T260" s="409"/>
      <c r="U260" s="40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0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09"/>
      <c r="P261" s="409"/>
      <c r="Q261" s="409"/>
      <c r="R261" s="409"/>
      <c r="S261" s="409"/>
      <c r="T261" s="409"/>
      <c r="U261" s="40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42736</v>
      </c>
      <c r="G262" s="128">
        <v>78</v>
      </c>
      <c r="H262" s="401">
        <f t="shared" si="116"/>
        <v>392.34000000000003</v>
      </c>
      <c r="I262" s="129">
        <v>8.5</v>
      </c>
      <c r="J262" s="130">
        <f t="array" ref="J262">IF(ISERROR(G262/I262),"",G262/I262)</f>
        <v>9.1764705882352935</v>
      </c>
      <c r="K262" s="131">
        <f t="array" ref="K262">IF(ISERROR(G262/L262),"",G262/L262)</f>
        <v>8.387096774193548</v>
      </c>
      <c r="L262" s="129">
        <v>9.3000000000000007</v>
      </c>
      <c r="M262" s="109">
        <f t="shared" si="117"/>
        <v>0.11290322580645196</v>
      </c>
      <c r="N262" s="130">
        <f t="shared" si="118"/>
        <v>0</v>
      </c>
      <c r="O262" s="409"/>
      <c r="P262" s="409"/>
      <c r="Q262" s="409"/>
      <c r="R262" s="409"/>
      <c r="S262" s="409"/>
      <c r="T262" s="409"/>
      <c r="U262" s="40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0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09"/>
      <c r="P263" s="409"/>
      <c r="Q263" s="409"/>
      <c r="R263" s="409"/>
      <c r="S263" s="409"/>
      <c r="T263" s="409"/>
      <c r="U263" s="40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0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09"/>
      <c r="P264" s="409"/>
      <c r="Q264" s="409"/>
      <c r="R264" s="409"/>
      <c r="S264" s="409"/>
      <c r="T264" s="409"/>
      <c r="U264" s="40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0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09"/>
      <c r="P265" s="409"/>
      <c r="Q265" s="409"/>
      <c r="R265" s="409"/>
      <c r="S265" s="409"/>
      <c r="T265" s="409"/>
      <c r="U265" s="40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0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09"/>
      <c r="P266" s="409"/>
      <c r="Q266" s="409"/>
      <c r="R266" s="409"/>
      <c r="S266" s="409"/>
      <c r="T266" s="409"/>
      <c r="U266" s="40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0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09"/>
      <c r="P267" s="409"/>
      <c r="Q267" s="409"/>
      <c r="R267" s="409"/>
      <c r="S267" s="409"/>
      <c r="T267" s="409"/>
      <c r="U267" s="40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0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09"/>
      <c r="P268" s="409"/>
      <c r="Q268" s="409"/>
      <c r="R268" s="409"/>
      <c r="S268" s="409"/>
      <c r="T268" s="409"/>
      <c r="U268" s="40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0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09"/>
      <c r="P269" s="409"/>
      <c r="Q269" s="409"/>
      <c r="R269" s="409"/>
      <c r="S269" s="409"/>
      <c r="T269" s="409"/>
      <c r="U269" s="40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0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09"/>
      <c r="P270" s="409"/>
      <c r="Q270" s="409"/>
      <c r="R270" s="409"/>
      <c r="S270" s="409"/>
      <c r="T270" s="409"/>
      <c r="U270" s="40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0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09"/>
      <c r="P271" s="409"/>
      <c r="Q271" s="409"/>
      <c r="R271" s="409"/>
      <c r="S271" s="409"/>
      <c r="T271" s="409"/>
      <c r="U271" s="40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0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09"/>
      <c r="P272" s="409"/>
      <c r="Q272" s="409"/>
      <c r="R272" s="409"/>
      <c r="S272" s="409"/>
      <c r="T272" s="409"/>
      <c r="U272" s="40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0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09"/>
      <c r="P273" s="409"/>
      <c r="Q273" s="409"/>
      <c r="R273" s="409"/>
      <c r="S273" s="409"/>
      <c r="T273" s="409"/>
      <c r="U273" s="40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00" t="s">
        <v>222</v>
      </c>
      <c r="C274" s="126" t="s">
        <v>181</v>
      </c>
      <c r="D274" s="108">
        <v>9.36</v>
      </c>
      <c r="E274" s="108"/>
      <c r="F274" s="127"/>
      <c r="G274" s="128"/>
      <c r="H274" s="40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09"/>
      <c r="P274" s="409"/>
      <c r="Q274" s="409"/>
      <c r="R274" s="409"/>
      <c r="S274" s="409"/>
      <c r="T274" s="409"/>
      <c r="U274" s="40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00" t="s">
        <v>222</v>
      </c>
      <c r="C275" s="126" t="s">
        <v>179</v>
      </c>
      <c r="D275" s="108">
        <v>9.36</v>
      </c>
      <c r="E275" s="108"/>
      <c r="F275" s="127"/>
      <c r="G275" s="128"/>
      <c r="H275" s="40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09"/>
      <c r="P275" s="409"/>
      <c r="Q275" s="409"/>
      <c r="R275" s="409"/>
      <c r="S275" s="409"/>
      <c r="T275" s="409"/>
      <c r="U275" s="40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00" t="s">
        <v>222</v>
      </c>
      <c r="C276" s="126" t="s">
        <v>221</v>
      </c>
      <c r="D276" s="108">
        <v>9.36</v>
      </c>
      <c r="E276" s="108"/>
      <c r="F276" s="127"/>
      <c r="G276" s="128"/>
      <c r="H276" s="40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09"/>
      <c r="P276" s="409"/>
      <c r="Q276" s="409"/>
      <c r="R276" s="409"/>
      <c r="S276" s="409"/>
      <c r="T276" s="409"/>
      <c r="U276" s="40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00" t="s">
        <v>222</v>
      </c>
      <c r="C277" s="126" t="s">
        <v>186</v>
      </c>
      <c r="D277" s="108">
        <v>9.36</v>
      </c>
      <c r="E277" s="108"/>
      <c r="F277" s="127"/>
      <c r="G277" s="128"/>
      <c r="H277" s="40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09"/>
      <c r="P277" s="409"/>
      <c r="Q277" s="409"/>
      <c r="R277" s="409"/>
      <c r="S277" s="409"/>
      <c r="T277" s="409"/>
      <c r="U277" s="40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00" t="s">
        <v>393</v>
      </c>
      <c r="C278" s="187" t="s">
        <v>395</v>
      </c>
      <c r="D278" s="108">
        <v>5</v>
      </c>
      <c r="E278" s="108"/>
      <c r="F278" s="127"/>
      <c r="G278" s="128"/>
      <c r="H278" s="40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09"/>
      <c r="P278" s="409"/>
      <c r="Q278" s="409"/>
      <c r="R278" s="409"/>
      <c r="S278" s="409"/>
      <c r="T278" s="409"/>
      <c r="U278" s="40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00" t="s">
        <v>393</v>
      </c>
      <c r="C279" s="187" t="s">
        <v>402</v>
      </c>
      <c r="D279" s="108">
        <v>5</v>
      </c>
      <c r="E279" s="108"/>
      <c r="F279" s="127"/>
      <c r="G279" s="128"/>
      <c r="H279" s="40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09"/>
      <c r="P279" s="409"/>
      <c r="Q279" s="409"/>
      <c r="R279" s="409"/>
      <c r="S279" s="409"/>
      <c r="T279" s="409"/>
      <c r="U279" s="40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00" t="s">
        <v>404</v>
      </c>
      <c r="C280" s="187" t="s">
        <v>405</v>
      </c>
      <c r="D280" s="108">
        <v>5</v>
      </c>
      <c r="E280" s="108"/>
      <c r="F280" s="127"/>
      <c r="G280" s="128"/>
      <c r="H280" s="40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09"/>
      <c r="P280" s="409"/>
      <c r="Q280" s="409"/>
      <c r="R280" s="409"/>
      <c r="S280" s="409"/>
      <c r="T280" s="409"/>
      <c r="U280" s="40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00" t="s">
        <v>342</v>
      </c>
      <c r="C281" s="187" t="s">
        <v>372</v>
      </c>
      <c r="D281" s="108">
        <v>5</v>
      </c>
      <c r="E281" s="108"/>
      <c r="F281" s="127"/>
      <c r="G281" s="128"/>
      <c r="H281" s="40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09"/>
      <c r="P281" s="409"/>
      <c r="Q281" s="409"/>
      <c r="R281" s="409"/>
      <c r="S281" s="409"/>
      <c r="T281" s="409"/>
      <c r="U281" s="40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00" t="s">
        <v>343</v>
      </c>
      <c r="C282" s="126" t="s">
        <v>345</v>
      </c>
      <c r="D282" s="108">
        <v>5</v>
      </c>
      <c r="E282" s="108"/>
      <c r="F282" s="127"/>
      <c r="G282" s="128"/>
      <c r="H282" s="40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09"/>
      <c r="P282" s="409"/>
      <c r="Q282" s="409"/>
      <c r="R282" s="409"/>
      <c r="S282" s="409"/>
      <c r="T282" s="409"/>
      <c r="U282" s="40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00" t="s">
        <v>343</v>
      </c>
      <c r="C283" s="126" t="s">
        <v>347</v>
      </c>
      <c r="D283" s="108">
        <v>5</v>
      </c>
      <c r="E283" s="108"/>
      <c r="F283" s="127"/>
      <c r="G283" s="128"/>
      <c r="H283" s="40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09"/>
      <c r="P283" s="409"/>
      <c r="Q283" s="409"/>
      <c r="R283" s="409"/>
      <c r="S283" s="409"/>
      <c r="T283" s="409"/>
      <c r="U283" s="40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0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09"/>
      <c r="P284" s="409"/>
      <c r="Q284" s="409"/>
      <c r="R284" s="409"/>
      <c r="S284" s="409"/>
      <c r="T284" s="409"/>
      <c r="U284" s="40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0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09"/>
      <c r="P285" s="409"/>
      <c r="Q285" s="409"/>
      <c r="R285" s="409"/>
      <c r="S285" s="409"/>
      <c r="T285" s="409"/>
      <c r="U285" s="40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90+90</f>
        <v>180</v>
      </c>
      <c r="H286" s="401">
        <f t="shared" si="116"/>
        <v>905.40000000000009</v>
      </c>
      <c r="I286" s="129">
        <f>6*8</f>
        <v>48</v>
      </c>
      <c r="J286" s="130">
        <f t="array" ref="J286">IF(ISERROR(G286/I286),"",G286/I286)</f>
        <v>3.75</v>
      </c>
      <c r="K286" s="131">
        <f t="array" ref="K286">IF(ISERROR(G286/L286),"",G286/L286)</f>
        <v>7.5</v>
      </c>
      <c r="L286" s="129">
        <v>24</v>
      </c>
      <c r="M286" s="109">
        <f t="shared" si="120"/>
        <v>40.5</v>
      </c>
      <c r="N286" s="130"/>
      <c r="O286" s="409"/>
      <c r="P286" s="409"/>
      <c r="Q286" s="409"/>
      <c r="R286" s="409"/>
      <c r="S286" s="409"/>
      <c r="T286" s="409"/>
      <c r="U286" s="40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0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09"/>
      <c r="P287" s="409"/>
      <c r="Q287" s="409"/>
      <c r="R287" s="409"/>
      <c r="S287" s="409"/>
      <c r="T287" s="409"/>
      <c r="U287" s="40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0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09"/>
      <c r="P288" s="409"/>
      <c r="Q288" s="409"/>
      <c r="R288" s="409"/>
      <c r="S288" s="409"/>
      <c r="T288" s="409"/>
      <c r="U288" s="40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0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09"/>
      <c r="P289" s="409"/>
      <c r="Q289" s="409"/>
      <c r="R289" s="409"/>
      <c r="S289" s="409"/>
      <c r="T289" s="409"/>
      <c r="U289" s="40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0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09"/>
      <c r="P290" s="409"/>
      <c r="Q290" s="409"/>
      <c r="R290" s="409"/>
      <c r="S290" s="409"/>
      <c r="T290" s="409"/>
      <c r="U290" s="40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01">
        <f t="shared" si="116"/>
        <v>0</v>
      </c>
      <c r="I291" s="129"/>
      <c r="J291" s="130" t="str">
        <f t="array" ref="J291">IF(ISERROR(G291/I291),"",G291/I291)</f>
        <v/>
      </c>
      <c r="K291" s="401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09"/>
      <c r="P291" s="409"/>
      <c r="Q291" s="409"/>
      <c r="R291" s="409"/>
      <c r="S291" s="409"/>
      <c r="T291" s="409"/>
      <c r="U291" s="40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410" t="s">
        <v>202</v>
      </c>
      <c r="D292" s="143"/>
      <c r="E292" s="143"/>
      <c r="F292" s="144"/>
      <c r="G292" s="145">
        <f>SUM(G258:G291)</f>
        <v>258</v>
      </c>
      <c r="H292" s="146">
        <f>SUM(H258:H291)</f>
        <v>1297.7400000000002</v>
      </c>
      <c r="I292" s="146">
        <f>SUM(I258:I291)</f>
        <v>56.5</v>
      </c>
      <c r="J292" s="130">
        <f t="array" ref="J292">IF(ISERROR(G292/I292),"",G292/I292)</f>
        <v>4.5663716814159292</v>
      </c>
      <c r="K292" s="146">
        <f>SUM(K258:K291)</f>
        <v>15.887096774193548</v>
      </c>
      <c r="L292" s="147"/>
      <c r="M292" s="150">
        <f t="shared" ref="M292:V292" si="131">SUM(M258:M291)</f>
        <v>40.612903225806448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01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09"/>
      <c r="P293" s="409"/>
      <c r="Q293" s="409"/>
      <c r="R293" s="409"/>
      <c r="S293" s="409"/>
      <c r="T293" s="409"/>
      <c r="U293" s="40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0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09"/>
      <c r="P294" s="409"/>
      <c r="Q294" s="409"/>
      <c r="R294" s="409"/>
      <c r="S294" s="409"/>
      <c r="T294" s="409"/>
      <c r="U294" s="40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0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09"/>
      <c r="P295" s="409"/>
      <c r="Q295" s="409"/>
      <c r="R295" s="409"/>
      <c r="S295" s="409"/>
      <c r="T295" s="409"/>
      <c r="U295" s="40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0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09"/>
      <c r="P296" s="409"/>
      <c r="Q296" s="409"/>
      <c r="R296" s="409"/>
      <c r="S296" s="409"/>
      <c r="T296" s="409"/>
      <c r="U296" s="40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08" t="s">
        <v>203</v>
      </c>
      <c r="D297" s="108">
        <v>5.03</v>
      </c>
      <c r="E297" s="108"/>
      <c r="F297" s="127"/>
      <c r="G297" s="128"/>
      <c r="H297" s="40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09"/>
      <c r="P297" s="409"/>
      <c r="Q297" s="409"/>
      <c r="R297" s="409"/>
      <c r="S297" s="409"/>
      <c r="T297" s="409"/>
      <c r="U297" s="40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0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09"/>
      <c r="P298" s="409"/>
      <c r="Q298" s="409"/>
      <c r="R298" s="409"/>
      <c r="S298" s="409"/>
      <c r="T298" s="409"/>
      <c r="U298" s="40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0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09"/>
      <c r="P299" s="409"/>
      <c r="Q299" s="409"/>
      <c r="R299" s="409"/>
      <c r="S299" s="409"/>
      <c r="T299" s="409"/>
      <c r="U299" s="40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08" t="s">
        <v>228</v>
      </c>
      <c r="D300" s="108">
        <v>5.03</v>
      </c>
      <c r="E300" s="108"/>
      <c r="F300" s="127"/>
      <c r="G300" s="128"/>
      <c r="H300" s="40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09"/>
      <c r="P300" s="409"/>
      <c r="Q300" s="409"/>
      <c r="R300" s="409"/>
      <c r="S300" s="409"/>
      <c r="T300" s="409"/>
      <c r="U300" s="40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08" t="s">
        <v>212</v>
      </c>
      <c r="D301" s="108">
        <v>5.03</v>
      </c>
      <c r="E301" s="108"/>
      <c r="F301" s="127"/>
      <c r="G301" s="128"/>
      <c r="H301" s="40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09"/>
      <c r="P301" s="409"/>
      <c r="Q301" s="409"/>
      <c r="R301" s="409"/>
      <c r="S301" s="409"/>
      <c r="T301" s="409"/>
      <c r="U301" s="40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08" t="s">
        <v>203</v>
      </c>
      <c r="D302" s="108">
        <v>5.03</v>
      </c>
      <c r="E302" s="108"/>
      <c r="F302" s="127"/>
      <c r="G302" s="128"/>
      <c r="H302" s="40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09"/>
      <c r="P302" s="409"/>
      <c r="Q302" s="409"/>
      <c r="R302" s="409"/>
      <c r="S302" s="409"/>
      <c r="T302" s="409"/>
      <c r="U302" s="40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08" t="s">
        <v>186</v>
      </c>
      <c r="D303" s="108">
        <v>5.03</v>
      </c>
      <c r="E303" s="108"/>
      <c r="F303" s="127"/>
      <c r="G303" s="128"/>
      <c r="H303" s="40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09"/>
      <c r="P303" s="409"/>
      <c r="Q303" s="409"/>
      <c r="R303" s="409"/>
      <c r="S303" s="409"/>
      <c r="T303" s="409"/>
      <c r="U303" s="40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08" t="s">
        <v>228</v>
      </c>
      <c r="D304" s="108">
        <v>5.03</v>
      </c>
      <c r="E304" s="108"/>
      <c r="F304" s="127"/>
      <c r="G304" s="128"/>
      <c r="H304" s="40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09"/>
      <c r="P304" s="409"/>
      <c r="Q304" s="409"/>
      <c r="R304" s="409"/>
      <c r="S304" s="409"/>
      <c r="T304" s="409"/>
      <c r="U304" s="40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08" t="s">
        <v>199</v>
      </c>
      <c r="D305" s="108">
        <v>5.03</v>
      </c>
      <c r="E305" s="108"/>
      <c r="F305" s="127"/>
      <c r="G305" s="128"/>
      <c r="H305" s="40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09"/>
      <c r="P305" s="409"/>
      <c r="Q305" s="409"/>
      <c r="R305" s="409"/>
      <c r="S305" s="409"/>
      <c r="T305" s="409"/>
      <c r="U305" s="40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90*4</f>
        <v>360</v>
      </c>
      <c r="H306" s="401">
        <f t="shared" si="132"/>
        <v>1821.6</v>
      </c>
      <c r="I306" s="129">
        <v>15</v>
      </c>
      <c r="J306" s="130">
        <f t="array" ref="J306">IF(ISERROR(G306/I306),"",G306/I306)</f>
        <v>24</v>
      </c>
      <c r="K306" s="131">
        <f t="array" ref="K306">IF(ISERROR(G306/L306),"",G306/L306)</f>
        <v>14.4</v>
      </c>
      <c r="L306" s="129">
        <v>25</v>
      </c>
      <c r="M306" s="109">
        <f t="shared" si="133"/>
        <v>0.59999999999999964</v>
      </c>
      <c r="N306" s="130">
        <f t="shared" si="134"/>
        <v>0</v>
      </c>
      <c r="O306" s="409"/>
      <c r="P306" s="409"/>
      <c r="Q306" s="409"/>
      <c r="R306" s="409"/>
      <c r="S306" s="409"/>
      <c r="T306" s="409"/>
      <c r="U306" s="40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01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09"/>
      <c r="P307" s="409"/>
      <c r="Q307" s="409"/>
      <c r="R307" s="409"/>
      <c r="S307" s="409"/>
      <c r="T307" s="409"/>
      <c r="U307" s="40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410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15</v>
      </c>
      <c r="J308" s="130">
        <f t="array" ref="J308">IF(ISERROR(G308/I308),"",G308/I308)</f>
        <v>24</v>
      </c>
      <c r="K308" s="146">
        <f>SUM(K293:K307)</f>
        <v>14.4</v>
      </c>
      <c r="L308" s="146"/>
      <c r="M308" s="150">
        <f>SUM(M293:M307)</f>
        <v>0.59999999999999964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0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09"/>
      <c r="P309" s="409"/>
      <c r="Q309" s="409"/>
      <c r="R309" s="409"/>
      <c r="S309" s="409"/>
      <c r="T309" s="409"/>
      <c r="U309" s="40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0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09"/>
      <c r="P310" s="409"/>
      <c r="Q310" s="409"/>
      <c r="R310" s="409"/>
      <c r="S310" s="409"/>
      <c r="T310" s="409"/>
      <c r="U310" s="40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0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09"/>
      <c r="P311" s="409"/>
      <c r="Q311" s="409"/>
      <c r="R311" s="409"/>
      <c r="S311" s="409"/>
      <c r="T311" s="409"/>
      <c r="U311" s="40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0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09"/>
      <c r="P312" s="409"/>
      <c r="Q312" s="409"/>
      <c r="R312" s="409"/>
      <c r="S312" s="409"/>
      <c r="T312" s="409"/>
      <c r="U312" s="40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0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09"/>
      <c r="P313" s="409"/>
      <c r="Q313" s="409"/>
      <c r="R313" s="409"/>
      <c r="S313" s="409"/>
      <c r="T313" s="409"/>
      <c r="U313" s="40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0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09"/>
      <c r="P314" s="409"/>
      <c r="Q314" s="409"/>
      <c r="R314" s="409"/>
      <c r="S314" s="409"/>
      <c r="T314" s="409"/>
      <c r="U314" s="40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0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09"/>
      <c r="P315" s="409"/>
      <c r="Q315" s="409"/>
      <c r="R315" s="409"/>
      <c r="S315" s="409"/>
      <c r="T315" s="409"/>
      <c r="U315" s="40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0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09"/>
      <c r="P316" s="409"/>
      <c r="Q316" s="409"/>
      <c r="R316" s="409"/>
      <c r="S316" s="409"/>
      <c r="T316" s="409"/>
      <c r="U316" s="40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0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09"/>
      <c r="P318" s="409"/>
      <c r="Q318" s="409"/>
      <c r="R318" s="409"/>
      <c r="S318" s="409"/>
      <c r="T318" s="409"/>
      <c r="U318" s="40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18" t="s">
        <v>234</v>
      </c>
      <c r="B319" s="619"/>
      <c r="C319" s="41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06"/>
      <c r="D320" s="108">
        <v>3.65</v>
      </c>
      <c r="E320" s="108"/>
      <c r="F320" s="153"/>
      <c r="G320" s="128"/>
      <c r="H320" s="401">
        <f t="shared" ref="H320:H333" si="144">D320*G320</f>
        <v>0</v>
      </c>
      <c r="I320" s="129"/>
      <c r="J320" s="130" t="str">
        <f t="array" ref="J320">IF(ISERROR(G320/I320),"",G320/I320)</f>
        <v/>
      </c>
      <c r="K320" s="40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09"/>
      <c r="P320" s="409"/>
      <c r="Q320" s="409"/>
      <c r="R320" s="409"/>
      <c r="S320" s="409"/>
      <c r="T320" s="409"/>
      <c r="U320" s="40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06"/>
      <c r="D321" s="108">
        <v>6.58</v>
      </c>
      <c r="E321" s="108"/>
      <c r="F321" s="127"/>
      <c r="G321" s="128"/>
      <c r="H321" s="40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09"/>
      <c r="P321" s="409"/>
      <c r="Q321" s="409"/>
      <c r="R321" s="409"/>
      <c r="S321" s="409"/>
      <c r="T321" s="409"/>
      <c r="U321" s="40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06"/>
      <c r="D322" s="108">
        <v>7.8</v>
      </c>
      <c r="E322" s="108"/>
      <c r="F322" s="127"/>
      <c r="G322" s="128"/>
      <c r="H322" s="401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409"/>
      <c r="P322" s="409"/>
      <c r="Q322" s="409"/>
      <c r="R322" s="409"/>
      <c r="S322" s="409"/>
      <c r="T322" s="409"/>
      <c r="U322" s="40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06"/>
      <c r="D323" s="108">
        <v>4.4000000000000004</v>
      </c>
      <c r="E323" s="108"/>
      <c r="F323" s="127"/>
      <c r="G323" s="128"/>
      <c r="H323" s="40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09"/>
      <c r="P323" s="409"/>
      <c r="Q323" s="409"/>
      <c r="R323" s="409"/>
      <c r="S323" s="409"/>
      <c r="T323" s="409"/>
      <c r="U323" s="40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06"/>
      <c r="D324" s="108"/>
      <c r="E324" s="108"/>
      <c r="F324" s="127"/>
      <c r="G324" s="128"/>
      <c r="H324" s="40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09"/>
      <c r="P324" s="409"/>
      <c r="Q324" s="409"/>
      <c r="R324" s="409"/>
      <c r="S324" s="409"/>
      <c r="T324" s="409"/>
      <c r="U324" s="40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06" t="s">
        <v>239</v>
      </c>
      <c r="C325" s="406" t="s">
        <v>179</v>
      </c>
      <c r="D325" s="108">
        <v>6.04</v>
      </c>
      <c r="E325" s="108"/>
      <c r="F325" s="127"/>
      <c r="G325" s="128"/>
      <c r="H325" s="40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09"/>
      <c r="P325" s="409"/>
      <c r="Q325" s="409"/>
      <c r="R325" s="409"/>
      <c r="S325" s="409"/>
      <c r="T325" s="409"/>
      <c r="U325" s="40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06" t="s">
        <v>239</v>
      </c>
      <c r="C326" s="406" t="s">
        <v>186</v>
      </c>
      <c r="D326" s="108">
        <v>6.04</v>
      </c>
      <c r="E326" s="108"/>
      <c r="F326" s="127"/>
      <c r="G326" s="128"/>
      <c r="H326" s="40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09"/>
      <c r="P326" s="409"/>
      <c r="Q326" s="409"/>
      <c r="R326" s="409"/>
      <c r="S326" s="409"/>
      <c r="T326" s="409"/>
      <c r="U326" s="40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06" t="s">
        <v>443</v>
      </c>
      <c r="C327" s="406" t="s">
        <v>179</v>
      </c>
      <c r="D327" s="108">
        <v>6</v>
      </c>
      <c r="E327" s="108"/>
      <c r="F327" s="127"/>
      <c r="G327" s="128"/>
      <c r="H327" s="401">
        <f t="shared" si="144"/>
        <v>0</v>
      </c>
      <c r="I327" s="129"/>
      <c r="J327" s="130"/>
      <c r="K327" s="131"/>
      <c r="L327" s="129"/>
      <c r="M327" s="109"/>
      <c r="N327" s="130"/>
      <c r="O327" s="409"/>
      <c r="P327" s="409"/>
      <c r="Q327" s="409"/>
      <c r="R327" s="409"/>
      <c r="S327" s="409"/>
      <c r="T327" s="409"/>
      <c r="U327" s="40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06" t="s">
        <v>443</v>
      </c>
      <c r="C328" s="406" t="s">
        <v>60</v>
      </c>
      <c r="D328" s="108">
        <v>6</v>
      </c>
      <c r="E328" s="108"/>
      <c r="F328" s="127"/>
      <c r="G328" s="128"/>
      <c r="H328" s="401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09"/>
      <c r="P328" s="409"/>
      <c r="Q328" s="409"/>
      <c r="R328" s="409"/>
      <c r="S328" s="409"/>
      <c r="T328" s="409"/>
      <c r="U328" s="40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00" t="s">
        <v>240</v>
      </c>
      <c r="C329" s="126"/>
      <c r="D329" s="108">
        <v>7.3</v>
      </c>
      <c r="E329" s="108"/>
      <c r="F329" s="127"/>
      <c r="G329" s="128"/>
      <c r="H329" s="401">
        <f t="shared" si="144"/>
        <v>0</v>
      </c>
      <c r="I329" s="129"/>
      <c r="J329" s="130"/>
      <c r="K329" s="131"/>
      <c r="L329" s="129"/>
      <c r="M329" s="109"/>
      <c r="N329" s="130"/>
      <c r="O329" s="409"/>
      <c r="P329" s="409"/>
      <c r="Q329" s="409"/>
      <c r="R329" s="409"/>
      <c r="S329" s="409"/>
      <c r="T329" s="409"/>
      <c r="U329" s="40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00" t="s">
        <v>241</v>
      </c>
      <c r="C330" s="126"/>
      <c r="D330" s="108">
        <f>78*120/1000</f>
        <v>9.36</v>
      </c>
      <c r="E330" s="108"/>
      <c r="F330" s="127"/>
      <c r="G330" s="128"/>
      <c r="H330" s="40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09"/>
      <c r="P330" s="409"/>
      <c r="Q330" s="409"/>
      <c r="R330" s="409"/>
      <c r="S330" s="409"/>
      <c r="T330" s="409"/>
      <c r="U330" s="40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00" t="s">
        <v>242</v>
      </c>
      <c r="C331" s="126"/>
      <c r="D331" s="108">
        <v>4.5</v>
      </c>
      <c r="E331" s="108"/>
      <c r="F331" s="127"/>
      <c r="G331" s="128"/>
      <c r="H331" s="40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09"/>
      <c r="P331" s="409"/>
      <c r="Q331" s="409"/>
      <c r="R331" s="409"/>
      <c r="S331" s="409"/>
      <c r="T331" s="409"/>
      <c r="U331" s="40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00" t="s">
        <v>243</v>
      </c>
      <c r="C332" s="126"/>
      <c r="D332" s="108">
        <v>4.5</v>
      </c>
      <c r="E332" s="108"/>
      <c r="F332" s="127"/>
      <c r="G332" s="128"/>
      <c r="H332" s="40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09"/>
      <c r="P332" s="409"/>
      <c r="Q332" s="409"/>
      <c r="R332" s="409"/>
      <c r="S332" s="409"/>
      <c r="T332" s="409"/>
      <c r="U332" s="40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0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09"/>
      <c r="P333" s="409"/>
      <c r="Q333" s="409"/>
      <c r="R333" s="409"/>
      <c r="S333" s="409"/>
      <c r="T333" s="409"/>
      <c r="U333" s="40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18" t="s">
        <v>244</v>
      </c>
      <c r="B334" s="619"/>
      <c r="C334" s="410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3570</v>
      </c>
      <c r="H335" s="154">
        <f>SUM(H199,H257,H292,H308,H319,H334)</f>
        <v>17952.689999999999</v>
      </c>
      <c r="I335" s="154">
        <f>SUM(I199,I257,I292,I308,I319,I334)</f>
        <v>209</v>
      </c>
      <c r="J335" s="155">
        <f t="array" ref="J335">IF(ISERROR(G335/I335),"",G335/I335)</f>
        <v>17.081339712918659</v>
      </c>
      <c r="K335" s="154">
        <f>SUM(K199,K257,K292,K308,K319,K334)</f>
        <v>124.91005763378936</v>
      </c>
      <c r="L335" s="155">
        <f>IF(ISERROR(G335/K335),"",G335/K335)</f>
        <v>28.580564829026873</v>
      </c>
      <c r="M335" s="154">
        <f t="shared" ref="M335:AA335" si="156">SUM(M199,M257,M292,M308,M319,M334)</f>
        <v>84.089942366210636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3" t="s">
        <v>476</v>
      </c>
      <c r="B336" s="403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403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403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403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403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403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403">
        <f>G335</f>
        <v>3570</v>
      </c>
      <c r="C342" s="638" t="s">
        <v>269</v>
      </c>
      <c r="D342" s="639"/>
      <c r="E342" s="631">
        <f>H335</f>
        <v>17952.689999999999</v>
      </c>
      <c r="F342" s="631"/>
      <c r="G342" s="631" t="s">
        <v>270</v>
      </c>
      <c r="H342" s="631"/>
      <c r="I342" s="640">
        <f>L335</f>
        <v>28.580564829026873</v>
      </c>
      <c r="J342" s="640"/>
      <c r="K342" s="628" t="s">
        <v>271</v>
      </c>
      <c r="L342" s="628"/>
      <c r="M342" s="640">
        <f>J335</f>
        <v>17.081339712918659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403">
        <f>I335+C341</f>
        <v>211</v>
      </c>
      <c r="C343" s="641" t="s">
        <v>251</v>
      </c>
      <c r="D343" s="642"/>
      <c r="E343" s="643">
        <f>K335+I341</f>
        <v>154.91005763378936</v>
      </c>
      <c r="F343" s="643"/>
      <c r="G343" s="631" t="s">
        <v>274</v>
      </c>
      <c r="H343" s="631"/>
      <c r="I343" s="640">
        <f>B343-E343</f>
        <v>56.089942366210636</v>
      </c>
      <c r="J343" s="640"/>
      <c r="K343" s="628" t="s">
        <v>275</v>
      </c>
      <c r="L343" s="628"/>
      <c r="M343" s="632">
        <f>IF(ISERROR(I343/E343),"",I343/E343)</f>
        <v>0.36208070168567391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403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296</v>
      </c>
      <c r="H348" s="406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400" t="s">
        <v>178</v>
      </c>
      <c r="C349" s="126" t="s">
        <v>179</v>
      </c>
      <c r="D349" s="108">
        <v>5.03</v>
      </c>
      <c r="E349" s="108"/>
      <c r="F349" s="127"/>
      <c r="G349" s="128"/>
      <c r="H349" s="40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09"/>
      <c r="P349" s="409"/>
      <c r="Q349" s="409"/>
      <c r="R349" s="409"/>
      <c r="S349" s="409"/>
      <c r="T349" s="409"/>
      <c r="U349" s="40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0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09"/>
      <c r="P350" s="409"/>
      <c r="Q350" s="409"/>
      <c r="R350" s="409"/>
      <c r="S350" s="409"/>
      <c r="T350" s="409"/>
      <c r="U350" s="40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0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09"/>
      <c r="P351" s="409"/>
      <c r="Q351" s="409"/>
      <c r="R351" s="409"/>
      <c r="S351" s="409"/>
      <c r="T351" s="409"/>
      <c r="U351" s="40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0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09"/>
      <c r="P352" s="409"/>
      <c r="Q352" s="409"/>
      <c r="R352" s="409"/>
      <c r="S352" s="409"/>
      <c r="T352" s="409"/>
      <c r="U352" s="40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0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09"/>
      <c r="P353" s="409"/>
      <c r="Q353" s="409"/>
      <c r="R353" s="409"/>
      <c r="S353" s="409"/>
      <c r="T353" s="409"/>
      <c r="U353" s="40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0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09"/>
      <c r="P354" s="409"/>
      <c r="Q354" s="409"/>
      <c r="R354" s="409"/>
      <c r="S354" s="409"/>
      <c r="T354" s="409"/>
      <c r="U354" s="40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0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09"/>
      <c r="P355" s="409"/>
      <c r="Q355" s="409"/>
      <c r="R355" s="409"/>
      <c r="S355" s="409"/>
      <c r="T355" s="409"/>
      <c r="U355" s="40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0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09"/>
      <c r="P356" s="409"/>
      <c r="Q356" s="409"/>
      <c r="R356" s="409"/>
      <c r="S356" s="409"/>
      <c r="T356" s="409"/>
      <c r="U356" s="40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01">
        <f t="shared" si="157"/>
        <v>0</v>
      </c>
      <c r="I357" s="40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09"/>
      <c r="P357" s="409"/>
      <c r="Q357" s="409"/>
      <c r="R357" s="409"/>
      <c r="S357" s="409"/>
      <c r="T357" s="409"/>
      <c r="U357" s="40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01">
        <f t="shared" si="157"/>
        <v>0</v>
      </c>
      <c r="I358" s="40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09"/>
      <c r="P358" s="409"/>
      <c r="Q358" s="409"/>
      <c r="R358" s="409"/>
      <c r="S358" s="409"/>
      <c r="T358" s="409"/>
      <c r="U358" s="40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01">
        <f t="shared" si="157"/>
        <v>0</v>
      </c>
      <c r="I359" s="401"/>
      <c r="J359" s="130"/>
      <c r="K359" s="131"/>
      <c r="L359" s="129"/>
      <c r="M359" s="109"/>
      <c r="N359" s="130"/>
      <c r="O359" s="409"/>
      <c r="P359" s="409"/>
      <c r="Q359" s="409"/>
      <c r="R359" s="409"/>
      <c r="S359" s="409"/>
      <c r="T359" s="409"/>
      <c r="U359" s="40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01">
        <f t="shared" si="157"/>
        <v>0</v>
      </c>
      <c r="I360" s="401"/>
      <c r="J360" s="130"/>
      <c r="K360" s="131"/>
      <c r="L360" s="129"/>
      <c r="M360" s="109"/>
      <c r="N360" s="130"/>
      <c r="O360" s="409"/>
      <c r="P360" s="409"/>
      <c r="Q360" s="409"/>
      <c r="R360" s="409"/>
      <c r="S360" s="409"/>
      <c r="T360" s="409"/>
      <c r="U360" s="40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0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09"/>
      <c r="P361" s="409"/>
      <c r="Q361" s="409"/>
      <c r="R361" s="409"/>
      <c r="S361" s="409"/>
      <c r="T361" s="409"/>
      <c r="U361" s="40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0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09"/>
      <c r="P362" s="409"/>
      <c r="Q362" s="409"/>
      <c r="R362" s="409"/>
      <c r="S362" s="409"/>
      <c r="T362" s="409"/>
      <c r="U362" s="40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0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09"/>
      <c r="P363" s="409"/>
      <c r="Q363" s="409"/>
      <c r="R363" s="409"/>
      <c r="S363" s="409"/>
      <c r="T363" s="409"/>
      <c r="U363" s="40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06" t="s">
        <v>190</v>
      </c>
      <c r="D364" s="108">
        <v>4.8</v>
      </c>
      <c r="E364" s="108"/>
      <c r="F364" s="127"/>
      <c r="G364" s="128"/>
      <c r="H364" s="40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09"/>
      <c r="P364" s="409"/>
      <c r="Q364" s="409"/>
      <c r="R364" s="409"/>
      <c r="S364" s="409"/>
      <c r="T364" s="409"/>
      <c r="U364" s="40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06" t="s">
        <v>187</v>
      </c>
      <c r="D365" s="108">
        <v>4.8</v>
      </c>
      <c r="E365" s="108"/>
      <c r="F365" s="127"/>
      <c r="G365" s="128"/>
      <c r="H365" s="40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09"/>
      <c r="P365" s="409"/>
      <c r="Q365" s="409"/>
      <c r="R365" s="409"/>
      <c r="S365" s="409"/>
      <c r="T365" s="409"/>
      <c r="U365" s="40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06" t="s">
        <v>179</v>
      </c>
      <c r="D366" s="108">
        <v>4.8</v>
      </c>
      <c r="E366" s="108"/>
      <c r="F366" s="127"/>
      <c r="G366" s="128"/>
      <c r="H366" s="40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09"/>
      <c r="P366" s="409"/>
      <c r="Q366" s="409"/>
      <c r="R366" s="409"/>
      <c r="S366" s="409"/>
      <c r="T366" s="409"/>
      <c r="U366" s="40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06" t="s">
        <v>199</v>
      </c>
      <c r="D367" s="108">
        <v>4.8</v>
      </c>
      <c r="E367" s="108"/>
      <c r="F367" s="127"/>
      <c r="G367" s="128"/>
      <c r="H367" s="40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09"/>
      <c r="P367" s="409"/>
      <c r="Q367" s="409"/>
      <c r="R367" s="409"/>
      <c r="S367" s="409"/>
      <c r="T367" s="409"/>
      <c r="U367" s="40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0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09"/>
      <c r="P368" s="409"/>
      <c r="Q368" s="409"/>
      <c r="R368" s="409"/>
      <c r="S368" s="409"/>
      <c r="T368" s="409"/>
      <c r="U368" s="40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0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09"/>
      <c r="P369" s="409"/>
      <c r="Q369" s="409"/>
      <c r="R369" s="409"/>
      <c r="S369" s="409"/>
      <c r="T369" s="409"/>
      <c r="U369" s="40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41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00" t="s">
        <v>206</v>
      </c>
      <c r="C371" s="126" t="s">
        <v>199</v>
      </c>
      <c r="D371" s="108">
        <v>5.03</v>
      </c>
      <c r="E371" s="108"/>
      <c r="F371" s="127"/>
      <c r="G371" s="128"/>
      <c r="H371" s="40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04"/>
      <c r="P371" s="404"/>
      <c r="Q371" s="404"/>
      <c r="R371" s="404"/>
      <c r="S371" s="404"/>
      <c r="T371" s="404"/>
      <c r="U371" s="40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00" t="s">
        <v>425</v>
      </c>
      <c r="C372" s="187" t="s">
        <v>427</v>
      </c>
      <c r="D372" s="108">
        <v>5.03</v>
      </c>
      <c r="E372" s="108"/>
      <c r="F372" s="127"/>
      <c r="G372" s="128"/>
      <c r="H372" s="40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04"/>
      <c r="P372" s="404"/>
      <c r="Q372" s="404"/>
      <c r="R372" s="404"/>
      <c r="S372" s="404"/>
      <c r="T372" s="404"/>
      <c r="U372" s="40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00" t="s">
        <v>206</v>
      </c>
      <c r="C373" s="126" t="s">
        <v>186</v>
      </c>
      <c r="D373" s="108">
        <v>5.03</v>
      </c>
      <c r="E373" s="108"/>
      <c r="F373" s="127"/>
      <c r="G373" s="128"/>
      <c r="H373" s="40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04"/>
      <c r="P373" s="404"/>
      <c r="Q373" s="404"/>
      <c r="R373" s="404"/>
      <c r="S373" s="404"/>
      <c r="T373" s="404"/>
      <c r="U373" s="40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00" t="s">
        <v>206</v>
      </c>
      <c r="C374" s="126" t="s">
        <v>203</v>
      </c>
      <c r="D374" s="108">
        <v>5.03</v>
      </c>
      <c r="E374" s="108"/>
      <c r="F374" s="127"/>
      <c r="G374" s="128"/>
      <c r="H374" s="40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04"/>
      <c r="P374" s="404"/>
      <c r="Q374" s="404"/>
      <c r="R374" s="404"/>
      <c r="S374" s="404"/>
      <c r="T374" s="404"/>
      <c r="U374" s="40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00" t="s">
        <v>206</v>
      </c>
      <c r="C375" s="126" t="s">
        <v>207</v>
      </c>
      <c r="D375" s="108">
        <v>5.03</v>
      </c>
      <c r="E375" s="108"/>
      <c r="F375" s="127"/>
      <c r="G375" s="128"/>
      <c r="H375" s="40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04"/>
      <c r="P375" s="404"/>
      <c r="Q375" s="404"/>
      <c r="R375" s="404"/>
      <c r="S375" s="404"/>
      <c r="T375" s="404"/>
      <c r="U375" s="40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00" t="s">
        <v>414</v>
      </c>
      <c r="C376" s="187" t="s">
        <v>415</v>
      </c>
      <c r="D376" s="108"/>
      <c r="E376" s="108"/>
      <c r="F376" s="127"/>
      <c r="G376" s="128"/>
      <c r="H376" s="40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04"/>
      <c r="P376" s="404"/>
      <c r="Q376" s="404"/>
      <c r="R376" s="404"/>
      <c r="S376" s="404"/>
      <c r="T376" s="404"/>
      <c r="U376" s="40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00" t="s">
        <v>414</v>
      </c>
      <c r="C377" s="187" t="s">
        <v>416</v>
      </c>
      <c r="D377" s="108"/>
      <c r="E377" s="108"/>
      <c r="F377" s="127"/>
      <c r="G377" s="128"/>
      <c r="H377" s="40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04"/>
      <c r="P377" s="404"/>
      <c r="Q377" s="404"/>
      <c r="R377" s="404"/>
      <c r="S377" s="404"/>
      <c r="T377" s="404"/>
      <c r="U377" s="40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00" t="s">
        <v>414</v>
      </c>
      <c r="C378" s="187" t="s">
        <v>61</v>
      </c>
      <c r="D378" s="108"/>
      <c r="E378" s="108"/>
      <c r="F378" s="127"/>
      <c r="G378" s="128"/>
      <c r="H378" s="40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04"/>
      <c r="P378" s="404"/>
      <c r="Q378" s="404"/>
      <c r="R378" s="404"/>
      <c r="S378" s="404"/>
      <c r="T378" s="404"/>
      <c r="U378" s="40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00" t="s">
        <v>208</v>
      </c>
      <c r="C379" s="126" t="s">
        <v>179</v>
      </c>
      <c r="D379" s="108">
        <v>5.08</v>
      </c>
      <c r="E379" s="108"/>
      <c r="F379" s="127"/>
      <c r="G379" s="128"/>
      <c r="H379" s="40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04"/>
      <c r="P379" s="404"/>
      <c r="Q379" s="404"/>
      <c r="R379" s="404"/>
      <c r="S379" s="404"/>
      <c r="T379" s="404"/>
      <c r="U379" s="40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00" t="s">
        <v>208</v>
      </c>
      <c r="C380" s="126" t="s">
        <v>204</v>
      </c>
      <c r="D380" s="108">
        <v>5.08</v>
      </c>
      <c r="E380" s="108"/>
      <c r="F380" s="127"/>
      <c r="G380" s="128"/>
      <c r="H380" s="40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04"/>
      <c r="P380" s="404"/>
      <c r="Q380" s="404"/>
      <c r="R380" s="404"/>
      <c r="S380" s="404"/>
      <c r="T380" s="404"/>
      <c r="U380" s="40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00" t="s">
        <v>208</v>
      </c>
      <c r="C381" s="126" t="s">
        <v>205</v>
      </c>
      <c r="D381" s="108">
        <v>5.08</v>
      </c>
      <c r="E381" s="108"/>
      <c r="F381" s="127"/>
      <c r="G381" s="128"/>
      <c r="H381" s="40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04"/>
      <c r="P381" s="404"/>
      <c r="Q381" s="404"/>
      <c r="R381" s="404"/>
      <c r="S381" s="404"/>
      <c r="T381" s="404"/>
      <c r="U381" s="40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00" t="s">
        <v>208</v>
      </c>
      <c r="C382" s="126" t="s">
        <v>186</v>
      </c>
      <c r="D382" s="108">
        <v>5.08</v>
      </c>
      <c r="E382" s="108"/>
      <c r="F382" s="127"/>
      <c r="G382" s="128"/>
      <c r="H382" s="40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04"/>
      <c r="P382" s="404"/>
      <c r="Q382" s="404"/>
      <c r="R382" s="404"/>
      <c r="S382" s="404"/>
      <c r="T382" s="404"/>
      <c r="U382" s="40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00" t="s">
        <v>208</v>
      </c>
      <c r="C383" s="126" t="s">
        <v>203</v>
      </c>
      <c r="D383" s="108">
        <v>5.08</v>
      </c>
      <c r="E383" s="108"/>
      <c r="F383" s="127"/>
      <c r="G383" s="128"/>
      <c r="H383" s="40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04"/>
      <c r="P383" s="404"/>
      <c r="Q383" s="404"/>
      <c r="R383" s="404"/>
      <c r="S383" s="404"/>
      <c r="T383" s="404"/>
      <c r="U383" s="40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00" t="s">
        <v>208</v>
      </c>
      <c r="C384" s="126" t="s">
        <v>199</v>
      </c>
      <c r="D384" s="108">
        <v>5.08</v>
      </c>
      <c r="E384" s="108"/>
      <c r="F384" s="127"/>
      <c r="G384" s="128"/>
      <c r="H384" s="40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09"/>
      <c r="P384" s="409"/>
      <c r="Q384" s="409"/>
      <c r="R384" s="409"/>
      <c r="S384" s="409"/>
      <c r="T384" s="409"/>
      <c r="U384" s="40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00" t="s">
        <v>208</v>
      </c>
      <c r="C385" s="126" t="s">
        <v>187</v>
      </c>
      <c r="D385" s="108">
        <v>5.08</v>
      </c>
      <c r="E385" s="108"/>
      <c r="F385" s="127"/>
      <c r="G385" s="128"/>
      <c r="H385" s="40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04"/>
      <c r="P385" s="404"/>
      <c r="Q385" s="404"/>
      <c r="R385" s="404"/>
      <c r="S385" s="404"/>
      <c r="T385" s="404"/>
      <c r="U385" s="40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00" t="s">
        <v>208</v>
      </c>
      <c r="C386" s="126" t="s">
        <v>207</v>
      </c>
      <c r="D386" s="108">
        <v>5.08</v>
      </c>
      <c r="E386" s="108"/>
      <c r="F386" s="127"/>
      <c r="G386" s="128"/>
      <c r="H386" s="40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09"/>
      <c r="P386" s="409"/>
      <c r="Q386" s="409"/>
      <c r="R386" s="409"/>
      <c r="S386" s="409"/>
      <c r="T386" s="409"/>
      <c r="U386" s="40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00" t="s">
        <v>209</v>
      </c>
      <c r="C387" s="126" t="s">
        <v>194</v>
      </c>
      <c r="D387" s="108">
        <v>5.03</v>
      </c>
      <c r="E387" s="108"/>
      <c r="F387" s="127"/>
      <c r="G387" s="128"/>
      <c r="H387" s="40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04"/>
      <c r="P387" s="404"/>
      <c r="Q387" s="404"/>
      <c r="R387" s="404"/>
      <c r="S387" s="404"/>
      <c r="T387" s="404"/>
      <c r="U387" s="40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00" t="s">
        <v>209</v>
      </c>
      <c r="C388" s="126" t="s">
        <v>179</v>
      </c>
      <c r="D388" s="108">
        <v>5.03</v>
      </c>
      <c r="E388" s="108"/>
      <c r="F388" s="127"/>
      <c r="G388" s="128"/>
      <c r="H388" s="40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04"/>
      <c r="P388" s="404"/>
      <c r="Q388" s="404"/>
      <c r="R388" s="404"/>
      <c r="S388" s="404"/>
      <c r="T388" s="404"/>
      <c r="U388" s="40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00" t="s">
        <v>209</v>
      </c>
      <c r="C389" s="126" t="s">
        <v>195</v>
      </c>
      <c r="D389" s="108">
        <v>5.03</v>
      </c>
      <c r="E389" s="108"/>
      <c r="F389" s="127"/>
      <c r="G389" s="128"/>
      <c r="H389" s="40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04"/>
      <c r="P389" s="404"/>
      <c r="Q389" s="404"/>
      <c r="R389" s="404"/>
      <c r="S389" s="404"/>
      <c r="T389" s="404"/>
      <c r="U389" s="40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00" t="s">
        <v>209</v>
      </c>
      <c r="C390" s="126" t="s">
        <v>204</v>
      </c>
      <c r="D390" s="108">
        <v>5.03</v>
      </c>
      <c r="E390" s="108"/>
      <c r="F390" s="127"/>
      <c r="G390" s="128"/>
      <c r="H390" s="40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04"/>
      <c r="P390" s="404"/>
      <c r="Q390" s="404"/>
      <c r="R390" s="404"/>
      <c r="S390" s="404"/>
      <c r="T390" s="404"/>
      <c r="U390" s="40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00" t="s">
        <v>382</v>
      </c>
      <c r="C391" s="187" t="s">
        <v>383</v>
      </c>
      <c r="D391" s="108">
        <v>5.03</v>
      </c>
      <c r="E391" s="108"/>
      <c r="F391" s="127"/>
      <c r="G391" s="128"/>
      <c r="H391" s="40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04"/>
      <c r="P391" s="404"/>
      <c r="Q391" s="404"/>
      <c r="R391" s="404"/>
      <c r="S391" s="404"/>
      <c r="T391" s="404"/>
      <c r="U391" s="40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00" t="s">
        <v>382</v>
      </c>
      <c r="C392" s="187" t="s">
        <v>384</v>
      </c>
      <c r="D392" s="108">
        <v>5.03</v>
      </c>
      <c r="E392" s="108"/>
      <c r="F392" s="127"/>
      <c r="G392" s="128"/>
      <c r="H392" s="40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04"/>
      <c r="P392" s="404"/>
      <c r="Q392" s="404"/>
      <c r="R392" s="404"/>
      <c r="S392" s="404"/>
      <c r="T392" s="404"/>
      <c r="U392" s="40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00" t="s">
        <v>382</v>
      </c>
      <c r="C393" s="187" t="s">
        <v>389</v>
      </c>
      <c r="D393" s="108">
        <v>5.03</v>
      </c>
      <c r="E393" s="108"/>
      <c r="F393" s="127"/>
      <c r="G393" s="128"/>
      <c r="H393" s="40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04"/>
      <c r="P393" s="404"/>
      <c r="Q393" s="404"/>
      <c r="R393" s="404"/>
      <c r="S393" s="404"/>
      <c r="T393" s="404"/>
      <c r="U393" s="40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00" t="s">
        <v>382</v>
      </c>
      <c r="C394" s="187" t="s">
        <v>391</v>
      </c>
      <c r="D394" s="108">
        <v>5.03</v>
      </c>
      <c r="E394" s="108"/>
      <c r="F394" s="127"/>
      <c r="G394" s="128"/>
      <c r="H394" s="40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04"/>
      <c r="P394" s="404"/>
      <c r="Q394" s="404"/>
      <c r="R394" s="404"/>
      <c r="S394" s="404"/>
      <c r="T394" s="404"/>
      <c r="U394" s="40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00" t="s">
        <v>418</v>
      </c>
      <c r="C395" s="187" t="s">
        <v>364</v>
      </c>
      <c r="D395" s="108">
        <v>5.03</v>
      </c>
      <c r="E395" s="108"/>
      <c r="F395" s="127"/>
      <c r="G395" s="128"/>
      <c r="H395" s="40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04"/>
      <c r="P395" s="404"/>
      <c r="Q395" s="404"/>
      <c r="R395" s="404"/>
      <c r="S395" s="404"/>
      <c r="T395" s="404"/>
      <c r="U395" s="40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00" t="s">
        <v>418</v>
      </c>
      <c r="C396" s="187" t="s">
        <v>365</v>
      </c>
      <c r="D396" s="108">
        <v>5.03</v>
      </c>
      <c r="E396" s="108"/>
      <c r="F396" s="127"/>
      <c r="G396" s="128"/>
      <c r="H396" s="40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04"/>
      <c r="P396" s="404"/>
      <c r="Q396" s="404"/>
      <c r="R396" s="404"/>
      <c r="S396" s="404"/>
      <c r="T396" s="404"/>
      <c r="U396" s="40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00" t="s">
        <v>418</v>
      </c>
      <c r="C397" s="187" t="s">
        <v>366</v>
      </c>
      <c r="D397" s="108">
        <v>5.03</v>
      </c>
      <c r="E397" s="108"/>
      <c r="F397" s="127"/>
      <c r="G397" s="128"/>
      <c r="H397" s="40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04"/>
      <c r="P397" s="404"/>
      <c r="Q397" s="404"/>
      <c r="R397" s="404"/>
      <c r="S397" s="404"/>
      <c r="T397" s="404"/>
      <c r="U397" s="40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00" t="s">
        <v>418</v>
      </c>
      <c r="C398" s="187" t="s">
        <v>367</v>
      </c>
      <c r="D398" s="108">
        <v>5.03</v>
      </c>
      <c r="E398" s="108"/>
      <c r="F398" s="127"/>
      <c r="G398" s="128"/>
      <c r="H398" s="40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04"/>
      <c r="P398" s="404"/>
      <c r="Q398" s="404"/>
      <c r="R398" s="404"/>
      <c r="S398" s="404"/>
      <c r="T398" s="404"/>
      <c r="U398" s="40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0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09"/>
      <c r="P399" s="409"/>
      <c r="Q399" s="409"/>
      <c r="R399" s="409"/>
      <c r="S399" s="409"/>
      <c r="T399" s="409"/>
      <c r="U399" s="40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0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09"/>
      <c r="P400" s="409"/>
      <c r="Q400" s="409"/>
      <c r="R400" s="409"/>
      <c r="S400" s="409"/>
      <c r="T400" s="409"/>
      <c r="U400" s="40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0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09"/>
      <c r="P401" s="409"/>
      <c r="Q401" s="409"/>
      <c r="R401" s="409"/>
      <c r="S401" s="409"/>
      <c r="T401" s="409"/>
      <c r="U401" s="40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0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09"/>
      <c r="P402" s="409"/>
      <c r="Q402" s="409"/>
      <c r="R402" s="409"/>
      <c r="S402" s="409"/>
      <c r="T402" s="409"/>
      <c r="U402" s="40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0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09"/>
      <c r="P403" s="409"/>
      <c r="Q403" s="409"/>
      <c r="R403" s="409"/>
      <c r="S403" s="409"/>
      <c r="T403" s="409"/>
      <c r="U403" s="40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0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09"/>
      <c r="P404" s="409"/>
      <c r="Q404" s="409"/>
      <c r="R404" s="409"/>
      <c r="S404" s="409"/>
      <c r="T404" s="409"/>
      <c r="U404" s="40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0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09"/>
      <c r="P405" s="409"/>
      <c r="Q405" s="409"/>
      <c r="R405" s="409"/>
      <c r="S405" s="409"/>
      <c r="T405" s="409"/>
      <c r="U405" s="40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0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09"/>
      <c r="P406" s="409"/>
      <c r="Q406" s="409"/>
      <c r="R406" s="409"/>
      <c r="S406" s="409"/>
      <c r="T406" s="409"/>
      <c r="U406" s="40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0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09"/>
      <c r="P407" s="409"/>
      <c r="Q407" s="409"/>
      <c r="R407" s="409"/>
      <c r="S407" s="409"/>
      <c r="T407" s="409"/>
      <c r="U407" s="40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0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09"/>
      <c r="P408" s="409"/>
      <c r="Q408" s="409"/>
      <c r="R408" s="409"/>
      <c r="S408" s="409"/>
      <c r="T408" s="409"/>
      <c r="U408" s="40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0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09"/>
      <c r="P409" s="409"/>
      <c r="Q409" s="409"/>
      <c r="R409" s="409"/>
      <c r="S409" s="409"/>
      <c r="T409" s="409"/>
      <c r="U409" s="40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0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09"/>
      <c r="P410" s="409"/>
      <c r="Q410" s="409"/>
      <c r="R410" s="409"/>
      <c r="S410" s="409"/>
      <c r="T410" s="409"/>
      <c r="U410" s="40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0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09"/>
      <c r="P411" s="409"/>
      <c r="Q411" s="409"/>
      <c r="R411" s="409"/>
      <c r="S411" s="409"/>
      <c r="T411" s="409"/>
      <c r="U411" s="40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0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09"/>
      <c r="P412" s="409"/>
      <c r="Q412" s="409"/>
      <c r="R412" s="409"/>
      <c r="S412" s="409"/>
      <c r="T412" s="409"/>
      <c r="U412" s="40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01">
        <f t="shared" si="170"/>
        <v>0</v>
      </c>
      <c r="I413" s="129"/>
      <c r="J413" s="130"/>
      <c r="K413" s="131"/>
      <c r="L413" s="129"/>
      <c r="M413" s="109"/>
      <c r="N413" s="130"/>
      <c r="O413" s="409"/>
      <c r="P413" s="409"/>
      <c r="Q413" s="409"/>
      <c r="R413" s="409"/>
      <c r="S413" s="409"/>
      <c r="T413" s="409"/>
      <c r="U413" s="40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0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09"/>
      <c r="P414" s="409"/>
      <c r="Q414" s="409"/>
      <c r="R414" s="409"/>
      <c r="S414" s="409"/>
      <c r="T414" s="409"/>
      <c r="U414" s="40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0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09"/>
      <c r="P415" s="409"/>
      <c r="Q415" s="409"/>
      <c r="R415" s="409"/>
      <c r="S415" s="409"/>
      <c r="T415" s="409"/>
      <c r="U415" s="40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0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09"/>
      <c r="P416" s="409"/>
      <c r="Q416" s="409"/>
      <c r="R416" s="409"/>
      <c r="S416" s="409"/>
      <c r="T416" s="409"/>
      <c r="U416" s="40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0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09"/>
      <c r="P417" s="409"/>
      <c r="Q417" s="409"/>
      <c r="R417" s="409"/>
      <c r="S417" s="409"/>
      <c r="T417" s="409"/>
      <c r="U417" s="40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0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09"/>
      <c r="P418" s="409"/>
      <c r="Q418" s="409"/>
      <c r="R418" s="409"/>
      <c r="S418" s="409"/>
      <c r="T418" s="409"/>
      <c r="U418" s="40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0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09"/>
      <c r="P419" s="409"/>
      <c r="Q419" s="409"/>
      <c r="R419" s="409"/>
      <c r="S419" s="409"/>
      <c r="T419" s="409"/>
      <c r="U419" s="40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0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09"/>
      <c r="P420" s="409"/>
      <c r="Q420" s="409"/>
      <c r="R420" s="409"/>
      <c r="S420" s="409"/>
      <c r="T420" s="409"/>
      <c r="U420" s="40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0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09"/>
      <c r="P421" s="409"/>
      <c r="Q421" s="409"/>
      <c r="R421" s="409"/>
      <c r="S421" s="409"/>
      <c r="T421" s="409"/>
      <c r="U421" s="40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0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09"/>
      <c r="P422" s="409"/>
      <c r="Q422" s="409"/>
      <c r="R422" s="409"/>
      <c r="S422" s="409"/>
      <c r="T422" s="409"/>
      <c r="U422" s="40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0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09"/>
      <c r="P423" s="409"/>
      <c r="Q423" s="409"/>
      <c r="R423" s="409"/>
      <c r="S423" s="409"/>
      <c r="T423" s="409"/>
      <c r="U423" s="40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0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09"/>
      <c r="P424" s="409"/>
      <c r="Q424" s="409"/>
      <c r="R424" s="409"/>
      <c r="S424" s="409"/>
      <c r="T424" s="409"/>
      <c r="U424" s="40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0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09"/>
      <c r="P425" s="409"/>
      <c r="Q425" s="409"/>
      <c r="R425" s="409"/>
      <c r="S425" s="409"/>
      <c r="T425" s="409"/>
      <c r="U425" s="40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0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09"/>
      <c r="P426" s="409"/>
      <c r="Q426" s="409"/>
      <c r="R426" s="409"/>
      <c r="S426" s="409"/>
      <c r="T426" s="409"/>
      <c r="U426" s="40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0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09"/>
      <c r="P427" s="409"/>
      <c r="Q427" s="409"/>
      <c r="R427" s="409"/>
      <c r="S427" s="409"/>
      <c r="T427" s="409"/>
      <c r="U427" s="40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1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00" t="s">
        <v>217</v>
      </c>
      <c r="C429" s="126" t="s">
        <v>179</v>
      </c>
      <c r="D429" s="108">
        <v>5.03</v>
      </c>
      <c r="E429" s="108"/>
      <c r="F429" s="127"/>
      <c r="G429" s="128"/>
      <c r="H429" s="401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09"/>
      <c r="P429" s="409"/>
      <c r="Q429" s="409"/>
      <c r="R429" s="409"/>
      <c r="S429" s="409"/>
      <c r="T429" s="409"/>
      <c r="U429" s="40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00" t="s">
        <v>217</v>
      </c>
      <c r="C430" s="126" t="s">
        <v>186</v>
      </c>
      <c r="D430" s="108">
        <v>5.03</v>
      </c>
      <c r="E430" s="108"/>
      <c r="F430" s="127"/>
      <c r="G430" s="128"/>
      <c r="H430" s="40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409"/>
      <c r="P430" s="409"/>
      <c r="Q430" s="409"/>
      <c r="R430" s="409"/>
      <c r="S430" s="409"/>
      <c r="T430" s="409"/>
      <c r="U430" s="40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00" t="s">
        <v>217</v>
      </c>
      <c r="C431" s="126" t="s">
        <v>204</v>
      </c>
      <c r="D431" s="108">
        <v>5.03</v>
      </c>
      <c r="E431" s="108"/>
      <c r="F431" s="127"/>
      <c r="G431" s="128"/>
      <c r="H431" s="40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09"/>
      <c r="P431" s="409"/>
      <c r="Q431" s="409"/>
      <c r="R431" s="409"/>
      <c r="S431" s="409"/>
      <c r="T431" s="409"/>
      <c r="U431" s="40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0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09"/>
      <c r="P432" s="409"/>
      <c r="Q432" s="409"/>
      <c r="R432" s="409"/>
      <c r="S432" s="409"/>
      <c r="T432" s="409"/>
      <c r="U432" s="40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0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409"/>
      <c r="P433" s="409"/>
      <c r="Q433" s="409"/>
      <c r="R433" s="409"/>
      <c r="S433" s="409"/>
      <c r="T433" s="409"/>
      <c r="U433" s="40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01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09"/>
      <c r="P434" s="409"/>
      <c r="Q434" s="409"/>
      <c r="R434" s="409"/>
      <c r="S434" s="409"/>
      <c r="T434" s="409"/>
      <c r="U434" s="40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0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09"/>
      <c r="P435" s="409"/>
      <c r="Q435" s="409"/>
      <c r="R435" s="409"/>
      <c r="S435" s="409"/>
      <c r="T435" s="409"/>
      <c r="U435" s="40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0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09"/>
      <c r="P436" s="409"/>
      <c r="Q436" s="409"/>
      <c r="R436" s="409"/>
      <c r="S436" s="409"/>
      <c r="T436" s="409"/>
      <c r="U436" s="40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0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09"/>
      <c r="P437" s="409"/>
      <c r="Q437" s="409"/>
      <c r="R437" s="409"/>
      <c r="S437" s="409"/>
      <c r="T437" s="409"/>
      <c r="U437" s="40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0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09"/>
      <c r="P438" s="409"/>
      <c r="Q438" s="409"/>
      <c r="R438" s="409"/>
      <c r="S438" s="409"/>
      <c r="T438" s="409"/>
      <c r="U438" s="40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0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09"/>
      <c r="P439" s="409"/>
      <c r="Q439" s="409"/>
      <c r="R439" s="409"/>
      <c r="S439" s="409"/>
      <c r="T439" s="409"/>
      <c r="U439" s="40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0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09"/>
      <c r="P440" s="409"/>
      <c r="Q440" s="409"/>
      <c r="R440" s="409"/>
      <c r="S440" s="409"/>
      <c r="T440" s="409"/>
      <c r="U440" s="40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0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09"/>
      <c r="P441" s="409"/>
      <c r="Q441" s="409"/>
      <c r="R441" s="409"/>
      <c r="S441" s="409"/>
      <c r="T441" s="409"/>
      <c r="U441" s="40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0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09"/>
      <c r="P442" s="409"/>
      <c r="Q442" s="409"/>
      <c r="R442" s="409"/>
      <c r="S442" s="409"/>
      <c r="T442" s="409"/>
      <c r="U442" s="40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0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09"/>
      <c r="P443" s="409"/>
      <c r="Q443" s="409"/>
      <c r="R443" s="409"/>
      <c r="S443" s="409"/>
      <c r="T443" s="409"/>
      <c r="U443" s="40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0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09"/>
      <c r="P444" s="409"/>
      <c r="Q444" s="409"/>
      <c r="R444" s="409"/>
      <c r="S444" s="409"/>
      <c r="T444" s="409"/>
      <c r="U444" s="40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00" t="s">
        <v>222</v>
      </c>
      <c r="C445" s="126" t="s">
        <v>181</v>
      </c>
      <c r="D445" s="108">
        <v>9.36</v>
      </c>
      <c r="E445" s="108"/>
      <c r="F445" s="127"/>
      <c r="G445" s="128"/>
      <c r="H445" s="40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09"/>
      <c r="P445" s="409"/>
      <c r="Q445" s="409"/>
      <c r="R445" s="409"/>
      <c r="S445" s="409"/>
      <c r="T445" s="409"/>
      <c r="U445" s="40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00" t="s">
        <v>222</v>
      </c>
      <c r="C446" s="126" t="s">
        <v>179</v>
      </c>
      <c r="D446" s="108">
        <v>9.36</v>
      </c>
      <c r="E446" s="108"/>
      <c r="F446" s="127"/>
      <c r="G446" s="128"/>
      <c r="H446" s="40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09"/>
      <c r="P446" s="409"/>
      <c r="Q446" s="409"/>
      <c r="R446" s="409"/>
      <c r="S446" s="409"/>
      <c r="T446" s="409"/>
      <c r="U446" s="40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00" t="s">
        <v>222</v>
      </c>
      <c r="C447" s="126" t="s">
        <v>221</v>
      </c>
      <c r="D447" s="108">
        <v>9.36</v>
      </c>
      <c r="E447" s="108"/>
      <c r="F447" s="127"/>
      <c r="G447" s="128"/>
      <c r="H447" s="40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09"/>
      <c r="P447" s="409"/>
      <c r="Q447" s="409"/>
      <c r="R447" s="409"/>
      <c r="S447" s="409"/>
      <c r="T447" s="409"/>
      <c r="U447" s="40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00" t="s">
        <v>222</v>
      </c>
      <c r="C448" s="126" t="s">
        <v>186</v>
      </c>
      <c r="D448" s="108">
        <v>9.36</v>
      </c>
      <c r="E448" s="108"/>
      <c r="F448" s="127"/>
      <c r="G448" s="128"/>
      <c r="H448" s="40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09"/>
      <c r="P448" s="409"/>
      <c r="Q448" s="409"/>
      <c r="R448" s="409"/>
      <c r="S448" s="409"/>
      <c r="T448" s="409"/>
      <c r="U448" s="40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00" t="s">
        <v>393</v>
      </c>
      <c r="C449" s="187" t="s">
        <v>395</v>
      </c>
      <c r="D449" s="108">
        <v>5</v>
      </c>
      <c r="E449" s="108"/>
      <c r="F449" s="127"/>
      <c r="G449" s="128"/>
      <c r="H449" s="40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09"/>
      <c r="P449" s="409"/>
      <c r="Q449" s="409"/>
      <c r="R449" s="409"/>
      <c r="S449" s="409"/>
      <c r="T449" s="409"/>
      <c r="U449" s="40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00" t="s">
        <v>393</v>
      </c>
      <c r="C450" s="187" t="s">
        <v>402</v>
      </c>
      <c r="D450" s="108">
        <v>5</v>
      </c>
      <c r="E450" s="108"/>
      <c r="F450" s="127"/>
      <c r="G450" s="128"/>
      <c r="H450" s="40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09"/>
      <c r="P450" s="409"/>
      <c r="Q450" s="409"/>
      <c r="R450" s="409"/>
      <c r="S450" s="409"/>
      <c r="T450" s="409"/>
      <c r="U450" s="40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00" t="s">
        <v>404</v>
      </c>
      <c r="C451" s="187" t="s">
        <v>405</v>
      </c>
      <c r="D451" s="108">
        <v>5</v>
      </c>
      <c r="E451" s="108"/>
      <c r="F451" s="127"/>
      <c r="G451" s="128"/>
      <c r="H451" s="401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09"/>
      <c r="P451" s="409"/>
      <c r="Q451" s="409"/>
      <c r="R451" s="409"/>
      <c r="S451" s="409"/>
      <c r="T451" s="409"/>
      <c r="U451" s="40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00" t="s">
        <v>342</v>
      </c>
      <c r="C452" s="187" t="s">
        <v>372</v>
      </c>
      <c r="D452" s="108">
        <v>5</v>
      </c>
      <c r="E452" s="108"/>
      <c r="F452" s="127"/>
      <c r="G452" s="128"/>
      <c r="H452" s="40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09"/>
      <c r="P452" s="409"/>
      <c r="Q452" s="409"/>
      <c r="R452" s="409"/>
      <c r="S452" s="409"/>
      <c r="T452" s="409"/>
      <c r="U452" s="40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00" t="s">
        <v>343</v>
      </c>
      <c r="C453" s="126" t="s">
        <v>345</v>
      </c>
      <c r="D453" s="108">
        <v>5</v>
      </c>
      <c r="E453" s="108"/>
      <c r="F453" s="127"/>
      <c r="G453" s="128"/>
      <c r="H453" s="40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09"/>
      <c r="P453" s="409"/>
      <c r="Q453" s="409"/>
      <c r="R453" s="409"/>
      <c r="S453" s="409"/>
      <c r="T453" s="409"/>
      <c r="U453" s="40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00" t="s">
        <v>343</v>
      </c>
      <c r="C454" s="126" t="s">
        <v>347</v>
      </c>
      <c r="D454" s="108">
        <v>5</v>
      </c>
      <c r="E454" s="108"/>
      <c r="F454" s="127"/>
      <c r="G454" s="128"/>
      <c r="H454" s="40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09"/>
      <c r="P454" s="409"/>
      <c r="Q454" s="409"/>
      <c r="R454" s="409"/>
      <c r="S454" s="409"/>
      <c r="T454" s="409"/>
      <c r="U454" s="40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0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09"/>
      <c r="P455" s="409"/>
      <c r="Q455" s="409"/>
      <c r="R455" s="409"/>
      <c r="S455" s="409"/>
      <c r="T455" s="409"/>
      <c r="U455" s="40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0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09"/>
      <c r="P456" s="409"/>
      <c r="Q456" s="409"/>
      <c r="R456" s="409"/>
      <c r="S456" s="409"/>
      <c r="T456" s="409"/>
      <c r="U456" s="40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0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09"/>
      <c r="P457" s="409"/>
      <c r="Q457" s="409"/>
      <c r="R457" s="409"/>
      <c r="S457" s="409"/>
      <c r="T457" s="409"/>
      <c r="U457" s="40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0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09"/>
      <c r="P458" s="409"/>
      <c r="Q458" s="409"/>
      <c r="R458" s="409"/>
      <c r="S458" s="409"/>
      <c r="T458" s="409"/>
      <c r="U458" s="40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0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09"/>
      <c r="P459" s="409"/>
      <c r="Q459" s="409"/>
      <c r="R459" s="409"/>
      <c r="S459" s="409"/>
      <c r="T459" s="409"/>
      <c r="U459" s="40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0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09"/>
      <c r="P460" s="409"/>
      <c r="Q460" s="409"/>
      <c r="R460" s="409"/>
      <c r="S460" s="409"/>
      <c r="T460" s="409"/>
      <c r="U460" s="40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0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09"/>
      <c r="P461" s="409"/>
      <c r="Q461" s="409"/>
      <c r="R461" s="409"/>
      <c r="S461" s="409"/>
      <c r="T461" s="409"/>
      <c r="U461" s="40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01">
        <f t="shared" si="195"/>
        <v>0</v>
      </c>
      <c r="I462" s="129"/>
      <c r="J462" s="130" t="str">
        <f t="array" ref="J462">IF(ISERROR(G462/I462),"",G462/I462)</f>
        <v/>
      </c>
      <c r="K462" s="40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09"/>
      <c r="P462" s="409"/>
      <c r="Q462" s="409"/>
      <c r="R462" s="409"/>
      <c r="S462" s="409"/>
      <c r="T462" s="409"/>
      <c r="U462" s="40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618" t="s">
        <v>224</v>
      </c>
      <c r="B463" s="619"/>
      <c r="C463" s="410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0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09"/>
      <c r="P464" s="409"/>
      <c r="Q464" s="409"/>
      <c r="R464" s="409"/>
      <c r="S464" s="409"/>
      <c r="T464" s="409"/>
      <c r="U464" s="40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0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09"/>
      <c r="P465" s="409"/>
      <c r="Q465" s="409"/>
      <c r="R465" s="409"/>
      <c r="S465" s="409"/>
      <c r="T465" s="409"/>
      <c r="U465" s="40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0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09"/>
      <c r="P466" s="409"/>
      <c r="Q466" s="409"/>
      <c r="R466" s="409"/>
      <c r="S466" s="409"/>
      <c r="T466" s="409"/>
      <c r="U466" s="40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0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09"/>
      <c r="P467" s="409"/>
      <c r="Q467" s="409"/>
      <c r="R467" s="409"/>
      <c r="S467" s="409"/>
      <c r="T467" s="409"/>
      <c r="U467" s="40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08" t="s">
        <v>203</v>
      </c>
      <c r="D468" s="108">
        <v>5.03</v>
      </c>
      <c r="E468" s="108"/>
      <c r="F468" s="127"/>
      <c r="G468" s="128"/>
      <c r="H468" s="40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09"/>
      <c r="P468" s="409"/>
      <c r="Q468" s="409"/>
      <c r="R468" s="409"/>
      <c r="S468" s="409"/>
      <c r="T468" s="409"/>
      <c r="U468" s="40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0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09"/>
      <c r="P469" s="409"/>
      <c r="Q469" s="409"/>
      <c r="R469" s="409"/>
      <c r="S469" s="409"/>
      <c r="T469" s="409"/>
      <c r="U469" s="40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0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09"/>
      <c r="P470" s="409"/>
      <c r="Q470" s="409"/>
      <c r="R470" s="409"/>
      <c r="S470" s="409"/>
      <c r="T470" s="409"/>
      <c r="U470" s="40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08" t="s">
        <v>228</v>
      </c>
      <c r="D471" s="108">
        <v>5.03</v>
      </c>
      <c r="E471" s="108"/>
      <c r="F471" s="127"/>
      <c r="G471" s="128"/>
      <c r="H471" s="40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09"/>
      <c r="P471" s="409"/>
      <c r="Q471" s="409"/>
      <c r="R471" s="409"/>
      <c r="S471" s="409"/>
      <c r="T471" s="409"/>
      <c r="U471" s="40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08" t="s">
        <v>212</v>
      </c>
      <c r="D472" s="108">
        <v>5.03</v>
      </c>
      <c r="E472" s="108"/>
      <c r="F472" s="127"/>
      <c r="G472" s="128"/>
      <c r="H472" s="40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09"/>
      <c r="P472" s="409"/>
      <c r="Q472" s="409"/>
      <c r="R472" s="409"/>
      <c r="S472" s="409"/>
      <c r="T472" s="409"/>
      <c r="U472" s="40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08" t="s">
        <v>203</v>
      </c>
      <c r="D473" s="108">
        <v>5.03</v>
      </c>
      <c r="E473" s="108"/>
      <c r="F473" s="127"/>
      <c r="G473" s="128"/>
      <c r="H473" s="40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09"/>
      <c r="P473" s="409"/>
      <c r="Q473" s="409"/>
      <c r="R473" s="409"/>
      <c r="S473" s="409"/>
      <c r="T473" s="409"/>
      <c r="U473" s="40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08" t="s">
        <v>186</v>
      </c>
      <c r="D474" s="108">
        <v>5.03</v>
      </c>
      <c r="E474" s="108"/>
      <c r="F474" s="127"/>
      <c r="G474" s="128"/>
      <c r="H474" s="40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09"/>
      <c r="P474" s="409"/>
      <c r="Q474" s="409"/>
      <c r="R474" s="409"/>
      <c r="S474" s="409"/>
      <c r="T474" s="409"/>
      <c r="U474" s="40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08" t="s">
        <v>228</v>
      </c>
      <c r="D475" s="108">
        <v>5.03</v>
      </c>
      <c r="E475" s="108"/>
      <c r="F475" s="127"/>
      <c r="G475" s="128"/>
      <c r="H475" s="40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09"/>
      <c r="P475" s="409"/>
      <c r="Q475" s="409"/>
      <c r="R475" s="409"/>
      <c r="S475" s="409"/>
      <c r="T475" s="409"/>
      <c r="U475" s="40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08" t="s">
        <v>199</v>
      </c>
      <c r="D476" s="108">
        <v>5.03</v>
      </c>
      <c r="E476" s="108"/>
      <c r="F476" s="127"/>
      <c r="G476" s="128"/>
      <c r="H476" s="40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09"/>
      <c r="P476" s="409"/>
      <c r="Q476" s="409"/>
      <c r="R476" s="409"/>
      <c r="S476" s="409"/>
      <c r="T476" s="409"/>
      <c r="U476" s="40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0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09"/>
      <c r="P477" s="409"/>
      <c r="Q477" s="409"/>
      <c r="R477" s="409"/>
      <c r="S477" s="409"/>
      <c r="T477" s="409"/>
      <c r="U477" s="40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0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09"/>
      <c r="P478" s="409"/>
      <c r="Q478" s="409"/>
      <c r="R478" s="409"/>
      <c r="S478" s="409"/>
      <c r="T478" s="409"/>
      <c r="U478" s="40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41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0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09"/>
      <c r="P480" s="409"/>
      <c r="Q480" s="409"/>
      <c r="R480" s="409"/>
      <c r="S480" s="409"/>
      <c r="T480" s="409"/>
      <c r="U480" s="40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0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09"/>
      <c r="P481" s="409"/>
      <c r="Q481" s="409"/>
      <c r="R481" s="409"/>
      <c r="S481" s="409"/>
      <c r="T481" s="409"/>
      <c r="U481" s="40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0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09"/>
      <c r="P482" s="409"/>
      <c r="Q482" s="409"/>
      <c r="R482" s="409"/>
      <c r="S482" s="409"/>
      <c r="T482" s="409"/>
      <c r="U482" s="40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0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09"/>
      <c r="P483" s="409"/>
      <c r="Q483" s="409"/>
      <c r="R483" s="409"/>
      <c r="S483" s="409"/>
      <c r="T483" s="409"/>
      <c r="U483" s="40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0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09"/>
      <c r="P484" s="409"/>
      <c r="Q484" s="409"/>
      <c r="R484" s="409"/>
      <c r="S484" s="409"/>
      <c r="T484" s="409"/>
      <c r="U484" s="40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0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09"/>
      <c r="P485" s="409"/>
      <c r="Q485" s="409"/>
      <c r="R485" s="409"/>
      <c r="S485" s="409"/>
      <c r="T485" s="409"/>
      <c r="U485" s="40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0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09"/>
      <c r="P486" s="409"/>
      <c r="Q486" s="409"/>
      <c r="R486" s="409"/>
      <c r="S486" s="409"/>
      <c r="T486" s="409"/>
      <c r="U486" s="40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0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09"/>
      <c r="P487" s="409"/>
      <c r="Q487" s="409"/>
      <c r="R487" s="409"/>
      <c r="S487" s="409"/>
      <c r="T487" s="409"/>
      <c r="U487" s="40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0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09"/>
      <c r="P489" s="409"/>
      <c r="Q489" s="409"/>
      <c r="R489" s="409"/>
      <c r="S489" s="409"/>
      <c r="T489" s="409"/>
      <c r="U489" s="40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41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06"/>
      <c r="D491" s="108">
        <v>3.65</v>
      </c>
      <c r="E491" s="108"/>
      <c r="F491" s="153"/>
      <c r="G491" s="128"/>
      <c r="H491" s="401">
        <f t="shared" ref="H491:H505" si="222">D491*G491</f>
        <v>0</v>
      </c>
      <c r="I491" s="129"/>
      <c r="J491" s="130" t="str">
        <f t="array" ref="J491">IF(ISERROR(G491/I491),"",G491/I491)</f>
        <v/>
      </c>
      <c r="K491" s="40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09"/>
      <c r="P491" s="409"/>
      <c r="Q491" s="409"/>
      <c r="R491" s="409"/>
      <c r="S491" s="409"/>
      <c r="T491" s="409"/>
      <c r="U491" s="40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06"/>
      <c r="D492" s="108">
        <v>6.58</v>
      </c>
      <c r="E492" s="108"/>
      <c r="F492" s="127"/>
      <c r="G492" s="128"/>
      <c r="H492" s="40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09"/>
      <c r="P492" s="409"/>
      <c r="Q492" s="409"/>
      <c r="R492" s="409"/>
      <c r="S492" s="409"/>
      <c r="T492" s="409"/>
      <c r="U492" s="40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06"/>
      <c r="D493" s="108">
        <v>7.8</v>
      </c>
      <c r="E493" s="108"/>
      <c r="F493" s="127"/>
      <c r="G493" s="128"/>
      <c r="H493" s="40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09"/>
      <c r="P493" s="409"/>
      <c r="Q493" s="409"/>
      <c r="R493" s="409"/>
      <c r="S493" s="409"/>
      <c r="T493" s="409"/>
      <c r="U493" s="40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06"/>
      <c r="D494" s="108">
        <v>4.4000000000000004</v>
      </c>
      <c r="E494" s="108"/>
      <c r="F494" s="127"/>
      <c r="G494" s="128"/>
      <c r="H494" s="40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09"/>
      <c r="P494" s="409"/>
      <c r="Q494" s="409"/>
      <c r="R494" s="409"/>
      <c r="S494" s="409"/>
      <c r="T494" s="409"/>
      <c r="U494" s="40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01">
        <f t="shared" si="222"/>
        <v>0</v>
      </c>
      <c r="I495" s="129"/>
      <c r="J495" s="130"/>
      <c r="K495" s="131"/>
      <c r="L495" s="129"/>
      <c r="M495" s="109"/>
      <c r="N495" s="130"/>
      <c r="O495" s="409"/>
      <c r="P495" s="409"/>
      <c r="Q495" s="409"/>
      <c r="R495" s="409"/>
      <c r="S495" s="409"/>
      <c r="T495" s="409"/>
      <c r="U495" s="40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06"/>
      <c r="D496" s="108"/>
      <c r="E496" s="108"/>
      <c r="F496" s="127"/>
      <c r="G496" s="128"/>
      <c r="H496" s="40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09"/>
      <c r="P496" s="409"/>
      <c r="Q496" s="409"/>
      <c r="R496" s="409"/>
      <c r="S496" s="409"/>
      <c r="T496" s="409"/>
      <c r="U496" s="40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06" t="s">
        <v>239</v>
      </c>
      <c r="C497" s="406" t="s">
        <v>179</v>
      </c>
      <c r="D497" s="108">
        <v>6.04</v>
      </c>
      <c r="E497" s="108"/>
      <c r="F497" s="127"/>
      <c r="G497" s="128"/>
      <c r="H497" s="40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09"/>
      <c r="P497" s="409"/>
      <c r="Q497" s="409"/>
      <c r="R497" s="409"/>
      <c r="S497" s="409"/>
      <c r="T497" s="409"/>
      <c r="U497" s="40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06" t="s">
        <v>239</v>
      </c>
      <c r="C498" s="406" t="s">
        <v>186</v>
      </c>
      <c r="D498" s="108">
        <v>6.04</v>
      </c>
      <c r="E498" s="108"/>
      <c r="F498" s="127"/>
      <c r="G498" s="128"/>
      <c r="H498" s="40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09"/>
      <c r="P498" s="409"/>
      <c r="Q498" s="409"/>
      <c r="R498" s="409"/>
      <c r="S498" s="409"/>
      <c r="T498" s="409"/>
      <c r="U498" s="40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06" t="s">
        <v>443</v>
      </c>
      <c r="C499" s="406" t="s">
        <v>179</v>
      </c>
      <c r="D499" s="108"/>
      <c r="E499" s="108"/>
      <c r="F499" s="127"/>
      <c r="G499" s="128"/>
      <c r="H499" s="401">
        <f t="shared" si="222"/>
        <v>0</v>
      </c>
      <c r="I499" s="129"/>
      <c r="J499" s="130"/>
      <c r="K499" s="131"/>
      <c r="L499" s="129"/>
      <c r="M499" s="109"/>
      <c r="N499" s="130"/>
      <c r="O499" s="409"/>
      <c r="P499" s="409"/>
      <c r="Q499" s="409"/>
      <c r="R499" s="409"/>
      <c r="S499" s="409"/>
      <c r="T499" s="409"/>
      <c r="U499" s="40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06" t="s">
        <v>443</v>
      </c>
      <c r="C500" s="406" t="s">
        <v>186</v>
      </c>
      <c r="D500" s="108"/>
      <c r="E500" s="108"/>
      <c r="F500" s="127"/>
      <c r="G500" s="128"/>
      <c r="H500" s="401">
        <f t="shared" si="222"/>
        <v>0</v>
      </c>
      <c r="I500" s="129"/>
      <c r="J500" s="130"/>
      <c r="K500" s="131"/>
      <c r="L500" s="129"/>
      <c r="M500" s="109"/>
      <c r="N500" s="130"/>
      <c r="O500" s="409"/>
      <c r="P500" s="409"/>
      <c r="Q500" s="409"/>
      <c r="R500" s="409"/>
      <c r="S500" s="409"/>
      <c r="T500" s="409"/>
      <c r="U500" s="40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00" t="s">
        <v>240</v>
      </c>
      <c r="C501" s="126"/>
      <c r="D501" s="108">
        <v>7.3</v>
      </c>
      <c r="E501" s="108"/>
      <c r="F501" s="127"/>
      <c r="G501" s="128"/>
      <c r="H501" s="40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09"/>
      <c r="P501" s="409"/>
      <c r="Q501" s="409"/>
      <c r="R501" s="409"/>
      <c r="S501" s="409"/>
      <c r="T501" s="409"/>
      <c r="U501" s="40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00" t="s">
        <v>241</v>
      </c>
      <c r="C502" s="126"/>
      <c r="D502" s="108">
        <f>78*120/1000</f>
        <v>9.36</v>
      </c>
      <c r="E502" s="108"/>
      <c r="F502" s="127"/>
      <c r="G502" s="128"/>
      <c r="H502" s="401">
        <f t="shared" si="222"/>
        <v>0</v>
      </c>
      <c r="I502" s="129"/>
      <c r="J502" s="130"/>
      <c r="K502" s="131"/>
      <c r="L502" s="129"/>
      <c r="M502" s="109"/>
      <c r="N502" s="130"/>
      <c r="O502" s="409"/>
      <c r="P502" s="409"/>
      <c r="Q502" s="409"/>
      <c r="R502" s="409"/>
      <c r="S502" s="409"/>
      <c r="T502" s="409"/>
      <c r="U502" s="40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00" t="s">
        <v>242</v>
      </c>
      <c r="C503" s="126"/>
      <c r="D503" s="108">
        <v>4.5</v>
      </c>
      <c r="E503" s="108"/>
      <c r="F503" s="127"/>
      <c r="G503" s="128"/>
      <c r="H503" s="401">
        <f t="shared" si="222"/>
        <v>0</v>
      </c>
      <c r="I503" s="129"/>
      <c r="J503" s="130"/>
      <c r="K503" s="131"/>
      <c r="L503" s="129"/>
      <c r="M503" s="109"/>
      <c r="N503" s="130"/>
      <c r="O503" s="409"/>
      <c r="P503" s="409"/>
      <c r="Q503" s="409"/>
      <c r="R503" s="409"/>
      <c r="S503" s="409"/>
      <c r="T503" s="409"/>
      <c r="U503" s="40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00" t="s">
        <v>243</v>
      </c>
      <c r="C504" s="126"/>
      <c r="D504" s="108">
        <v>4.5</v>
      </c>
      <c r="E504" s="108"/>
      <c r="F504" s="127"/>
      <c r="G504" s="128"/>
      <c r="H504" s="401">
        <f t="shared" si="222"/>
        <v>0</v>
      </c>
      <c r="I504" s="129"/>
      <c r="J504" s="130"/>
      <c r="K504" s="131"/>
      <c r="L504" s="129"/>
      <c r="M504" s="109"/>
      <c r="N504" s="130"/>
      <c r="O504" s="409"/>
      <c r="P504" s="409"/>
      <c r="Q504" s="409"/>
      <c r="R504" s="409"/>
      <c r="S504" s="409"/>
      <c r="T504" s="409"/>
      <c r="U504" s="40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00"/>
      <c r="C505" s="126"/>
      <c r="D505" s="108"/>
      <c r="E505" s="108"/>
      <c r="F505" s="127"/>
      <c r="G505" s="128"/>
      <c r="H505" s="401">
        <f t="shared" si="222"/>
        <v>0</v>
      </c>
      <c r="I505" s="129"/>
      <c r="J505" s="130"/>
      <c r="K505" s="131"/>
      <c r="L505" s="129"/>
      <c r="M505" s="109"/>
      <c r="N505" s="130"/>
      <c r="O505" s="409"/>
      <c r="P505" s="409"/>
      <c r="Q505" s="409"/>
      <c r="R505" s="409"/>
      <c r="S505" s="409"/>
      <c r="T505" s="409"/>
      <c r="U505" s="40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41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403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403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403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403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403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403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403">
        <f>G507</f>
        <v>0</v>
      </c>
      <c r="C514" s="638" t="s">
        <v>269</v>
      </c>
      <c r="D514" s="639"/>
      <c r="E514" s="631">
        <f>H507</f>
        <v>0</v>
      </c>
      <c r="F514" s="631"/>
      <c r="G514" s="631" t="s">
        <v>270</v>
      </c>
      <c r="H514" s="631"/>
      <c r="I514" s="640" t="str">
        <f>L507</f>
        <v/>
      </c>
      <c r="J514" s="640"/>
      <c r="K514" s="628" t="s">
        <v>271</v>
      </c>
      <c r="L514" s="628"/>
      <c r="M514" s="640" t="str">
        <f>J507</f>
        <v/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403">
        <f>I507+C513</f>
        <v>1</v>
      </c>
      <c r="C515" s="641" t="s">
        <v>251</v>
      </c>
      <c r="D515" s="642"/>
      <c r="E515" s="643">
        <f>K507+I513</f>
        <v>11</v>
      </c>
      <c r="F515" s="643"/>
      <c r="G515" s="631" t="s">
        <v>274</v>
      </c>
      <c r="H515" s="631"/>
      <c r="I515" s="640">
        <f>B515-E515</f>
        <v>-10</v>
      </c>
      <c r="J515" s="640"/>
      <c r="K515" s="628" t="s">
        <v>275</v>
      </c>
      <c r="L515" s="628"/>
      <c r="M515" s="632">
        <f>IF(ISERROR(I515/E515),"",I515/E515)</f>
        <v>-0.90909090909090906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403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 t="str">
        <f t="array" ref="M516">IF(ISERROR(I516/B514),"",I516/B514)</f>
        <v/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40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3570</v>
      </c>
      <c r="D519" s="627"/>
      <c r="E519" s="673" t="s">
        <v>269</v>
      </c>
      <c r="F519" s="673"/>
      <c r="G519" s="643">
        <f>SUM(E171,E342,E514)</f>
        <v>17952.689999999999</v>
      </c>
      <c r="H519" s="643"/>
      <c r="I519" s="631" t="s">
        <v>270</v>
      </c>
      <c r="J519" s="673"/>
      <c r="K519" s="626">
        <f>IF(ISERROR(C519/G520),"",C519/G520)</f>
        <v>17.253873691913768</v>
      </c>
      <c r="L519" s="627"/>
      <c r="M519" s="631" t="s">
        <v>271</v>
      </c>
      <c r="N519" s="631"/>
      <c r="O519" s="668">
        <f t="array" ref="O519">IF(ISERROR(C519/C520),"",C519/C520)</f>
        <v>16.527777777777779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216</v>
      </c>
      <c r="D520" s="627"/>
      <c r="E520" s="631" t="s">
        <v>251</v>
      </c>
      <c r="F520" s="631"/>
      <c r="G520" s="643">
        <f>SUM(E172,E343,E515)</f>
        <v>206.91005763378936</v>
      </c>
      <c r="H520" s="643"/>
      <c r="I520" s="641" t="s">
        <v>274</v>
      </c>
      <c r="J520" s="642"/>
      <c r="K520" s="638">
        <f>C520-G520</f>
        <v>9.0899423662106358</v>
      </c>
      <c r="L520" s="639"/>
      <c r="M520" s="638" t="s">
        <v>275</v>
      </c>
      <c r="N520" s="639"/>
      <c r="O520" s="671">
        <f>IF(ISERROR(K520/C520),"",K520/C520)</f>
        <v>4.2083066510234426E-2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0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1119</v>
      </c>
      <c r="D524" s="642"/>
      <c r="E524" s="681">
        <f>IF(ISERROR(C524/C530),"",C524/C530)</f>
        <v>0.3134453781512605</v>
      </c>
      <c r="F524" s="682"/>
      <c r="G524" s="676"/>
      <c r="H524" s="677"/>
      <c r="I524" s="683" t="s">
        <v>301</v>
      </c>
      <c r="J524" s="684"/>
      <c r="K524" s="638">
        <f t="shared" ref="K524:K529" si="237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8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1833</v>
      </c>
      <c r="D525" s="642"/>
      <c r="E525" s="681">
        <f>IF(ISERROR(C525/C530),"",C525/C530)</f>
        <v>0.51344537815126046</v>
      </c>
      <c r="F525" s="682"/>
      <c r="G525" s="676"/>
      <c r="H525" s="677"/>
      <c r="I525" s="683" t="s">
        <v>302</v>
      </c>
      <c r="J525" s="684"/>
      <c r="K525" s="638">
        <f t="shared" si="237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8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258</v>
      </c>
      <c r="D526" s="642"/>
      <c r="E526" s="681">
        <f>IF(ISERROR(C526/C530),"",C526/C530)</f>
        <v>7.2268907563025217E-2</v>
      </c>
      <c r="F526" s="682"/>
      <c r="G526" s="676"/>
      <c r="H526" s="677"/>
      <c r="I526" s="683" t="s">
        <v>303</v>
      </c>
      <c r="J526" s="684"/>
      <c r="K526" s="638">
        <f t="shared" si="237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8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360</v>
      </c>
      <c r="D527" s="642"/>
      <c r="E527" s="681">
        <f>IF(ISERROR(C527/C530),"",C527/C530)</f>
        <v>0.10084033613445378</v>
      </c>
      <c r="F527" s="682"/>
      <c r="G527" s="676"/>
      <c r="H527" s="677"/>
      <c r="I527" s="683" t="s">
        <v>304</v>
      </c>
      <c r="J527" s="684"/>
      <c r="K527" s="638">
        <f t="shared" si="237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8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0</v>
      </c>
      <c r="D528" s="642"/>
      <c r="E528" s="681">
        <f>IF(ISERROR(C528/C530),"",C528/C530)</f>
        <v>0</v>
      </c>
      <c r="F528" s="682"/>
      <c r="G528" s="676"/>
      <c r="H528" s="677"/>
      <c r="I528" s="683" t="s">
        <v>306</v>
      </c>
      <c r="J528" s="684"/>
      <c r="K528" s="638">
        <f t="shared" si="237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8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0</v>
      </c>
      <c r="D529" s="642"/>
      <c r="E529" s="681">
        <f>IF(ISERROR(C529/C530),"",C529/C530)</f>
        <v>0</v>
      </c>
      <c r="F529" s="682"/>
      <c r="G529" s="676"/>
      <c r="H529" s="677"/>
      <c r="I529" s="683" t="s">
        <v>307</v>
      </c>
      <c r="J529" s="684"/>
      <c r="K529" s="638">
        <f t="shared" si="237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8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3570</v>
      </c>
      <c r="D530" s="642"/>
      <c r="E530" s="681">
        <f>SUM(E524:F529)</f>
        <v>0.99999999999999989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406" t="s">
        <v>309</v>
      </c>
      <c r="D532" s="406" t="s">
        <v>310</v>
      </c>
      <c r="E532" s="406" t="s">
        <v>311</v>
      </c>
      <c r="F532" s="40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0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01" t="s">
        <v>322</v>
      </c>
      <c r="Q532" s="129" t="s">
        <v>323</v>
      </c>
      <c r="R532" s="109" t="s">
        <v>324</v>
      </c>
      <c r="S532" s="406" t="s">
        <v>325</v>
      </c>
      <c r="T532" s="40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38</v>
      </c>
      <c r="D533" s="106"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407">
        <f t="array" ref="S533">IF(ISERROR(Q533/J533),"",Q533/J533)</f>
        <v>1</v>
      </c>
      <c r="T533" s="40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45</v>
      </c>
      <c r="D534" s="110"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/>
      <c r="L534" s="106"/>
      <c r="M534" s="106"/>
      <c r="N534" s="106"/>
      <c r="O534" s="110"/>
      <c r="P534" s="111"/>
      <c r="Q534" s="106">
        <f>J534-K534-L534</f>
        <v>45</v>
      </c>
      <c r="R534" s="109">
        <f>Q534*11-M534-N534</f>
        <v>495</v>
      </c>
      <c r="S534" s="407">
        <f t="array" ref="S534">IF(ISERROR(Q534/J534),"",Q534/J534)</f>
        <v>1</v>
      </c>
      <c r="T534" s="40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10"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07">
        <f t="array" ref="S535">IF(ISERROR(Q535/J535),"",Q535/J535)</f>
        <v>1</v>
      </c>
      <c r="T535" s="40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93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48" activePane="bottomRight" state="frozen"/>
      <selection activeCell="E487" sqref="E487"/>
      <selection pane="topRight" activeCell="E487" sqref="E487"/>
      <selection pane="bottomLeft" activeCell="E487" sqref="E487"/>
      <selection pane="bottomRight" activeCell="G118" sqref="G11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500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489" t="s">
        <v>178</v>
      </c>
      <c r="C7" s="126" t="s">
        <v>179</v>
      </c>
      <c r="D7" s="108">
        <v>5.03</v>
      </c>
      <c r="E7" s="108"/>
      <c r="F7" s="127"/>
      <c r="G7" s="128"/>
      <c r="H7" s="490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8"/>
      <c r="P7" s="498"/>
      <c r="Q7" s="498"/>
      <c r="R7" s="498"/>
      <c r="S7" s="498"/>
      <c r="T7" s="498"/>
      <c r="U7" s="49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0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8"/>
      <c r="Q8" s="498"/>
      <c r="R8" s="498"/>
      <c r="S8" s="498"/>
      <c r="T8" s="498"/>
      <c r="U8" s="49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0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8"/>
      <c r="P9" s="498"/>
      <c r="Q9" s="498"/>
      <c r="R9" s="498"/>
      <c r="S9" s="498"/>
      <c r="T9" s="498"/>
      <c r="U9" s="49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42744</v>
      </c>
      <c r="G10" s="152">
        <f>57+108*3-108</f>
        <v>273</v>
      </c>
      <c r="H10" s="490">
        <f t="shared" si="0"/>
        <v>1373.19</v>
      </c>
      <c r="I10" s="129">
        <f>6*4</f>
        <v>24</v>
      </c>
      <c r="J10" s="130">
        <f t="array" ref="J10">IF(ISERROR(G10/I10),"",G10/I10)</f>
        <v>11.375</v>
      </c>
      <c r="K10" s="131">
        <f t="array" ref="K10">IF(ISERROR(G10/L10),"",G10/L10)</f>
        <v>14.368421052631579</v>
      </c>
      <c r="L10" s="129">
        <v>19</v>
      </c>
      <c r="M10" s="109">
        <f t="shared" si="1"/>
        <v>9.6315789473684212</v>
      </c>
      <c r="N10" s="130">
        <f t="shared" si="4"/>
        <v>0</v>
      </c>
      <c r="O10" s="498"/>
      <c r="P10" s="498"/>
      <c r="Q10" s="498"/>
      <c r="R10" s="498"/>
      <c r="S10" s="498"/>
      <c r="T10" s="498"/>
      <c r="U10" s="498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90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8"/>
      <c r="P11" s="498"/>
      <c r="Q11" s="498"/>
      <c r="R11" s="498"/>
      <c r="S11" s="498"/>
      <c r="T11" s="498"/>
      <c r="U11" s="49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0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98"/>
      <c r="P12" s="498"/>
      <c r="Q12" s="498"/>
      <c r="R12" s="498"/>
      <c r="S12" s="498"/>
      <c r="T12" s="498"/>
      <c r="U12" s="498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90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8"/>
      <c r="P13" s="498"/>
      <c r="Q13" s="498"/>
      <c r="R13" s="498"/>
      <c r="S13" s="498"/>
      <c r="T13" s="498"/>
      <c r="U13" s="49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90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8"/>
      <c r="P14" s="498"/>
      <c r="Q14" s="498"/>
      <c r="R14" s="498"/>
      <c r="S14" s="498"/>
      <c r="T14" s="498"/>
      <c r="U14" s="49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90">
        <f t="shared" si="0"/>
        <v>0</v>
      </c>
      <c r="I15" s="490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8"/>
      <c r="P15" s="498"/>
      <c r="Q15" s="498"/>
      <c r="R15" s="498"/>
      <c r="S15" s="498"/>
      <c r="T15" s="498"/>
      <c r="U15" s="49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90">
        <f t="shared" si="0"/>
        <v>0</v>
      </c>
      <c r="I16" s="490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8"/>
      <c r="P16" s="498"/>
      <c r="Q16" s="498"/>
      <c r="R16" s="498"/>
      <c r="S16" s="498"/>
      <c r="T16" s="498"/>
      <c r="U16" s="49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90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8"/>
      <c r="P17" s="498"/>
      <c r="Q17" s="498"/>
      <c r="R17" s="498"/>
      <c r="S17" s="498"/>
      <c r="T17" s="498"/>
      <c r="U17" s="49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0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8"/>
      <c r="P18" s="498"/>
      <c r="Q18" s="498"/>
      <c r="R18" s="498"/>
      <c r="S18" s="498"/>
      <c r="T18" s="498"/>
      <c r="U18" s="498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90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8"/>
      <c r="P19" s="498"/>
      <c r="Q19" s="498"/>
      <c r="R19" s="498"/>
      <c r="S19" s="498"/>
      <c r="T19" s="498"/>
      <c r="U19" s="498"/>
      <c r="V19" s="132">
        <f t="shared" ref="V19:V21" si="5">SUM(X19:AA19)</f>
        <v>0</v>
      </c>
      <c r="W19" s="491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0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98"/>
      <c r="P20" s="498"/>
      <c r="Q20" s="498"/>
      <c r="R20" s="498"/>
      <c r="S20" s="498"/>
      <c r="T20" s="498"/>
      <c r="U20" s="49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0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98"/>
      <c r="P21" s="498"/>
      <c r="Q21" s="498"/>
      <c r="R21" s="498"/>
      <c r="S21" s="498"/>
      <c r="T21" s="498"/>
      <c r="U21" s="49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490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8"/>
      <c r="P22" s="498"/>
      <c r="Q22" s="498"/>
      <c r="R22" s="498"/>
      <c r="S22" s="498"/>
      <c r="T22" s="498"/>
      <c r="U22" s="49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490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8"/>
      <c r="P23" s="498"/>
      <c r="Q23" s="498"/>
      <c r="R23" s="498"/>
      <c r="S23" s="498"/>
      <c r="T23" s="498"/>
      <c r="U23" s="49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490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8"/>
      <c r="P24" s="498"/>
      <c r="Q24" s="498"/>
      <c r="R24" s="498"/>
      <c r="S24" s="498"/>
      <c r="T24" s="498"/>
      <c r="U24" s="49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490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8"/>
      <c r="P25" s="498"/>
      <c r="Q25" s="498"/>
      <c r="R25" s="498"/>
      <c r="S25" s="498"/>
      <c r="T25" s="498"/>
      <c r="U25" s="498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0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8"/>
      <c r="P26" s="498"/>
      <c r="Q26" s="498"/>
      <c r="R26" s="498"/>
      <c r="S26" s="498"/>
      <c r="T26" s="498"/>
      <c r="U26" s="498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0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8"/>
      <c r="P27" s="498"/>
      <c r="Q27" s="498"/>
      <c r="R27" s="498"/>
      <c r="S27" s="498"/>
      <c r="T27" s="498"/>
      <c r="U27" s="49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499" t="s">
        <v>202</v>
      </c>
      <c r="D28" s="143"/>
      <c r="E28" s="143"/>
      <c r="F28" s="144"/>
      <c r="G28" s="145">
        <f>SUM(G7:G27)</f>
        <v>273</v>
      </c>
      <c r="H28" s="146">
        <f>SUM(H7:H27)</f>
        <v>1373.19</v>
      </c>
      <c r="I28" s="146">
        <f>SUM(I7:I27)</f>
        <v>24</v>
      </c>
      <c r="J28" s="130">
        <f t="array" ref="J28">IF(ISERROR(G28/I28),"",G28/I28)</f>
        <v>11.375</v>
      </c>
      <c r="K28" s="146">
        <f>SUM(K7:K27)</f>
        <v>14.368421052631579</v>
      </c>
      <c r="L28" s="147"/>
      <c r="M28" s="146">
        <f t="shared" ref="M28:V28" si="10">SUM(M7:M27)</f>
        <v>9.6315789473684212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9" t="s">
        <v>206</v>
      </c>
      <c r="C29" s="126" t="s">
        <v>199</v>
      </c>
      <c r="D29" s="108">
        <v>5.03</v>
      </c>
      <c r="E29" s="108"/>
      <c r="F29" s="127"/>
      <c r="G29" s="128"/>
      <c r="H29" s="490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94"/>
      <c r="P29" s="494"/>
      <c r="Q29" s="494"/>
      <c r="R29" s="494"/>
      <c r="S29" s="494"/>
      <c r="T29" s="494"/>
      <c r="U29" s="49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9" t="s">
        <v>425</v>
      </c>
      <c r="C30" s="187" t="s">
        <v>427</v>
      </c>
      <c r="D30" s="108">
        <v>5.03</v>
      </c>
      <c r="E30" s="108"/>
      <c r="F30" s="127"/>
      <c r="G30" s="128"/>
      <c r="H30" s="490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94"/>
      <c r="P30" s="494"/>
      <c r="Q30" s="494"/>
      <c r="R30" s="494"/>
      <c r="S30" s="494"/>
      <c r="T30" s="494"/>
      <c r="U30" s="49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9" t="s">
        <v>206</v>
      </c>
      <c r="C31" s="126" t="s">
        <v>186</v>
      </c>
      <c r="D31" s="108">
        <v>5.03</v>
      </c>
      <c r="E31" s="108"/>
      <c r="F31" s="127"/>
      <c r="G31" s="128"/>
      <c r="H31" s="490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94"/>
      <c r="P31" s="494"/>
      <c r="Q31" s="494"/>
      <c r="R31" s="494"/>
      <c r="S31" s="494"/>
      <c r="T31" s="494"/>
      <c r="U31" s="49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9" t="s">
        <v>206</v>
      </c>
      <c r="C32" s="126" t="s">
        <v>203</v>
      </c>
      <c r="D32" s="108">
        <v>5.03</v>
      </c>
      <c r="E32" s="108"/>
      <c r="F32" s="127"/>
      <c r="G32" s="128"/>
      <c r="H32" s="490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94"/>
      <c r="P32" s="494"/>
      <c r="Q32" s="494"/>
      <c r="R32" s="494"/>
      <c r="S32" s="494"/>
      <c r="T32" s="494"/>
      <c r="U32" s="49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89" t="s">
        <v>206</v>
      </c>
      <c r="C33" s="126" t="s">
        <v>207</v>
      </c>
      <c r="D33" s="108">
        <v>5.03</v>
      </c>
      <c r="E33" s="108"/>
      <c r="F33" s="127">
        <v>42743</v>
      </c>
      <c r="G33" s="128">
        <f>76+108*3+13+95+116</f>
        <v>624</v>
      </c>
      <c r="H33" s="490">
        <f t="shared" si="11"/>
        <v>3138.7200000000003</v>
      </c>
      <c r="I33" s="129">
        <f>3*2+1*2</f>
        <v>8</v>
      </c>
      <c r="J33" s="130">
        <f t="array" ref="J33">IF(ISERROR(G33/I33),"",G33/I33)</f>
        <v>78</v>
      </c>
      <c r="K33" s="131">
        <f t="array" ref="K33">IF(ISERROR(G33/L33),"",G33/L33)</f>
        <v>12</v>
      </c>
      <c r="L33" s="129">
        <v>52</v>
      </c>
      <c r="M33" s="109">
        <f t="shared" si="15"/>
        <v>-4</v>
      </c>
      <c r="N33" s="130">
        <f t="shared" si="16"/>
        <v>0</v>
      </c>
      <c r="O33" s="494"/>
      <c r="P33" s="494"/>
      <c r="Q33" s="494"/>
      <c r="R33" s="494"/>
      <c r="S33" s="494"/>
      <c r="T33" s="494"/>
      <c r="U33" s="494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9" t="s">
        <v>414</v>
      </c>
      <c r="C34" s="187" t="s">
        <v>415</v>
      </c>
      <c r="D34" s="108">
        <v>5.03</v>
      </c>
      <c r="E34" s="108"/>
      <c r="F34" s="127"/>
      <c r="G34" s="128"/>
      <c r="H34" s="490">
        <f t="shared" si="11"/>
        <v>0</v>
      </c>
      <c r="I34" s="129"/>
      <c r="J34" s="130"/>
      <c r="K34" s="131"/>
      <c r="L34" s="129">
        <v>52</v>
      </c>
      <c r="M34" s="109"/>
      <c r="N34" s="130"/>
      <c r="O34" s="494"/>
      <c r="P34" s="494"/>
      <c r="Q34" s="494"/>
      <c r="R34" s="494"/>
      <c r="S34" s="494"/>
      <c r="T34" s="494"/>
      <c r="U34" s="49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9" t="s">
        <v>414</v>
      </c>
      <c r="C35" s="187" t="s">
        <v>416</v>
      </c>
      <c r="D35" s="108">
        <v>5.03</v>
      </c>
      <c r="E35" s="108"/>
      <c r="F35" s="127"/>
      <c r="G35" s="128"/>
      <c r="H35" s="490">
        <f t="shared" si="11"/>
        <v>0</v>
      </c>
      <c r="I35" s="129"/>
      <c r="J35" s="130"/>
      <c r="K35" s="131"/>
      <c r="L35" s="129">
        <v>52</v>
      </c>
      <c r="M35" s="109"/>
      <c r="N35" s="130"/>
      <c r="O35" s="494"/>
      <c r="P35" s="494"/>
      <c r="Q35" s="494"/>
      <c r="R35" s="494"/>
      <c r="S35" s="494"/>
      <c r="T35" s="494"/>
      <c r="U35" s="49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9" t="s">
        <v>414</v>
      </c>
      <c r="C36" s="187" t="s">
        <v>61</v>
      </c>
      <c r="D36" s="108">
        <v>5.03</v>
      </c>
      <c r="E36" s="108"/>
      <c r="F36" s="127"/>
      <c r="G36" s="128"/>
      <c r="H36" s="490">
        <f t="shared" si="11"/>
        <v>0</v>
      </c>
      <c r="I36" s="129"/>
      <c r="J36" s="130"/>
      <c r="K36" s="131"/>
      <c r="L36" s="129">
        <v>52</v>
      </c>
      <c r="M36" s="109"/>
      <c r="N36" s="130"/>
      <c r="O36" s="494"/>
      <c r="P36" s="494"/>
      <c r="Q36" s="494"/>
      <c r="R36" s="494"/>
      <c r="S36" s="494"/>
      <c r="T36" s="494"/>
      <c r="U36" s="49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9" t="s">
        <v>208</v>
      </c>
      <c r="C37" s="126" t="s">
        <v>179</v>
      </c>
      <c r="D37" s="108">
        <v>5.08</v>
      </c>
      <c r="E37" s="108"/>
      <c r="F37" s="127"/>
      <c r="G37" s="128"/>
      <c r="H37" s="490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94"/>
      <c r="P37" s="494"/>
      <c r="Q37" s="494"/>
      <c r="R37" s="494"/>
      <c r="S37" s="494"/>
      <c r="T37" s="494"/>
      <c r="U37" s="49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9" t="s">
        <v>208</v>
      </c>
      <c r="C38" s="126" t="s">
        <v>204</v>
      </c>
      <c r="D38" s="108">
        <v>5.08</v>
      </c>
      <c r="E38" s="108"/>
      <c r="F38" s="127"/>
      <c r="G38" s="128"/>
      <c r="H38" s="490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94"/>
      <c r="P38" s="494"/>
      <c r="Q38" s="494"/>
      <c r="R38" s="494"/>
      <c r="S38" s="494"/>
      <c r="T38" s="494"/>
      <c r="U38" s="49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9" t="s">
        <v>208</v>
      </c>
      <c r="C39" s="126" t="s">
        <v>205</v>
      </c>
      <c r="D39" s="108">
        <v>5.08</v>
      </c>
      <c r="E39" s="108"/>
      <c r="F39" s="127"/>
      <c r="G39" s="128"/>
      <c r="H39" s="490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94"/>
      <c r="P39" s="494"/>
      <c r="Q39" s="494"/>
      <c r="R39" s="494"/>
      <c r="S39" s="494"/>
      <c r="T39" s="494"/>
      <c r="U39" s="49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9" t="s">
        <v>208</v>
      </c>
      <c r="C40" s="126" t="s">
        <v>186</v>
      </c>
      <c r="D40" s="108">
        <v>5.08</v>
      </c>
      <c r="E40" s="108"/>
      <c r="F40" s="127"/>
      <c r="G40" s="128"/>
      <c r="H40" s="490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94"/>
      <c r="P40" s="494"/>
      <c r="Q40" s="494"/>
      <c r="R40" s="494"/>
      <c r="S40" s="494"/>
      <c r="T40" s="494"/>
      <c r="U40" s="49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9" t="s">
        <v>208</v>
      </c>
      <c r="C41" s="126" t="s">
        <v>203</v>
      </c>
      <c r="D41" s="108">
        <v>5.08</v>
      </c>
      <c r="E41" s="108"/>
      <c r="F41" s="127"/>
      <c r="G41" s="128"/>
      <c r="H41" s="490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94"/>
      <c r="P41" s="494"/>
      <c r="Q41" s="494"/>
      <c r="R41" s="494"/>
      <c r="S41" s="494"/>
      <c r="T41" s="494"/>
      <c r="U41" s="49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89" t="s">
        <v>208</v>
      </c>
      <c r="C42" s="126" t="s">
        <v>199</v>
      </c>
      <c r="D42" s="108">
        <v>5.08</v>
      </c>
      <c r="E42" s="108"/>
      <c r="F42" s="127">
        <v>42744</v>
      </c>
      <c r="G42" s="128">
        <f>108*6+38+108</f>
        <v>794</v>
      </c>
      <c r="H42" s="490">
        <f t="shared" si="11"/>
        <v>4033.52</v>
      </c>
      <c r="I42" s="129">
        <f>11*3</f>
        <v>33</v>
      </c>
      <c r="J42" s="130">
        <f t="array" ref="J42">IF(ISERROR(G42/I42),"",G42/I42)</f>
        <v>24.060606060606062</v>
      </c>
      <c r="K42" s="131">
        <f t="array" ref="K42">IF(ISERROR(G42/L42),"",G42/L42)</f>
        <v>37.80952380952381</v>
      </c>
      <c r="L42" s="129">
        <v>21</v>
      </c>
      <c r="M42" s="109">
        <f t="shared" si="19"/>
        <v>-4.8095238095238102</v>
      </c>
      <c r="N42" s="130">
        <f t="shared" si="20"/>
        <v>0</v>
      </c>
      <c r="O42" s="498"/>
      <c r="P42" s="498"/>
      <c r="Q42" s="498"/>
      <c r="R42" s="498"/>
      <c r="S42" s="498"/>
      <c r="T42" s="498"/>
      <c r="U42" s="498"/>
      <c r="V42" s="132">
        <f t="shared" si="21"/>
        <v>0</v>
      </c>
      <c r="W42" s="133">
        <f t="shared" si="22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9" t="s">
        <v>208</v>
      </c>
      <c r="C43" s="126" t="s">
        <v>187</v>
      </c>
      <c r="D43" s="108">
        <v>5.08</v>
      </c>
      <c r="E43" s="108"/>
      <c r="F43" s="127"/>
      <c r="G43" s="128"/>
      <c r="H43" s="490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94"/>
      <c r="P43" s="494"/>
      <c r="Q43" s="494"/>
      <c r="R43" s="494"/>
      <c r="S43" s="494"/>
      <c r="T43" s="494"/>
      <c r="U43" s="49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9" t="s">
        <v>208</v>
      </c>
      <c r="C44" s="126" t="s">
        <v>207</v>
      </c>
      <c r="D44" s="108">
        <v>5.08</v>
      </c>
      <c r="E44" s="108"/>
      <c r="F44" s="127"/>
      <c r="G44" s="128"/>
      <c r="H44" s="490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8"/>
      <c r="P44" s="498"/>
      <c r="Q44" s="498"/>
      <c r="R44" s="498"/>
      <c r="S44" s="498"/>
      <c r="T44" s="498"/>
      <c r="U44" s="49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9" t="s">
        <v>209</v>
      </c>
      <c r="C45" s="126" t="s">
        <v>194</v>
      </c>
      <c r="D45" s="108">
        <v>5.03</v>
      </c>
      <c r="E45" s="108"/>
      <c r="F45" s="127"/>
      <c r="G45" s="128"/>
      <c r="H45" s="490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94"/>
      <c r="P45" s="494"/>
      <c r="Q45" s="494"/>
      <c r="R45" s="494"/>
      <c r="S45" s="494"/>
      <c r="T45" s="494"/>
      <c r="U45" s="49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9" t="s">
        <v>209</v>
      </c>
      <c r="C46" s="126" t="s">
        <v>179</v>
      </c>
      <c r="D46" s="108">
        <v>5.03</v>
      </c>
      <c r="E46" s="108"/>
      <c r="F46" s="127"/>
      <c r="G46" s="128"/>
      <c r="H46" s="490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94"/>
      <c r="P46" s="494"/>
      <c r="Q46" s="494"/>
      <c r="R46" s="494"/>
      <c r="S46" s="494"/>
      <c r="T46" s="494"/>
      <c r="U46" s="49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9" t="s">
        <v>209</v>
      </c>
      <c r="C47" s="126" t="s">
        <v>195</v>
      </c>
      <c r="D47" s="108">
        <v>5.03</v>
      </c>
      <c r="E47" s="108"/>
      <c r="F47" s="127"/>
      <c r="G47" s="128"/>
      <c r="H47" s="490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94"/>
      <c r="P47" s="494"/>
      <c r="Q47" s="494"/>
      <c r="R47" s="494"/>
      <c r="S47" s="494"/>
      <c r="T47" s="494"/>
      <c r="U47" s="49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9" t="s">
        <v>209</v>
      </c>
      <c r="C48" s="126" t="s">
        <v>204</v>
      </c>
      <c r="D48" s="108">
        <v>5.03</v>
      </c>
      <c r="E48" s="108"/>
      <c r="F48" s="127">
        <v>42743</v>
      </c>
      <c r="G48" s="128">
        <f>108*8+108+4</f>
        <v>976</v>
      </c>
      <c r="H48" s="490">
        <f t="shared" si="11"/>
        <v>4909.2800000000007</v>
      </c>
      <c r="I48" s="129">
        <f>5*2</f>
        <v>10</v>
      </c>
      <c r="J48" s="130">
        <f t="array" ref="J48">IF(ISERROR(G48/I48),"",G48/I48)</f>
        <v>97.6</v>
      </c>
      <c r="K48" s="131">
        <f t="array" ref="K48">IF(ISERROR(G48/L48),"",G48/L48)</f>
        <v>17.428571428571427</v>
      </c>
      <c r="L48" s="129">
        <v>56</v>
      </c>
      <c r="M48" s="109">
        <f t="shared" si="19"/>
        <v>-7.428571428571427</v>
      </c>
      <c r="N48" s="130">
        <f t="shared" si="20"/>
        <v>0</v>
      </c>
      <c r="O48" s="494"/>
      <c r="P48" s="494"/>
      <c r="Q48" s="494"/>
      <c r="R48" s="494"/>
      <c r="S48" s="494"/>
      <c r="T48" s="494"/>
      <c r="U48" s="49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9" t="s">
        <v>382</v>
      </c>
      <c r="C49" s="187" t="s">
        <v>383</v>
      </c>
      <c r="D49" s="108">
        <v>5.03</v>
      </c>
      <c r="E49" s="108"/>
      <c r="F49" s="127"/>
      <c r="G49" s="128"/>
      <c r="H49" s="490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94"/>
      <c r="P49" s="494"/>
      <c r="Q49" s="494"/>
      <c r="R49" s="494"/>
      <c r="S49" s="494"/>
      <c r="T49" s="494"/>
      <c r="U49" s="49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9" t="s">
        <v>382</v>
      </c>
      <c r="C50" s="187" t="s">
        <v>384</v>
      </c>
      <c r="D50" s="108">
        <v>5.03</v>
      </c>
      <c r="E50" s="108"/>
      <c r="F50" s="127"/>
      <c r="G50" s="128"/>
      <c r="H50" s="490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94"/>
      <c r="P50" s="494"/>
      <c r="Q50" s="494"/>
      <c r="R50" s="494"/>
      <c r="S50" s="494"/>
      <c r="T50" s="494"/>
      <c r="U50" s="49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9" t="s">
        <v>382</v>
      </c>
      <c r="C51" s="187" t="s">
        <v>389</v>
      </c>
      <c r="D51" s="108">
        <v>5.03</v>
      </c>
      <c r="E51" s="108"/>
      <c r="F51" s="127"/>
      <c r="G51" s="128"/>
      <c r="H51" s="490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94"/>
      <c r="P51" s="494"/>
      <c r="Q51" s="494"/>
      <c r="R51" s="494"/>
      <c r="S51" s="494"/>
      <c r="T51" s="494"/>
      <c r="U51" s="49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9" t="s">
        <v>382</v>
      </c>
      <c r="C52" s="187" t="s">
        <v>391</v>
      </c>
      <c r="D52" s="108">
        <v>5.03</v>
      </c>
      <c r="E52" s="108"/>
      <c r="F52" s="127"/>
      <c r="G52" s="128"/>
      <c r="H52" s="490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94"/>
      <c r="P52" s="494"/>
      <c r="Q52" s="494"/>
      <c r="R52" s="494"/>
      <c r="S52" s="494"/>
      <c r="T52" s="494"/>
      <c r="U52" s="49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9" t="s">
        <v>418</v>
      </c>
      <c r="C53" s="187" t="s">
        <v>364</v>
      </c>
      <c r="D53" s="108">
        <v>5.03</v>
      </c>
      <c r="E53" s="108"/>
      <c r="F53" s="127"/>
      <c r="G53" s="128"/>
      <c r="H53" s="490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94"/>
      <c r="P53" s="494"/>
      <c r="Q53" s="494"/>
      <c r="R53" s="494"/>
      <c r="S53" s="494"/>
      <c r="T53" s="494"/>
      <c r="U53" s="49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9" t="s">
        <v>418</v>
      </c>
      <c r="C54" s="187" t="s">
        <v>365</v>
      </c>
      <c r="D54" s="108">
        <v>5.03</v>
      </c>
      <c r="E54" s="108"/>
      <c r="F54" s="127"/>
      <c r="G54" s="128"/>
      <c r="H54" s="490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94"/>
      <c r="P54" s="494"/>
      <c r="Q54" s="494"/>
      <c r="R54" s="494"/>
      <c r="S54" s="494"/>
      <c r="T54" s="494"/>
      <c r="U54" s="49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9" t="s">
        <v>418</v>
      </c>
      <c r="C55" s="187" t="s">
        <v>366</v>
      </c>
      <c r="D55" s="108">
        <v>5.03</v>
      </c>
      <c r="E55" s="108"/>
      <c r="F55" s="127"/>
      <c r="G55" s="128"/>
      <c r="H55" s="490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94"/>
      <c r="P55" s="494"/>
      <c r="Q55" s="494"/>
      <c r="R55" s="494"/>
      <c r="S55" s="494"/>
      <c r="T55" s="494"/>
      <c r="U55" s="49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9" t="s">
        <v>418</v>
      </c>
      <c r="C56" s="187" t="s">
        <v>367</v>
      </c>
      <c r="D56" s="108">
        <v>5.03</v>
      </c>
      <c r="E56" s="108"/>
      <c r="F56" s="127"/>
      <c r="G56" s="128"/>
      <c r="H56" s="490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94"/>
      <c r="P56" s="494"/>
      <c r="Q56" s="494"/>
      <c r="R56" s="494"/>
      <c r="S56" s="494"/>
      <c r="T56" s="494"/>
      <c r="U56" s="49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0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8"/>
      <c r="P57" s="498"/>
      <c r="Q57" s="498"/>
      <c r="R57" s="498"/>
      <c r="S57" s="498"/>
      <c r="T57" s="498"/>
      <c r="U57" s="498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0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8"/>
      <c r="P58" s="498"/>
      <c r="Q58" s="498"/>
      <c r="R58" s="498"/>
      <c r="S58" s="498"/>
      <c r="T58" s="498"/>
      <c r="U58" s="49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0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8"/>
      <c r="P59" s="498"/>
      <c r="Q59" s="498"/>
      <c r="R59" s="498"/>
      <c r="S59" s="498"/>
      <c r="T59" s="498"/>
      <c r="U59" s="49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0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8"/>
      <c r="P60" s="498"/>
      <c r="Q60" s="498"/>
      <c r="R60" s="498"/>
      <c r="S60" s="498"/>
      <c r="T60" s="498"/>
      <c r="U60" s="49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0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8"/>
      <c r="P61" s="498"/>
      <c r="Q61" s="498"/>
      <c r="R61" s="498"/>
      <c r="S61" s="498"/>
      <c r="T61" s="498"/>
      <c r="U61" s="49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0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8"/>
      <c r="P62" s="498"/>
      <c r="Q62" s="498"/>
      <c r="R62" s="498"/>
      <c r="S62" s="498"/>
      <c r="T62" s="498"/>
      <c r="U62" s="49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0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8"/>
      <c r="P63" s="498"/>
      <c r="Q63" s="498"/>
      <c r="R63" s="498"/>
      <c r="S63" s="498"/>
      <c r="T63" s="498"/>
      <c r="U63" s="49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42744</v>
      </c>
      <c r="G64" s="128">
        <f>90+90+90</f>
        <v>270</v>
      </c>
      <c r="H64" s="490">
        <f t="shared" si="11"/>
        <v>1358.1000000000001</v>
      </c>
      <c r="I64" s="129">
        <v>4</v>
      </c>
      <c r="J64" s="130">
        <f t="array" ref="J64">IF(ISERROR(G64/I64),"",G64/I64)</f>
        <v>67.5</v>
      </c>
      <c r="K64" s="131">
        <f t="array" ref="K64">IF(ISERROR(G64/L64),"",G64/L64)</f>
        <v>5.4</v>
      </c>
      <c r="L64" s="129">
        <v>50</v>
      </c>
      <c r="M64" s="109">
        <f t="shared" si="19"/>
        <v>-1.4000000000000004</v>
      </c>
      <c r="N64" s="130">
        <f t="shared" si="23"/>
        <v>0</v>
      </c>
      <c r="O64" s="498"/>
      <c r="P64" s="498"/>
      <c r="Q64" s="498"/>
      <c r="R64" s="498"/>
      <c r="S64" s="498"/>
      <c r="T64" s="498"/>
      <c r="U64" s="498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0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8"/>
      <c r="P65" s="498"/>
      <c r="Q65" s="498"/>
      <c r="R65" s="498"/>
      <c r="S65" s="498"/>
      <c r="T65" s="498"/>
      <c r="U65" s="49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0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8"/>
      <c r="P66" s="498"/>
      <c r="Q66" s="498"/>
      <c r="R66" s="498"/>
      <c r="S66" s="498"/>
      <c r="T66" s="498"/>
      <c r="U66" s="49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0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8"/>
      <c r="P67" s="498"/>
      <c r="Q67" s="498"/>
      <c r="R67" s="498"/>
      <c r="S67" s="498"/>
      <c r="T67" s="498"/>
      <c r="U67" s="49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0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8"/>
      <c r="P68" s="498"/>
      <c r="Q68" s="498"/>
      <c r="R68" s="498"/>
      <c r="S68" s="498"/>
      <c r="T68" s="498"/>
      <c r="U68" s="498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0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8"/>
      <c r="P69" s="498"/>
      <c r="Q69" s="498"/>
      <c r="R69" s="498"/>
      <c r="S69" s="498"/>
      <c r="T69" s="498"/>
      <c r="U69" s="498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0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8"/>
      <c r="P70" s="498"/>
      <c r="Q70" s="498"/>
      <c r="R70" s="498"/>
      <c r="S70" s="498"/>
      <c r="T70" s="498"/>
      <c r="U70" s="49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0">
        <f t="shared" si="11"/>
        <v>0</v>
      </c>
      <c r="I71" s="129"/>
      <c r="J71" s="130"/>
      <c r="K71" s="131"/>
      <c r="L71" s="129"/>
      <c r="M71" s="109"/>
      <c r="N71" s="130"/>
      <c r="O71" s="498"/>
      <c r="P71" s="498"/>
      <c r="Q71" s="498"/>
      <c r="R71" s="498"/>
      <c r="S71" s="498"/>
      <c r="T71" s="498"/>
      <c r="U71" s="49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0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8"/>
      <c r="P72" s="498"/>
      <c r="Q72" s="498"/>
      <c r="R72" s="498"/>
      <c r="S72" s="498"/>
      <c r="T72" s="498"/>
      <c r="U72" s="49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0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8"/>
      <c r="P73" s="498"/>
      <c r="Q73" s="498"/>
      <c r="R73" s="498"/>
      <c r="S73" s="498"/>
      <c r="T73" s="498"/>
      <c r="U73" s="49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0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8"/>
      <c r="P74" s="498"/>
      <c r="Q74" s="498"/>
      <c r="R74" s="498"/>
      <c r="S74" s="498"/>
      <c r="T74" s="498"/>
      <c r="U74" s="49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90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8"/>
      <c r="P75" s="498"/>
      <c r="Q75" s="498"/>
      <c r="R75" s="498"/>
      <c r="S75" s="498"/>
      <c r="T75" s="498"/>
      <c r="U75" s="49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0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8"/>
      <c r="P76" s="498"/>
      <c r="Q76" s="498"/>
      <c r="R76" s="498"/>
      <c r="S76" s="498"/>
      <c r="T76" s="498"/>
      <c r="U76" s="49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0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8"/>
      <c r="P77" s="498"/>
      <c r="Q77" s="498"/>
      <c r="R77" s="498"/>
      <c r="S77" s="498"/>
      <c r="T77" s="498"/>
      <c r="U77" s="49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0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8"/>
      <c r="P78" s="498"/>
      <c r="Q78" s="498"/>
      <c r="R78" s="498"/>
      <c r="S78" s="498"/>
      <c r="T78" s="498"/>
      <c r="U78" s="49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0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8"/>
      <c r="P79" s="498"/>
      <c r="Q79" s="498"/>
      <c r="R79" s="498"/>
      <c r="S79" s="498"/>
      <c r="T79" s="498"/>
      <c r="U79" s="49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0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8"/>
      <c r="P80" s="498"/>
      <c r="Q80" s="498"/>
      <c r="R80" s="498"/>
      <c r="S80" s="498"/>
      <c r="T80" s="498"/>
      <c r="U80" s="49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0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8"/>
      <c r="P81" s="498"/>
      <c r="Q81" s="498"/>
      <c r="R81" s="498"/>
      <c r="S81" s="498"/>
      <c r="T81" s="498"/>
      <c r="U81" s="49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0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8"/>
      <c r="P82" s="498"/>
      <c r="Q82" s="498"/>
      <c r="R82" s="498"/>
      <c r="S82" s="498"/>
      <c r="T82" s="498"/>
      <c r="U82" s="49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0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8"/>
      <c r="P83" s="498"/>
      <c r="Q83" s="498"/>
      <c r="R83" s="498"/>
      <c r="S83" s="498"/>
      <c r="T83" s="498"/>
      <c r="U83" s="49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0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8"/>
      <c r="P84" s="498"/>
      <c r="Q84" s="498"/>
      <c r="R84" s="498"/>
      <c r="S84" s="498"/>
      <c r="T84" s="498"/>
      <c r="U84" s="49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0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8"/>
      <c r="P85" s="498"/>
      <c r="Q85" s="498"/>
      <c r="R85" s="498"/>
      <c r="S85" s="498"/>
      <c r="T85" s="498"/>
      <c r="U85" s="498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99" t="s">
        <v>202</v>
      </c>
      <c r="D86" s="143"/>
      <c r="E86" s="143"/>
      <c r="F86" s="144"/>
      <c r="G86" s="145">
        <f>SUM(G29:G85)</f>
        <v>2664</v>
      </c>
      <c r="H86" s="146">
        <f>SUM(H29:H85)</f>
        <v>13439.62</v>
      </c>
      <c r="I86" s="146">
        <f>SUM(I29:I85)</f>
        <v>55</v>
      </c>
      <c r="J86" s="130">
        <f t="array" ref="J86">IF(ISERROR(G86/I86),"",G86/I86)</f>
        <v>48.436363636363637</v>
      </c>
      <c r="K86" s="146">
        <f>SUM(K29:K85)</f>
        <v>72.638095238095246</v>
      </c>
      <c r="L86" s="147"/>
      <c r="M86" s="150">
        <f t="shared" ref="M86:V86" si="34">SUM(M29:M85)</f>
        <v>-17.638095238095239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9" t="s">
        <v>217</v>
      </c>
      <c r="C87" s="126" t="s">
        <v>179</v>
      </c>
      <c r="D87" s="108">
        <v>5.03</v>
      </c>
      <c r="E87" s="108"/>
      <c r="F87" s="127"/>
      <c r="G87" s="128"/>
      <c r="H87" s="490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8"/>
      <c r="P87" s="498"/>
      <c r="Q87" s="498"/>
      <c r="R87" s="498"/>
      <c r="S87" s="498"/>
      <c r="T87" s="498"/>
      <c r="U87" s="49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9" t="s">
        <v>217</v>
      </c>
      <c r="C88" s="126" t="s">
        <v>186</v>
      </c>
      <c r="D88" s="108">
        <v>5.03</v>
      </c>
      <c r="E88" s="108"/>
      <c r="F88" s="127"/>
      <c r="G88" s="128"/>
      <c r="H88" s="490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8"/>
      <c r="P88" s="498"/>
      <c r="Q88" s="498"/>
      <c r="R88" s="498"/>
      <c r="S88" s="498"/>
      <c r="T88" s="498"/>
      <c r="U88" s="49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9" t="s">
        <v>217</v>
      </c>
      <c r="C89" s="126" t="s">
        <v>204</v>
      </c>
      <c r="D89" s="108">
        <v>5.03</v>
      </c>
      <c r="E89" s="108"/>
      <c r="F89" s="127"/>
      <c r="G89" s="128"/>
      <c r="H89" s="490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8"/>
      <c r="P89" s="498"/>
      <c r="Q89" s="498"/>
      <c r="R89" s="498"/>
      <c r="S89" s="498"/>
      <c r="T89" s="498"/>
      <c r="U89" s="49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0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8"/>
      <c r="P90" s="498"/>
      <c r="Q90" s="498"/>
      <c r="R90" s="498"/>
      <c r="S90" s="498"/>
      <c r="T90" s="498"/>
      <c r="U90" s="49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0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8"/>
      <c r="P91" s="498"/>
      <c r="Q91" s="498"/>
      <c r="R91" s="498"/>
      <c r="S91" s="498"/>
      <c r="T91" s="498"/>
      <c r="U91" s="49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0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8"/>
      <c r="P92" s="498"/>
      <c r="Q92" s="498"/>
      <c r="R92" s="498"/>
      <c r="S92" s="498"/>
      <c r="T92" s="498"/>
      <c r="U92" s="49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0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8"/>
      <c r="P93" s="498"/>
      <c r="Q93" s="498"/>
      <c r="R93" s="498"/>
      <c r="S93" s="498"/>
      <c r="T93" s="498"/>
      <c r="U93" s="49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90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8"/>
      <c r="P94" s="498"/>
      <c r="Q94" s="498"/>
      <c r="R94" s="498"/>
      <c r="S94" s="498"/>
      <c r="T94" s="498"/>
      <c r="U94" s="49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0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8"/>
      <c r="P95" s="498"/>
      <c r="Q95" s="498"/>
      <c r="R95" s="498"/>
      <c r="S95" s="498"/>
      <c r="T95" s="498"/>
      <c r="U95" s="49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0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8"/>
      <c r="P96" s="498"/>
      <c r="Q96" s="498"/>
      <c r="R96" s="498"/>
      <c r="S96" s="498"/>
      <c r="T96" s="498"/>
      <c r="U96" s="49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0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8"/>
      <c r="P97" s="498"/>
      <c r="Q97" s="498"/>
      <c r="R97" s="498"/>
      <c r="S97" s="498"/>
      <c r="T97" s="498"/>
      <c r="U97" s="49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0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8"/>
      <c r="P98" s="498"/>
      <c r="Q98" s="498"/>
      <c r="R98" s="498"/>
      <c r="S98" s="498"/>
      <c r="T98" s="498"/>
      <c r="U98" s="49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90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8"/>
      <c r="P99" s="498"/>
      <c r="Q99" s="498"/>
      <c r="R99" s="498"/>
      <c r="S99" s="498"/>
      <c r="T99" s="498"/>
      <c r="U99" s="49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0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8"/>
      <c r="P100" s="498"/>
      <c r="Q100" s="498"/>
      <c r="R100" s="498"/>
      <c r="S100" s="498"/>
      <c r="T100" s="498"/>
      <c r="U100" s="49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0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8"/>
      <c r="P101" s="498"/>
      <c r="Q101" s="498"/>
      <c r="R101" s="498"/>
      <c r="S101" s="498"/>
      <c r="T101" s="498"/>
      <c r="U101" s="49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0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8"/>
      <c r="P102" s="498"/>
      <c r="Q102" s="498"/>
      <c r="R102" s="498"/>
      <c r="S102" s="498"/>
      <c r="T102" s="498"/>
      <c r="U102" s="49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0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8"/>
      <c r="P103" s="498"/>
      <c r="Q103" s="498"/>
      <c r="R103" s="498"/>
      <c r="S103" s="498"/>
      <c r="T103" s="498"/>
      <c r="U103" s="49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0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8"/>
      <c r="P104" s="498"/>
      <c r="Q104" s="498"/>
      <c r="R104" s="498"/>
      <c r="S104" s="498"/>
      <c r="T104" s="498"/>
      <c r="U104" s="49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0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8"/>
      <c r="P105" s="498"/>
      <c r="Q105" s="498"/>
      <c r="R105" s="498"/>
      <c r="S105" s="498"/>
      <c r="T105" s="498"/>
      <c r="U105" s="49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0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8"/>
      <c r="P106" s="498"/>
      <c r="Q106" s="498"/>
      <c r="R106" s="498"/>
      <c r="S106" s="498"/>
      <c r="T106" s="498"/>
      <c r="U106" s="49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9" t="s">
        <v>393</v>
      </c>
      <c r="C107" s="187" t="s">
        <v>395</v>
      </c>
      <c r="D107" s="108">
        <v>5</v>
      </c>
      <c r="E107" s="108"/>
      <c r="F107" s="127"/>
      <c r="G107" s="128"/>
      <c r="H107" s="490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8"/>
      <c r="P107" s="498"/>
      <c r="Q107" s="498"/>
      <c r="R107" s="498"/>
      <c r="S107" s="498"/>
      <c r="T107" s="498"/>
      <c r="U107" s="49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9" t="s">
        <v>393</v>
      </c>
      <c r="C108" s="187" t="s">
        <v>402</v>
      </c>
      <c r="D108" s="108">
        <v>5</v>
      </c>
      <c r="E108" s="108"/>
      <c r="F108" s="127"/>
      <c r="G108" s="128"/>
      <c r="H108" s="490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8"/>
      <c r="P108" s="498"/>
      <c r="Q108" s="498"/>
      <c r="R108" s="498"/>
      <c r="S108" s="498"/>
      <c r="T108" s="498"/>
      <c r="U108" s="498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9" t="s">
        <v>404</v>
      </c>
      <c r="C109" s="187" t="s">
        <v>405</v>
      </c>
      <c r="D109" s="108">
        <v>5</v>
      </c>
      <c r="E109" s="108"/>
      <c r="F109" s="127"/>
      <c r="G109" s="128"/>
      <c r="H109" s="490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8"/>
      <c r="P109" s="498"/>
      <c r="Q109" s="498"/>
      <c r="R109" s="498"/>
      <c r="S109" s="498"/>
      <c r="T109" s="498"/>
      <c r="U109" s="49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9" t="s">
        <v>492</v>
      </c>
      <c r="C110" s="187" t="s">
        <v>372</v>
      </c>
      <c r="D110" s="108">
        <v>5</v>
      </c>
      <c r="E110" s="108"/>
      <c r="F110" s="127"/>
      <c r="G110" s="128"/>
      <c r="H110" s="490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8"/>
      <c r="P110" s="498"/>
      <c r="Q110" s="498"/>
      <c r="R110" s="498"/>
      <c r="S110" s="498"/>
      <c r="T110" s="498"/>
      <c r="U110" s="498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9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90+22</f>
        <v>112</v>
      </c>
      <c r="H111" s="490">
        <f t="shared" si="36"/>
        <v>560</v>
      </c>
      <c r="I111" s="129">
        <f>3.5*6</f>
        <v>21</v>
      </c>
      <c r="J111" s="130">
        <f t="array" ref="J111">IF(ISERROR(G111/I111),"",G111/I111)</f>
        <v>5.333333333333333</v>
      </c>
      <c r="K111" s="131">
        <f t="array" ref="K111">IF(ISERROR(G111/L111),"",G111/L111)</f>
        <v>22.4</v>
      </c>
      <c r="L111" s="129">
        <v>5</v>
      </c>
      <c r="M111" s="109">
        <f t="shared" si="37"/>
        <v>-1.3999999999999986</v>
      </c>
      <c r="N111" s="130">
        <f t="shared" si="40"/>
        <v>0</v>
      </c>
      <c r="O111" s="498"/>
      <c r="P111" s="498"/>
      <c r="Q111" s="498"/>
      <c r="R111" s="498"/>
      <c r="S111" s="498"/>
      <c r="T111" s="498"/>
      <c r="U111" s="498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89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90+36</f>
        <v>126</v>
      </c>
      <c r="H112" s="490">
        <f t="shared" si="36"/>
        <v>630</v>
      </c>
      <c r="I112" s="129">
        <f>3.5*6</f>
        <v>21</v>
      </c>
      <c r="J112" s="130">
        <f t="array" ref="J112">IF(ISERROR(G112/I112),"",G112/I112)</f>
        <v>6</v>
      </c>
      <c r="K112" s="131">
        <f t="array" ref="K112">IF(ISERROR(G112/L112),"",G112/L112)</f>
        <v>25.2</v>
      </c>
      <c r="L112" s="129">
        <v>5</v>
      </c>
      <c r="M112" s="109">
        <f t="shared" si="37"/>
        <v>-4.1999999999999993</v>
      </c>
      <c r="N112" s="130">
        <f t="shared" si="40"/>
        <v>0</v>
      </c>
      <c r="O112" s="498"/>
      <c r="P112" s="498"/>
      <c r="Q112" s="498"/>
      <c r="R112" s="498"/>
      <c r="S112" s="498"/>
      <c r="T112" s="498"/>
      <c r="U112" s="498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42742</v>
      </c>
      <c r="G113" s="128">
        <f>70+87+100</f>
        <v>257</v>
      </c>
      <c r="H113" s="490">
        <f t="shared" si="36"/>
        <v>1300.4199999999998</v>
      </c>
      <c r="I113" s="129">
        <f>11*2</f>
        <v>22</v>
      </c>
      <c r="J113" s="130">
        <f t="array" ref="J113">IF(ISERROR(G113/I113),"",G113/I113)</f>
        <v>11.681818181818182</v>
      </c>
      <c r="K113" s="131">
        <f t="array" ref="K113">IF(ISERROR(G113/L113),"",G113/L113)</f>
        <v>16.580645161290324</v>
      </c>
      <c r="L113" s="129">
        <v>15.5</v>
      </c>
      <c r="M113" s="109">
        <f t="shared" si="37"/>
        <v>5.4193548387096762</v>
      </c>
      <c r="N113" s="130">
        <f t="shared" si="40"/>
        <v>0</v>
      </c>
      <c r="O113" s="498"/>
      <c r="P113" s="498"/>
      <c r="Q113" s="498"/>
      <c r="R113" s="498"/>
      <c r="S113" s="498"/>
      <c r="T113" s="498"/>
      <c r="U113" s="498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0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98"/>
      <c r="P114" s="498"/>
      <c r="Q114" s="498"/>
      <c r="R114" s="498"/>
      <c r="S114" s="498"/>
      <c r="T114" s="498"/>
      <c r="U114" s="49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90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8"/>
      <c r="P115" s="498"/>
      <c r="Q115" s="498"/>
      <c r="R115" s="498"/>
      <c r="S115" s="498"/>
      <c r="T115" s="498"/>
      <c r="U115" s="49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0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8"/>
      <c r="P116" s="498"/>
      <c r="Q116" s="498"/>
      <c r="R116" s="498"/>
      <c r="S116" s="498"/>
      <c r="T116" s="498"/>
      <c r="U116" s="49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0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8"/>
      <c r="P117" s="498"/>
      <c r="Q117" s="498"/>
      <c r="R117" s="498"/>
      <c r="S117" s="498"/>
      <c r="T117" s="498"/>
      <c r="U117" s="498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100+90+100+104-90</f>
        <v>304</v>
      </c>
      <c r="H118" s="490">
        <f t="shared" si="36"/>
        <v>1541.2800000000002</v>
      </c>
      <c r="I118" s="129">
        <f>11*4</f>
        <v>44</v>
      </c>
      <c r="J118" s="130">
        <f t="array" ref="J118">IF(ISERROR(G118/I118),"",G118/I118)</f>
        <v>6.9090909090909092</v>
      </c>
      <c r="K118" s="131">
        <f t="array" ref="K118">IF(ISERROR(G118/L118),"",G118/L118)</f>
        <v>33.777777777777779</v>
      </c>
      <c r="L118" s="129">
        <v>9</v>
      </c>
      <c r="M118" s="109">
        <f t="shared" ref="M118:M120" si="46">IF(ISERROR(I118-K118),"",I118-K118)</f>
        <v>10.222222222222221</v>
      </c>
      <c r="N118" s="130">
        <f t="shared" ref="N118:N120" si="47">SUM(O118:U118)</f>
        <v>0</v>
      </c>
      <c r="O118" s="498"/>
      <c r="P118" s="498"/>
      <c r="Q118" s="498"/>
      <c r="R118" s="498"/>
      <c r="S118" s="498"/>
      <c r="T118" s="498"/>
      <c r="U118" s="498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0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8"/>
      <c r="P119" s="498"/>
      <c r="Q119" s="498"/>
      <c r="R119" s="498"/>
      <c r="S119" s="498"/>
      <c r="T119" s="498"/>
      <c r="U119" s="49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0">
        <f t="shared" si="36"/>
        <v>0</v>
      </c>
      <c r="I120" s="129"/>
      <c r="J120" s="130" t="str">
        <f t="array" ref="J120">IF(ISERROR(G120/I120),"",G120/I120)</f>
        <v/>
      </c>
      <c r="K120" s="490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8"/>
      <c r="P120" s="498"/>
      <c r="Q120" s="498"/>
      <c r="R120" s="498"/>
      <c r="S120" s="498"/>
      <c r="T120" s="498"/>
      <c r="U120" s="49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499" t="s">
        <v>202</v>
      </c>
      <c r="D121" s="143"/>
      <c r="E121" s="143"/>
      <c r="F121" s="144"/>
      <c r="G121" s="145">
        <f>SUM(G87:G120)</f>
        <v>799</v>
      </c>
      <c r="H121" s="146">
        <f>SUM(H87:H120)</f>
        <v>4031.7000000000003</v>
      </c>
      <c r="I121" s="146">
        <f>SUM(I87:I120)</f>
        <v>108</v>
      </c>
      <c r="J121" s="130">
        <f t="array" ref="J121">IF(ISERROR(G121/I121),"",G121/I121)</f>
        <v>7.3981481481481479</v>
      </c>
      <c r="K121" s="146">
        <f>SUM(K87:K120)</f>
        <v>97.9584229390681</v>
      </c>
      <c r="L121" s="147"/>
      <c r="M121" s="150">
        <f t="shared" ref="M121:V121" si="50">SUM(M87:M120)</f>
        <v>10.0415770609319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44+90+90*4</f>
        <v>494</v>
      </c>
      <c r="H122" s="490">
        <f t="shared" ref="H122:H136" si="51">D122*G122</f>
        <v>2484.8200000000002</v>
      </c>
      <c r="I122" s="129">
        <f>8*2</f>
        <v>16</v>
      </c>
      <c r="J122" s="130">
        <f t="array" ref="J122">IF(ISERROR(G122/I122),"",G122/I122)</f>
        <v>30.875</v>
      </c>
      <c r="K122" s="131">
        <f t="array" ref="K122">IF(ISERROR(G122/L122),"",G122/L122)</f>
        <v>19.760000000000002</v>
      </c>
      <c r="L122" s="129">
        <v>25</v>
      </c>
      <c r="M122" s="109">
        <f t="shared" ref="M122:M136" si="52">IF(ISERROR(I122-K122),"",I122-K122)</f>
        <v>-3.7600000000000016</v>
      </c>
      <c r="N122" s="130">
        <f t="shared" ref="N122:N136" si="53">SUM(O122:U122)</f>
        <v>0</v>
      </c>
      <c r="O122" s="498"/>
      <c r="P122" s="498"/>
      <c r="Q122" s="498"/>
      <c r="R122" s="498"/>
      <c r="S122" s="498"/>
      <c r="T122" s="498"/>
      <c r="U122" s="498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28">
        <f>24+90</f>
        <v>114</v>
      </c>
      <c r="H123" s="490">
        <f t="shared" si="51"/>
        <v>573.42000000000007</v>
      </c>
      <c r="I123" s="129">
        <f>3*2</f>
        <v>6</v>
      </c>
      <c r="J123" s="130">
        <f t="array" ref="J123">IF(ISERROR(G123/I123),"",G123/I123)</f>
        <v>19</v>
      </c>
      <c r="K123" s="131">
        <f t="array" ref="K123">IF(ISERROR(G123/L123),"",G123/L123)</f>
        <v>4.5599999999999996</v>
      </c>
      <c r="L123" s="129">
        <v>25</v>
      </c>
      <c r="M123" s="109">
        <f t="shared" si="52"/>
        <v>1.4400000000000004</v>
      </c>
      <c r="N123" s="130">
        <f t="shared" si="53"/>
        <v>0</v>
      </c>
      <c r="O123" s="498"/>
      <c r="P123" s="498"/>
      <c r="Q123" s="498"/>
      <c r="R123" s="498"/>
      <c r="S123" s="498"/>
      <c r="T123" s="498"/>
      <c r="U123" s="498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42743</v>
      </c>
      <c r="G124" s="128">
        <f>100*5+54</f>
        <v>554</v>
      </c>
      <c r="H124" s="490">
        <f t="shared" si="51"/>
        <v>2792.16</v>
      </c>
      <c r="I124" s="129">
        <f>11*3</f>
        <v>33</v>
      </c>
      <c r="J124" s="130">
        <f t="array" ref="J124">IF(ISERROR(G124/I124),"",G124/I124)</f>
        <v>16.787878787878789</v>
      </c>
      <c r="K124" s="131">
        <f t="array" ref="K124">IF(ISERROR(G124/L124),"",G124/L124)</f>
        <v>27.7</v>
      </c>
      <c r="L124" s="129">
        <v>20</v>
      </c>
      <c r="M124" s="109">
        <f t="shared" si="52"/>
        <v>5.3000000000000007</v>
      </c>
      <c r="N124" s="130">
        <f t="shared" si="53"/>
        <v>0</v>
      </c>
      <c r="O124" s="498"/>
      <c r="P124" s="498"/>
      <c r="Q124" s="498"/>
      <c r="R124" s="498"/>
      <c r="S124" s="498"/>
      <c r="T124" s="498"/>
      <c r="U124" s="498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90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8"/>
      <c r="P125" s="498"/>
      <c r="Q125" s="498"/>
      <c r="R125" s="498"/>
      <c r="S125" s="498"/>
      <c r="T125" s="498"/>
      <c r="U125" s="49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5" t="s">
        <v>203</v>
      </c>
      <c r="D126" s="108">
        <v>5.03</v>
      </c>
      <c r="E126" s="108"/>
      <c r="F126" s="127"/>
      <c r="G126" s="128"/>
      <c r="H126" s="490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8"/>
      <c r="P126" s="498"/>
      <c r="Q126" s="498"/>
      <c r="R126" s="498"/>
      <c r="S126" s="498"/>
      <c r="T126" s="498"/>
      <c r="U126" s="49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0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8"/>
      <c r="P127" s="498"/>
      <c r="Q127" s="498"/>
      <c r="R127" s="498"/>
      <c r="S127" s="498"/>
      <c r="T127" s="498"/>
      <c r="U127" s="49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0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8"/>
      <c r="P128" s="498"/>
      <c r="Q128" s="498"/>
      <c r="R128" s="498"/>
      <c r="S128" s="498"/>
      <c r="T128" s="498"/>
      <c r="U128" s="49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5" t="s">
        <v>228</v>
      </c>
      <c r="D129" s="108">
        <v>5.03</v>
      </c>
      <c r="E129" s="108"/>
      <c r="F129" s="127"/>
      <c r="G129" s="128"/>
      <c r="H129" s="490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8"/>
      <c r="P129" s="498"/>
      <c r="Q129" s="498"/>
      <c r="R129" s="498"/>
      <c r="S129" s="498"/>
      <c r="T129" s="498"/>
      <c r="U129" s="49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95" t="s">
        <v>212</v>
      </c>
      <c r="D130" s="108">
        <v>5.03</v>
      </c>
      <c r="E130" s="108"/>
      <c r="F130" s="127"/>
      <c r="G130" s="128"/>
      <c r="H130" s="490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8"/>
      <c r="P130" s="498"/>
      <c r="Q130" s="498"/>
      <c r="R130" s="498"/>
      <c r="S130" s="498"/>
      <c r="T130" s="498"/>
      <c r="U130" s="49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5" t="s">
        <v>203</v>
      </c>
      <c r="D131" s="108">
        <v>5.03</v>
      </c>
      <c r="E131" s="108"/>
      <c r="F131" s="127"/>
      <c r="G131" s="128"/>
      <c r="H131" s="490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8"/>
      <c r="P131" s="498"/>
      <c r="Q131" s="498"/>
      <c r="R131" s="498"/>
      <c r="S131" s="498"/>
      <c r="T131" s="498"/>
      <c r="U131" s="49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5" t="s">
        <v>186</v>
      </c>
      <c r="D132" s="108">
        <v>5.03</v>
      </c>
      <c r="E132" s="108"/>
      <c r="F132" s="127"/>
      <c r="G132" s="128"/>
      <c r="H132" s="490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8"/>
      <c r="P132" s="498"/>
      <c r="Q132" s="498"/>
      <c r="R132" s="498"/>
      <c r="S132" s="498"/>
      <c r="T132" s="498"/>
      <c r="U132" s="49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5" t="s">
        <v>228</v>
      </c>
      <c r="D133" s="108">
        <v>5.03</v>
      </c>
      <c r="E133" s="108"/>
      <c r="F133" s="127"/>
      <c r="G133" s="128"/>
      <c r="H133" s="490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8"/>
      <c r="P133" s="498"/>
      <c r="Q133" s="498"/>
      <c r="R133" s="498"/>
      <c r="S133" s="498"/>
      <c r="T133" s="498"/>
      <c r="U133" s="49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5" t="s">
        <v>199</v>
      </c>
      <c r="D134" s="108">
        <v>5.03</v>
      </c>
      <c r="E134" s="108"/>
      <c r="F134" s="127"/>
      <c r="G134" s="128"/>
      <c r="H134" s="490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8"/>
      <c r="P134" s="498"/>
      <c r="Q134" s="498"/>
      <c r="R134" s="498"/>
      <c r="S134" s="498"/>
      <c r="T134" s="498"/>
      <c r="U134" s="49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90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98"/>
      <c r="P135" s="498"/>
      <c r="Q135" s="498"/>
      <c r="R135" s="498"/>
      <c r="S135" s="498"/>
      <c r="T135" s="498"/>
      <c r="U135" s="49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0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98"/>
      <c r="P136" s="498"/>
      <c r="Q136" s="498"/>
      <c r="R136" s="498"/>
      <c r="S136" s="498"/>
      <c r="T136" s="498"/>
      <c r="U136" s="49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499" t="s">
        <v>202</v>
      </c>
      <c r="D137" s="143"/>
      <c r="E137" s="143"/>
      <c r="F137" s="144"/>
      <c r="G137" s="145">
        <f>SUM(G122:G136)</f>
        <v>1162</v>
      </c>
      <c r="H137" s="146">
        <f>SUM(H122:H136)</f>
        <v>5850.4</v>
      </c>
      <c r="I137" s="146">
        <f>SUM(I122:I136)</f>
        <v>55</v>
      </c>
      <c r="J137" s="130">
        <f t="array" ref="J137">IF(ISERROR(G137/I137),"",G137/I137)</f>
        <v>21.127272727272729</v>
      </c>
      <c r="K137" s="146">
        <f>SUM(K122:K136)</f>
        <v>52.019999999999996</v>
      </c>
      <c r="L137" s="147"/>
      <c r="M137" s="150">
        <f>SUM(M122:M136)</f>
        <v>2.9799999999999995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0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98"/>
      <c r="P138" s="498"/>
      <c r="Q138" s="498"/>
      <c r="R138" s="498"/>
      <c r="S138" s="498"/>
      <c r="T138" s="498"/>
      <c r="U138" s="498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0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8"/>
      <c r="P139" s="498"/>
      <c r="Q139" s="498"/>
      <c r="R139" s="498"/>
      <c r="S139" s="498"/>
      <c r="T139" s="498"/>
      <c r="U139" s="49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0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8"/>
      <c r="P140" s="498"/>
      <c r="Q140" s="498"/>
      <c r="R140" s="498"/>
      <c r="S140" s="498"/>
      <c r="T140" s="498"/>
      <c r="U140" s="49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90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8"/>
      <c r="P141" s="498"/>
      <c r="Q141" s="498"/>
      <c r="R141" s="498"/>
      <c r="S141" s="498"/>
      <c r="T141" s="498"/>
      <c r="U141" s="49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0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8"/>
      <c r="P142" s="498"/>
      <c r="Q142" s="498"/>
      <c r="R142" s="498"/>
      <c r="S142" s="498"/>
      <c r="T142" s="498"/>
      <c r="U142" s="49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0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98"/>
      <c r="P143" s="498"/>
      <c r="Q143" s="498"/>
      <c r="R143" s="498"/>
      <c r="S143" s="498"/>
      <c r="T143" s="498"/>
      <c r="U143" s="49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90*5+64</f>
        <v>514</v>
      </c>
      <c r="H144" s="490">
        <f t="shared" si="55"/>
        <v>2590.56</v>
      </c>
      <c r="I144" s="129">
        <f>9.5*4</f>
        <v>38</v>
      </c>
      <c r="J144" s="130">
        <f t="array" ref="J144">IF(ISERROR(G144/I144),"",G144/I144)</f>
        <v>13.526315789473685</v>
      </c>
      <c r="K144" s="131">
        <f t="array" ref="K144">IF(ISERROR(G144/L144),"",G144/L144)</f>
        <v>38.074074074074076</v>
      </c>
      <c r="L144" s="129">
        <v>13.5</v>
      </c>
      <c r="M144" s="109">
        <f t="shared" ref="M144:M145" si="59">IF(ISERROR(I144-K144),"",I144-K144)</f>
        <v>-7.4074074074076179E-2</v>
      </c>
      <c r="N144" s="130"/>
      <c r="O144" s="498"/>
      <c r="P144" s="498"/>
      <c r="Q144" s="498"/>
      <c r="R144" s="498"/>
      <c r="S144" s="498"/>
      <c r="T144" s="498"/>
      <c r="U144" s="498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v>81</v>
      </c>
      <c r="H145" s="490">
        <f t="shared" si="55"/>
        <v>408.24</v>
      </c>
      <c r="I145" s="129">
        <f>1.5*4</f>
        <v>6</v>
      </c>
      <c r="J145" s="130">
        <f t="array" ref="J145">IF(ISERROR(G145/I145),"",G145/I145)</f>
        <v>13.5</v>
      </c>
      <c r="K145" s="131">
        <f t="array" ref="K145">IF(ISERROR(G145/L145),"",G145/L145)</f>
        <v>6</v>
      </c>
      <c r="L145" s="129">
        <v>13.5</v>
      </c>
      <c r="M145" s="109">
        <f t="shared" si="59"/>
        <v>0</v>
      </c>
      <c r="N145" s="130"/>
      <c r="O145" s="498"/>
      <c r="P145" s="498"/>
      <c r="Q145" s="498"/>
      <c r="R145" s="498"/>
      <c r="S145" s="498"/>
      <c r="T145" s="498"/>
      <c r="U145" s="498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90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98"/>
      <c r="P146" s="498"/>
      <c r="Q146" s="498"/>
      <c r="R146" s="498"/>
      <c r="S146" s="498"/>
      <c r="T146" s="498"/>
      <c r="U146" s="498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90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98"/>
      <c r="P147" s="498"/>
      <c r="Q147" s="498"/>
      <c r="R147" s="498"/>
      <c r="S147" s="498"/>
      <c r="T147" s="498"/>
      <c r="U147" s="498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499" t="s">
        <v>202</v>
      </c>
      <c r="D148" s="143"/>
      <c r="E148" s="143"/>
      <c r="F148" s="144"/>
      <c r="G148" s="145">
        <f>SUM(G138:G147)</f>
        <v>595</v>
      </c>
      <c r="H148" s="146">
        <f>SUM(H138:H147)</f>
        <v>2998.8</v>
      </c>
      <c r="I148" s="146">
        <f>SUM(I138:I147)</f>
        <v>44</v>
      </c>
      <c r="J148" s="130">
        <f t="array" ref="J148">IF(ISERROR(G148/I148),"",G148/I148)</f>
        <v>13.522727272727273</v>
      </c>
      <c r="K148" s="146">
        <f>SUM(K138:K147)</f>
        <v>44.074074074074076</v>
      </c>
      <c r="L148" s="147"/>
      <c r="M148" s="150">
        <f>SUM(M138:M147)</f>
        <v>-7.4074074074076179E-2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96"/>
      <c r="D149" s="108">
        <v>3.65</v>
      </c>
      <c r="E149" s="108"/>
      <c r="F149" s="153"/>
      <c r="G149" s="128"/>
      <c r="H149" s="490">
        <f t="shared" ref="H149:H162" si="64">D149*G149</f>
        <v>0</v>
      </c>
      <c r="I149" s="129"/>
      <c r="J149" s="130" t="str">
        <f t="array" ref="J149">IF(ISERROR(G149/I149),"",G149/I149)</f>
        <v/>
      </c>
      <c r="K149" s="490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98"/>
      <c r="P149" s="498"/>
      <c r="Q149" s="498"/>
      <c r="R149" s="498"/>
      <c r="S149" s="498"/>
      <c r="T149" s="498"/>
      <c r="U149" s="498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96"/>
      <c r="D150" s="108">
        <v>6.58</v>
      </c>
      <c r="E150" s="108"/>
      <c r="F150" s="127">
        <v>42738</v>
      </c>
      <c r="G150" s="128">
        <f>33+36</f>
        <v>69</v>
      </c>
      <c r="H150" s="490">
        <f t="shared" si="64"/>
        <v>454.02</v>
      </c>
      <c r="I150" s="129">
        <v>14</v>
      </c>
      <c r="J150" s="130">
        <f t="array" ref="J150">IF(ISERROR(G150/I150),"",G150/I150)</f>
        <v>4.9285714285714288</v>
      </c>
      <c r="K150" s="131">
        <f t="array" ref="K150">IF(ISERROR(G150/L150),"",G150/L150)</f>
        <v>13.8</v>
      </c>
      <c r="L150" s="129">
        <v>5</v>
      </c>
      <c r="M150" s="109">
        <f t="shared" si="65"/>
        <v>0.19999999999999929</v>
      </c>
      <c r="N150" s="130">
        <f t="shared" si="66"/>
        <v>0</v>
      </c>
      <c r="O150" s="498"/>
      <c r="P150" s="498"/>
      <c r="Q150" s="498"/>
      <c r="R150" s="498"/>
      <c r="S150" s="498"/>
      <c r="T150" s="498"/>
      <c r="U150" s="498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96"/>
      <c r="D151" s="108">
        <v>7.8</v>
      </c>
      <c r="E151" s="108"/>
      <c r="F151" s="127"/>
      <c r="G151" s="128"/>
      <c r="H151" s="490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498"/>
      <c r="P151" s="498"/>
      <c r="Q151" s="498"/>
      <c r="R151" s="498"/>
      <c r="S151" s="498"/>
      <c r="T151" s="498"/>
      <c r="U151" s="498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96"/>
      <c r="D152" s="108">
        <v>4.4000000000000004</v>
      </c>
      <c r="E152" s="108"/>
      <c r="F152" s="127"/>
      <c r="G152" s="128"/>
      <c r="H152" s="490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98"/>
      <c r="P152" s="498"/>
      <c r="Q152" s="498"/>
      <c r="R152" s="498"/>
      <c r="S152" s="498"/>
      <c r="T152" s="498"/>
      <c r="U152" s="498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90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98"/>
      <c r="P153" s="498"/>
      <c r="Q153" s="498"/>
      <c r="R153" s="498"/>
      <c r="S153" s="498"/>
      <c r="T153" s="498"/>
      <c r="U153" s="498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96" t="s">
        <v>239</v>
      </c>
      <c r="C154" s="496" t="s">
        <v>179</v>
      </c>
      <c r="D154" s="108">
        <v>6.04</v>
      </c>
      <c r="E154" s="108"/>
      <c r="F154" s="127"/>
      <c r="G154" s="128"/>
      <c r="H154" s="490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98"/>
      <c r="P154" s="498"/>
      <c r="Q154" s="498"/>
      <c r="R154" s="498"/>
      <c r="S154" s="498"/>
      <c r="T154" s="498"/>
      <c r="U154" s="498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96" t="s">
        <v>239</v>
      </c>
      <c r="C155" s="496" t="s">
        <v>186</v>
      </c>
      <c r="D155" s="108">
        <v>6.04</v>
      </c>
      <c r="E155" s="108"/>
      <c r="F155" s="127"/>
      <c r="G155" s="128"/>
      <c r="H155" s="490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98"/>
      <c r="P155" s="498"/>
      <c r="Q155" s="498"/>
      <c r="R155" s="498"/>
      <c r="S155" s="498"/>
      <c r="T155" s="498"/>
      <c r="U155" s="498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96" t="s">
        <v>443</v>
      </c>
      <c r="C156" s="496" t="s">
        <v>179</v>
      </c>
      <c r="D156" s="108">
        <v>6</v>
      </c>
      <c r="E156" s="108"/>
      <c r="F156" s="127"/>
      <c r="G156" s="128"/>
      <c r="H156" s="490">
        <f t="shared" si="64"/>
        <v>0</v>
      </c>
      <c r="I156" s="129"/>
      <c r="J156" s="130"/>
      <c r="K156" s="131"/>
      <c r="L156" s="129"/>
      <c r="M156" s="109"/>
      <c r="N156" s="130"/>
      <c r="O156" s="498"/>
      <c r="P156" s="498"/>
      <c r="Q156" s="498"/>
      <c r="R156" s="498"/>
      <c r="S156" s="498"/>
      <c r="T156" s="498"/>
      <c r="U156" s="49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96" t="s">
        <v>443</v>
      </c>
      <c r="C157" s="496" t="s">
        <v>60</v>
      </c>
      <c r="D157" s="108">
        <v>6</v>
      </c>
      <c r="E157" s="108"/>
      <c r="F157" s="127"/>
      <c r="G157" s="128"/>
      <c r="H157" s="490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98"/>
      <c r="P157" s="498"/>
      <c r="Q157" s="498"/>
      <c r="R157" s="498"/>
      <c r="S157" s="498"/>
      <c r="T157" s="498"/>
      <c r="U157" s="498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9" t="s">
        <v>240</v>
      </c>
      <c r="C158" s="126"/>
      <c r="D158" s="108">
        <v>7.3</v>
      </c>
      <c r="E158" s="108"/>
      <c r="F158" s="127"/>
      <c r="G158" s="128"/>
      <c r="H158" s="490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98"/>
      <c r="P158" s="498"/>
      <c r="Q158" s="498"/>
      <c r="R158" s="498"/>
      <c r="S158" s="498"/>
      <c r="T158" s="498"/>
      <c r="U158" s="498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9" t="s">
        <v>241</v>
      </c>
      <c r="C159" s="126"/>
      <c r="D159" s="108">
        <f>78*120/1000</f>
        <v>9.36</v>
      </c>
      <c r="E159" s="108"/>
      <c r="F159" s="127"/>
      <c r="G159" s="128"/>
      <c r="H159" s="490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98"/>
      <c r="P159" s="498"/>
      <c r="Q159" s="498"/>
      <c r="R159" s="498"/>
      <c r="S159" s="498"/>
      <c r="T159" s="498"/>
      <c r="U159" s="498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9" t="s">
        <v>242</v>
      </c>
      <c r="C160" s="126"/>
      <c r="D160" s="108">
        <v>4.5</v>
      </c>
      <c r="E160" s="108"/>
      <c r="F160" s="127"/>
      <c r="G160" s="128"/>
      <c r="H160" s="490">
        <f t="shared" si="64"/>
        <v>0</v>
      </c>
      <c r="I160" s="129"/>
      <c r="J160" s="130"/>
      <c r="K160" s="131"/>
      <c r="L160" s="129"/>
      <c r="M160" s="109"/>
      <c r="N160" s="130"/>
      <c r="O160" s="498"/>
      <c r="P160" s="498"/>
      <c r="Q160" s="498"/>
      <c r="R160" s="498"/>
      <c r="S160" s="498"/>
      <c r="T160" s="498"/>
      <c r="U160" s="49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9" t="s">
        <v>243</v>
      </c>
      <c r="C161" s="126"/>
      <c r="D161" s="108">
        <v>4.5</v>
      </c>
      <c r="E161" s="108"/>
      <c r="F161" s="127"/>
      <c r="G161" s="128"/>
      <c r="H161" s="490">
        <f t="shared" si="64"/>
        <v>0</v>
      </c>
      <c r="I161" s="129"/>
      <c r="J161" s="130"/>
      <c r="K161" s="131"/>
      <c r="L161" s="129"/>
      <c r="M161" s="109"/>
      <c r="N161" s="130"/>
      <c r="O161" s="498"/>
      <c r="P161" s="498"/>
      <c r="Q161" s="498"/>
      <c r="R161" s="498"/>
      <c r="S161" s="498"/>
      <c r="T161" s="498"/>
      <c r="U161" s="49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90">
        <f t="shared" si="64"/>
        <v>0</v>
      </c>
      <c r="I162" s="129"/>
      <c r="J162" s="130"/>
      <c r="K162" s="131"/>
      <c r="L162" s="129"/>
      <c r="M162" s="109"/>
      <c r="N162" s="130"/>
      <c r="O162" s="498"/>
      <c r="P162" s="498"/>
      <c r="Q162" s="498"/>
      <c r="R162" s="498"/>
      <c r="S162" s="498"/>
      <c r="T162" s="498"/>
      <c r="U162" s="498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499" t="s">
        <v>202</v>
      </c>
      <c r="D163" s="143"/>
      <c r="E163" s="143"/>
      <c r="F163" s="144"/>
      <c r="G163" s="145">
        <f>SUM(G149:G161)</f>
        <v>69</v>
      </c>
      <c r="H163" s="146">
        <f>SUM(H149:H159)</f>
        <v>454.02</v>
      </c>
      <c r="I163" s="146">
        <f>SUM(I149:I161)</f>
        <v>14</v>
      </c>
      <c r="J163" s="130">
        <f t="array" ref="J163">IF(ISERROR(G163/I163),"",G163/I163)</f>
        <v>4.9285714285714288</v>
      </c>
      <c r="K163" s="146">
        <f>SUM(K149:K159)</f>
        <v>13.8</v>
      </c>
      <c r="L163" s="147"/>
      <c r="M163" s="150">
        <f t="shared" ref="M163:V163" si="76">SUM(M149:M159)</f>
        <v>0.19999999999999929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5562</v>
      </c>
      <c r="H164" s="154">
        <f>SUM(H28,H86,H121,H137,H148,H163)</f>
        <v>28147.730000000003</v>
      </c>
      <c r="I164" s="154">
        <f>SUM(I28,I86,I121,I137,I148,I163)</f>
        <v>300</v>
      </c>
      <c r="J164" s="155">
        <f t="array" ref="J164">IF(ISERROR(G164/I164),"",G164/I164)</f>
        <v>18.54</v>
      </c>
      <c r="K164" s="154">
        <f>SUM(K28,K86,K121,K137,K148,K163)</f>
        <v>294.85901330386901</v>
      </c>
      <c r="L164" s="155">
        <f>IF(ISERROR(G164/K164),"",G164/K164)</f>
        <v>18.863252432673789</v>
      </c>
      <c r="M164" s="154">
        <f t="shared" ref="M164:AA164" si="77">SUM(M28,M86,M121,M137,M148,M163)</f>
        <v>5.1409866961310042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3" t="s">
        <v>476</v>
      </c>
      <c r="B165" s="492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492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492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492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492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492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492">
        <f>G164</f>
        <v>5562</v>
      </c>
      <c r="C171" s="638" t="s">
        <v>269</v>
      </c>
      <c r="D171" s="639"/>
      <c r="E171" s="631">
        <f>H164</f>
        <v>28147.730000000003</v>
      </c>
      <c r="F171" s="631"/>
      <c r="G171" s="631" t="s">
        <v>270</v>
      </c>
      <c r="H171" s="631"/>
      <c r="I171" s="640">
        <f>L164</f>
        <v>18.863252432673789</v>
      </c>
      <c r="J171" s="640"/>
      <c r="K171" s="628" t="s">
        <v>271</v>
      </c>
      <c r="L171" s="628"/>
      <c r="M171" s="640">
        <f>J164</f>
        <v>18.54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492">
        <f>I164+C170</f>
        <v>304</v>
      </c>
      <c r="C172" s="641" t="s">
        <v>251</v>
      </c>
      <c r="D172" s="642"/>
      <c r="E172" s="643">
        <f>K164+I170</f>
        <v>335.85901330386901</v>
      </c>
      <c r="F172" s="643"/>
      <c r="G172" s="631" t="s">
        <v>274</v>
      </c>
      <c r="H172" s="631"/>
      <c r="I172" s="640">
        <f>B172-E172</f>
        <v>-31.859013303869006</v>
      </c>
      <c r="J172" s="640"/>
      <c r="K172" s="628" t="s">
        <v>275</v>
      </c>
      <c r="L172" s="628"/>
      <c r="M172" s="632">
        <f>IF(ISERROR(I172/E172),"",I172/E172)</f>
        <v>-9.4858294825765202E-2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492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546</v>
      </c>
      <c r="H177" s="496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489" t="s">
        <v>178</v>
      </c>
      <c r="C178" s="126" t="s">
        <v>179</v>
      </c>
      <c r="D178" s="108">
        <v>5.03</v>
      </c>
      <c r="E178" s="108"/>
      <c r="F178" s="127"/>
      <c r="G178" s="128"/>
      <c r="H178" s="490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98"/>
      <c r="P178" s="498"/>
      <c r="Q178" s="498"/>
      <c r="R178" s="498"/>
      <c r="S178" s="498"/>
      <c r="T178" s="498"/>
      <c r="U178" s="498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90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98"/>
      <c r="P179" s="498"/>
      <c r="Q179" s="498"/>
      <c r="R179" s="498"/>
      <c r="S179" s="498"/>
      <c r="T179" s="498"/>
      <c r="U179" s="498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90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98"/>
      <c r="P180" s="498"/>
      <c r="Q180" s="498"/>
      <c r="R180" s="498"/>
      <c r="S180" s="498"/>
      <c r="T180" s="498"/>
      <c r="U180" s="498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90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98"/>
      <c r="P181" s="498"/>
      <c r="Q181" s="498"/>
      <c r="R181" s="498"/>
      <c r="S181" s="498"/>
      <c r="T181" s="498"/>
      <c r="U181" s="498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90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98"/>
      <c r="P182" s="498"/>
      <c r="Q182" s="498"/>
      <c r="R182" s="498"/>
      <c r="S182" s="498"/>
      <c r="T182" s="498"/>
      <c r="U182" s="498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90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98"/>
      <c r="P183" s="498"/>
      <c r="Q183" s="498"/>
      <c r="R183" s="498"/>
      <c r="S183" s="498"/>
      <c r="T183" s="498"/>
      <c r="U183" s="498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90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98"/>
      <c r="P184" s="498"/>
      <c r="Q184" s="498"/>
      <c r="R184" s="498"/>
      <c r="S184" s="498"/>
      <c r="T184" s="498"/>
      <c r="U184" s="49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90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98"/>
      <c r="P185" s="498"/>
      <c r="Q185" s="498"/>
      <c r="R185" s="498"/>
      <c r="S185" s="498"/>
      <c r="T185" s="498"/>
      <c r="U185" s="498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90">
        <f t="shared" si="78"/>
        <v>0</v>
      </c>
      <c r="I186" s="490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98"/>
      <c r="P186" s="498"/>
      <c r="Q186" s="498"/>
      <c r="R186" s="498"/>
      <c r="S186" s="498"/>
      <c r="T186" s="498"/>
      <c r="U186" s="49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100*6</f>
        <v>600</v>
      </c>
      <c r="H187" s="490">
        <f t="shared" si="78"/>
        <v>3024</v>
      </c>
      <c r="I187" s="490">
        <f>8.5*5</f>
        <v>42.5</v>
      </c>
      <c r="J187" s="130">
        <f t="array" ref="J187">IF(ISERROR(G187/I187),"",G187/I187)</f>
        <v>14.117647058823529</v>
      </c>
      <c r="K187" s="131">
        <f t="array" ref="K187">IF(ISERROR(G187/L187),"",G187/L187)</f>
        <v>35.294117647058826</v>
      </c>
      <c r="L187" s="129">
        <v>17</v>
      </c>
      <c r="M187" s="109">
        <f t="shared" si="79"/>
        <v>7.205882352941174</v>
      </c>
      <c r="N187" s="130">
        <f t="shared" si="82"/>
        <v>0</v>
      </c>
      <c r="O187" s="498"/>
      <c r="P187" s="498"/>
      <c r="Q187" s="498"/>
      <c r="R187" s="498"/>
      <c r="S187" s="498"/>
      <c r="T187" s="498"/>
      <c r="U187" s="498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90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8"/>
      <c r="P188" s="498"/>
      <c r="Q188" s="498"/>
      <c r="R188" s="498"/>
      <c r="S188" s="498"/>
      <c r="T188" s="498"/>
      <c r="U188" s="498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90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98"/>
      <c r="P189" s="498"/>
      <c r="Q189" s="498"/>
      <c r="R189" s="498"/>
      <c r="S189" s="498"/>
      <c r="T189" s="498"/>
      <c r="U189" s="498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90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98"/>
      <c r="P190" s="498"/>
      <c r="Q190" s="498"/>
      <c r="R190" s="498"/>
      <c r="S190" s="498"/>
      <c r="T190" s="498"/>
      <c r="U190" s="498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39">
        <v>42738</v>
      </c>
      <c r="G191" s="128">
        <v>14</v>
      </c>
      <c r="H191" s="490">
        <f t="shared" si="83"/>
        <v>71.259999999999991</v>
      </c>
      <c r="I191" s="129">
        <v>1</v>
      </c>
      <c r="J191" s="130">
        <f t="array" ref="J191">IF(ISERROR(G191/I191),"",G191/I191)</f>
        <v>14</v>
      </c>
      <c r="K191" s="131">
        <f t="array" ref="K191">IF(ISERROR(G191/L191),"",G191/L191)</f>
        <v>0.60869565217391308</v>
      </c>
      <c r="L191" s="129">
        <v>23</v>
      </c>
      <c r="M191" s="109">
        <f t="shared" si="84"/>
        <v>0.39130434782608692</v>
      </c>
      <c r="N191" s="130">
        <f t="shared" si="85"/>
        <v>0</v>
      </c>
      <c r="O191" s="498"/>
      <c r="P191" s="498"/>
      <c r="Q191" s="498"/>
      <c r="R191" s="498"/>
      <c r="S191" s="498"/>
      <c r="T191" s="498"/>
      <c r="U191" s="498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90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98"/>
      <c r="P192" s="498"/>
      <c r="Q192" s="498"/>
      <c r="R192" s="498"/>
      <c r="S192" s="498"/>
      <c r="T192" s="498"/>
      <c r="U192" s="498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96" t="s">
        <v>190</v>
      </c>
      <c r="D193" s="108">
        <v>4.8</v>
      </c>
      <c r="E193" s="108"/>
      <c r="F193" s="127"/>
      <c r="G193" s="128"/>
      <c r="H193" s="490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98"/>
      <c r="P193" s="498"/>
      <c r="Q193" s="498"/>
      <c r="R193" s="498"/>
      <c r="S193" s="498"/>
      <c r="T193" s="498"/>
      <c r="U193" s="49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96" t="s">
        <v>187</v>
      </c>
      <c r="D194" s="108">
        <v>4.8</v>
      </c>
      <c r="E194" s="108"/>
      <c r="F194" s="127"/>
      <c r="G194" s="128"/>
      <c r="H194" s="490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98"/>
      <c r="P194" s="498"/>
      <c r="Q194" s="498"/>
      <c r="R194" s="498"/>
      <c r="S194" s="498"/>
      <c r="T194" s="498"/>
      <c r="U194" s="49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96" t="s">
        <v>179</v>
      </c>
      <c r="D195" s="108">
        <v>4.8</v>
      </c>
      <c r="E195" s="108"/>
      <c r="F195" s="127"/>
      <c r="G195" s="128"/>
      <c r="H195" s="490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98"/>
      <c r="P195" s="498"/>
      <c r="Q195" s="498"/>
      <c r="R195" s="498"/>
      <c r="S195" s="498"/>
      <c r="T195" s="498"/>
      <c r="U195" s="49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96" t="s">
        <v>199</v>
      </c>
      <c r="D196" s="108">
        <v>4.8</v>
      </c>
      <c r="E196" s="108"/>
      <c r="F196" s="127"/>
      <c r="G196" s="128"/>
      <c r="H196" s="490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98"/>
      <c r="P196" s="498"/>
      <c r="Q196" s="498"/>
      <c r="R196" s="498"/>
      <c r="S196" s="498"/>
      <c r="T196" s="498"/>
      <c r="U196" s="498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90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98"/>
      <c r="P197" s="498"/>
      <c r="Q197" s="498"/>
      <c r="R197" s="498"/>
      <c r="S197" s="498"/>
      <c r="T197" s="498"/>
      <c r="U197" s="498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90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98"/>
      <c r="P198" s="498"/>
      <c r="Q198" s="498"/>
      <c r="R198" s="498"/>
      <c r="S198" s="498"/>
      <c r="T198" s="498"/>
      <c r="U198" s="498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499" t="s">
        <v>202</v>
      </c>
      <c r="D199" s="143"/>
      <c r="E199" s="143"/>
      <c r="F199" s="144"/>
      <c r="G199" s="145">
        <f>SUM(G178:G198)</f>
        <v>614</v>
      </c>
      <c r="H199" s="146">
        <f>SUM(H178:H198)</f>
        <v>3095.26</v>
      </c>
      <c r="I199" s="146">
        <f>SUM(I178:I198)</f>
        <v>43.5</v>
      </c>
      <c r="J199" s="130">
        <f t="array" ref="J199">IF(ISERROR(G199/I199),"",G199/I199)</f>
        <v>14.114942528735632</v>
      </c>
      <c r="K199" s="146">
        <f>SUM(K178:K198)</f>
        <v>35.90281329923274</v>
      </c>
      <c r="L199" s="147"/>
      <c r="M199" s="150">
        <f t="shared" ref="M199:AA199" si="91">SUM(M178:M198)</f>
        <v>7.5971867007672609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89" t="s">
        <v>206</v>
      </c>
      <c r="C200" s="126" t="s">
        <v>199</v>
      </c>
      <c r="D200" s="108">
        <v>5.03</v>
      </c>
      <c r="E200" s="108"/>
      <c r="F200" s="127"/>
      <c r="G200" s="128"/>
      <c r="H200" s="490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494"/>
      <c r="P200" s="494"/>
      <c r="Q200" s="494"/>
      <c r="R200" s="494"/>
      <c r="S200" s="494"/>
      <c r="T200" s="494"/>
      <c r="U200" s="494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89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108*7+103+108</f>
        <v>967</v>
      </c>
      <c r="H201" s="490">
        <f t="shared" si="92"/>
        <v>4864.01</v>
      </c>
      <c r="I201" s="129">
        <f>7.5*2</f>
        <v>15</v>
      </c>
      <c r="J201" s="130">
        <f t="array" ref="J201">IF(ISERROR(G201/I201),"",G201/I201)</f>
        <v>64.466666666666669</v>
      </c>
      <c r="K201" s="131">
        <f t="array" ref="K201">IF(ISERROR(G201/L201),"",G201/L201)</f>
        <v>18.596153846153847</v>
      </c>
      <c r="L201" s="129">
        <v>52</v>
      </c>
      <c r="M201" s="109">
        <f t="shared" si="93"/>
        <v>-3.5961538461538467</v>
      </c>
      <c r="N201" s="130"/>
      <c r="O201" s="494"/>
      <c r="P201" s="494"/>
      <c r="Q201" s="494"/>
      <c r="R201" s="494"/>
      <c r="S201" s="494"/>
      <c r="T201" s="494"/>
      <c r="U201" s="49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89" t="s">
        <v>206</v>
      </c>
      <c r="C202" s="126" t="s">
        <v>186</v>
      </c>
      <c r="D202" s="108">
        <v>5.03</v>
      </c>
      <c r="E202" s="108"/>
      <c r="F202" s="127"/>
      <c r="G202" s="128"/>
      <c r="H202" s="490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94"/>
      <c r="P202" s="494"/>
      <c r="Q202" s="494"/>
      <c r="R202" s="494"/>
      <c r="S202" s="494"/>
      <c r="T202" s="494"/>
      <c r="U202" s="494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89" t="s">
        <v>206</v>
      </c>
      <c r="C203" s="126" t="s">
        <v>203</v>
      </c>
      <c r="D203" s="108">
        <v>5.03</v>
      </c>
      <c r="E203" s="108"/>
      <c r="F203" s="127">
        <v>42743</v>
      </c>
      <c r="G203" s="128">
        <f>108*3+108*2</f>
        <v>540</v>
      </c>
      <c r="H203" s="490">
        <f t="shared" si="92"/>
        <v>2716.2000000000003</v>
      </c>
      <c r="I203" s="129">
        <f>4*2</f>
        <v>8</v>
      </c>
      <c r="J203" s="130">
        <f t="array" ref="J203">IF(ISERROR(G203/I203),"",G203/I203)</f>
        <v>67.5</v>
      </c>
      <c r="K203" s="131">
        <f t="array" ref="K203">IF(ISERROR(G203/L203),"",G203/L203)</f>
        <v>10.384615384615385</v>
      </c>
      <c r="L203" s="129">
        <v>52</v>
      </c>
      <c r="M203" s="109">
        <f>IF(ISERROR(I203-K203),"",I203-K203)</f>
        <v>-2.384615384615385</v>
      </c>
      <c r="N203" s="130">
        <f t="shared" si="98"/>
        <v>0</v>
      </c>
      <c r="O203" s="494"/>
      <c r="P203" s="494"/>
      <c r="Q203" s="494"/>
      <c r="R203" s="494"/>
      <c r="S203" s="494"/>
      <c r="T203" s="494"/>
      <c r="U203" s="494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89" t="s">
        <v>206</v>
      </c>
      <c r="C204" s="126" t="s">
        <v>207</v>
      </c>
      <c r="D204" s="108">
        <v>5.03</v>
      </c>
      <c r="E204" s="108"/>
      <c r="F204" s="127"/>
      <c r="G204" s="128"/>
      <c r="H204" s="490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94"/>
      <c r="P204" s="494"/>
      <c r="Q204" s="494"/>
      <c r="R204" s="494"/>
      <c r="S204" s="494"/>
      <c r="T204" s="494"/>
      <c r="U204" s="494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9" t="s">
        <v>414</v>
      </c>
      <c r="C205" s="187" t="s">
        <v>415</v>
      </c>
      <c r="D205" s="108">
        <v>5.03</v>
      </c>
      <c r="E205" s="108"/>
      <c r="F205" s="127"/>
      <c r="G205" s="128"/>
      <c r="H205" s="490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94"/>
      <c r="P205" s="494"/>
      <c r="Q205" s="494"/>
      <c r="R205" s="494"/>
      <c r="S205" s="494"/>
      <c r="T205" s="494"/>
      <c r="U205" s="49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9" t="s">
        <v>414</v>
      </c>
      <c r="C206" s="187" t="s">
        <v>416</v>
      </c>
      <c r="D206" s="108">
        <v>5.03</v>
      </c>
      <c r="E206" s="108"/>
      <c r="F206" s="127"/>
      <c r="G206" s="128"/>
      <c r="H206" s="490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94"/>
      <c r="P206" s="494"/>
      <c r="Q206" s="494"/>
      <c r="R206" s="494"/>
      <c r="S206" s="494"/>
      <c r="T206" s="494"/>
      <c r="U206" s="49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9" t="s">
        <v>414</v>
      </c>
      <c r="C207" s="187" t="s">
        <v>61</v>
      </c>
      <c r="D207" s="108">
        <v>5.03</v>
      </c>
      <c r="E207" s="108"/>
      <c r="F207" s="127"/>
      <c r="G207" s="128"/>
      <c r="H207" s="490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94"/>
      <c r="P207" s="494"/>
      <c r="Q207" s="494"/>
      <c r="R207" s="494"/>
      <c r="S207" s="494"/>
      <c r="T207" s="494"/>
      <c r="U207" s="49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9" t="s">
        <v>208</v>
      </c>
      <c r="C208" s="126" t="s">
        <v>179</v>
      </c>
      <c r="D208" s="108">
        <v>5.08</v>
      </c>
      <c r="E208" s="108"/>
      <c r="F208" s="127"/>
      <c r="G208" s="128"/>
      <c r="H208" s="490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94"/>
      <c r="P208" s="494"/>
      <c r="Q208" s="494"/>
      <c r="R208" s="494"/>
      <c r="S208" s="494"/>
      <c r="T208" s="494"/>
      <c r="U208" s="494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9" t="s">
        <v>208</v>
      </c>
      <c r="C209" s="126" t="s">
        <v>204</v>
      </c>
      <c r="D209" s="108">
        <v>5.08</v>
      </c>
      <c r="E209" s="108"/>
      <c r="F209" s="127"/>
      <c r="G209" s="128"/>
      <c r="H209" s="490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94"/>
      <c r="P209" s="494"/>
      <c r="Q209" s="494"/>
      <c r="R209" s="494"/>
      <c r="S209" s="494"/>
      <c r="T209" s="494"/>
      <c r="U209" s="49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9" t="s">
        <v>208</v>
      </c>
      <c r="C210" s="126" t="s">
        <v>205</v>
      </c>
      <c r="D210" s="108">
        <v>5.08</v>
      </c>
      <c r="E210" s="108"/>
      <c r="F210" s="127"/>
      <c r="G210" s="128"/>
      <c r="H210" s="490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94"/>
      <c r="P210" s="494"/>
      <c r="Q210" s="494"/>
      <c r="R210" s="494"/>
      <c r="S210" s="494"/>
      <c r="T210" s="494"/>
      <c r="U210" s="49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9" t="s">
        <v>208</v>
      </c>
      <c r="C211" s="126" t="s">
        <v>186</v>
      </c>
      <c r="D211" s="108">
        <v>5.08</v>
      </c>
      <c r="E211" s="108"/>
      <c r="F211" s="127"/>
      <c r="G211" s="128"/>
      <c r="H211" s="490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94"/>
      <c r="P211" s="494"/>
      <c r="Q211" s="494"/>
      <c r="R211" s="494"/>
      <c r="S211" s="494"/>
      <c r="T211" s="494"/>
      <c r="U211" s="49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9" t="s">
        <v>208</v>
      </c>
      <c r="C212" s="126" t="s">
        <v>203</v>
      </c>
      <c r="D212" s="108">
        <v>5.08</v>
      </c>
      <c r="E212" s="108"/>
      <c r="F212" s="127"/>
      <c r="G212" s="128"/>
      <c r="H212" s="490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4"/>
      <c r="P212" s="494"/>
      <c r="Q212" s="494"/>
      <c r="R212" s="494"/>
      <c r="S212" s="494"/>
      <c r="T212" s="494"/>
      <c r="U212" s="494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9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108*7+57+1</f>
        <v>814</v>
      </c>
      <c r="H213" s="490">
        <f t="shared" si="92"/>
        <v>4135.12</v>
      </c>
      <c r="I213" s="129">
        <f>11.5*3</f>
        <v>34.5</v>
      </c>
      <c r="J213" s="130">
        <f t="array" ref="J213">IF(ISERROR(G213/I213),"",G213/I213)</f>
        <v>23.594202898550726</v>
      </c>
      <c r="K213" s="131">
        <f t="array" ref="K213">IF(ISERROR(G213/L213),"",G213/L213)</f>
        <v>38.761904761904759</v>
      </c>
      <c r="L213" s="129">
        <v>21</v>
      </c>
      <c r="M213" s="109">
        <f t="shared" si="102"/>
        <v>-4.2619047619047592</v>
      </c>
      <c r="N213" s="130">
        <f t="shared" si="103"/>
        <v>0</v>
      </c>
      <c r="O213" s="498"/>
      <c r="P213" s="498"/>
      <c r="Q213" s="498"/>
      <c r="R213" s="498"/>
      <c r="S213" s="498"/>
      <c r="T213" s="498"/>
      <c r="U213" s="498"/>
      <c r="V213" s="132">
        <f t="shared" si="104"/>
        <v>0</v>
      </c>
      <c r="W213" s="133">
        <f t="shared" si="105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9" t="s">
        <v>208</v>
      </c>
      <c r="C214" s="126" t="s">
        <v>187</v>
      </c>
      <c r="D214" s="108">
        <v>5.08</v>
      </c>
      <c r="E214" s="108"/>
      <c r="F214" s="127"/>
      <c r="G214" s="128"/>
      <c r="H214" s="490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4"/>
      <c r="P214" s="494"/>
      <c r="Q214" s="494"/>
      <c r="R214" s="494"/>
      <c r="S214" s="494"/>
      <c r="T214" s="494"/>
      <c r="U214" s="494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89" t="s">
        <v>208</v>
      </c>
      <c r="C215" s="126" t="s">
        <v>207</v>
      </c>
      <c r="D215" s="108">
        <v>5.08</v>
      </c>
      <c r="E215" s="108"/>
      <c r="F215" s="127"/>
      <c r="G215" s="128"/>
      <c r="H215" s="490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98"/>
      <c r="P215" s="498"/>
      <c r="Q215" s="498"/>
      <c r="R215" s="498"/>
      <c r="S215" s="498"/>
      <c r="T215" s="498"/>
      <c r="U215" s="498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9" t="s">
        <v>209</v>
      </c>
      <c r="C216" s="126" t="s">
        <v>194</v>
      </c>
      <c r="D216" s="108">
        <v>5.03</v>
      </c>
      <c r="E216" s="108"/>
      <c r="F216" s="127"/>
      <c r="G216" s="128"/>
      <c r="H216" s="490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94"/>
      <c r="P216" s="494"/>
      <c r="Q216" s="494"/>
      <c r="R216" s="494"/>
      <c r="S216" s="494"/>
      <c r="T216" s="494"/>
      <c r="U216" s="49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9" t="s">
        <v>209</v>
      </c>
      <c r="C217" s="126" t="s">
        <v>179</v>
      </c>
      <c r="D217" s="108">
        <v>5.03</v>
      </c>
      <c r="E217" s="108"/>
      <c r="F217" s="127"/>
      <c r="G217" s="128"/>
      <c r="H217" s="490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94"/>
      <c r="P217" s="494"/>
      <c r="Q217" s="494"/>
      <c r="R217" s="494"/>
      <c r="S217" s="494"/>
      <c r="T217" s="494"/>
      <c r="U217" s="49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9" t="s">
        <v>209</v>
      </c>
      <c r="C218" s="126" t="s">
        <v>195</v>
      </c>
      <c r="D218" s="108">
        <v>5.03</v>
      </c>
      <c r="E218" s="108"/>
      <c r="F218" s="127"/>
      <c r="G218" s="128"/>
      <c r="H218" s="490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94"/>
      <c r="P218" s="494"/>
      <c r="Q218" s="494"/>
      <c r="R218" s="494"/>
      <c r="S218" s="494"/>
      <c r="T218" s="494"/>
      <c r="U218" s="49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9" t="s">
        <v>209</v>
      </c>
      <c r="C219" s="126" t="s">
        <v>204</v>
      </c>
      <c r="D219" s="108">
        <v>5.03</v>
      </c>
      <c r="E219" s="108"/>
      <c r="F219" s="127"/>
      <c r="G219" s="128"/>
      <c r="H219" s="490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94"/>
      <c r="P219" s="494"/>
      <c r="Q219" s="494"/>
      <c r="R219" s="494"/>
      <c r="S219" s="494"/>
      <c r="T219" s="494"/>
      <c r="U219" s="494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9" t="s">
        <v>382</v>
      </c>
      <c r="C220" s="187" t="s">
        <v>383</v>
      </c>
      <c r="D220" s="108">
        <v>5.03</v>
      </c>
      <c r="E220" s="108"/>
      <c r="F220" s="127"/>
      <c r="G220" s="128"/>
      <c r="H220" s="490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94"/>
      <c r="P220" s="494"/>
      <c r="Q220" s="494"/>
      <c r="R220" s="494"/>
      <c r="S220" s="494"/>
      <c r="T220" s="494"/>
      <c r="U220" s="49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9" t="s">
        <v>382</v>
      </c>
      <c r="C221" s="187" t="s">
        <v>384</v>
      </c>
      <c r="D221" s="108">
        <v>5.03</v>
      </c>
      <c r="E221" s="108"/>
      <c r="F221" s="127"/>
      <c r="G221" s="128"/>
      <c r="H221" s="490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94"/>
      <c r="P221" s="494"/>
      <c r="Q221" s="494"/>
      <c r="R221" s="494"/>
      <c r="S221" s="494"/>
      <c r="T221" s="494"/>
      <c r="U221" s="49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9" t="s">
        <v>382</v>
      </c>
      <c r="C222" s="187" t="s">
        <v>389</v>
      </c>
      <c r="D222" s="108">
        <v>5.03</v>
      </c>
      <c r="E222" s="108"/>
      <c r="F222" s="127"/>
      <c r="G222" s="128"/>
      <c r="H222" s="490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94"/>
      <c r="P222" s="494"/>
      <c r="Q222" s="494"/>
      <c r="R222" s="494"/>
      <c r="S222" s="494"/>
      <c r="T222" s="494"/>
      <c r="U222" s="49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9" t="s">
        <v>382</v>
      </c>
      <c r="C223" s="187" t="s">
        <v>391</v>
      </c>
      <c r="D223" s="108">
        <v>5.03</v>
      </c>
      <c r="E223" s="108"/>
      <c r="F223" s="127"/>
      <c r="G223" s="128"/>
      <c r="H223" s="490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94"/>
      <c r="P223" s="494"/>
      <c r="Q223" s="494"/>
      <c r="R223" s="494"/>
      <c r="S223" s="494"/>
      <c r="T223" s="494"/>
      <c r="U223" s="49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9" t="s">
        <v>418</v>
      </c>
      <c r="C224" s="187" t="s">
        <v>364</v>
      </c>
      <c r="D224" s="108">
        <v>5.03</v>
      </c>
      <c r="E224" s="108"/>
      <c r="F224" s="127"/>
      <c r="G224" s="128"/>
      <c r="H224" s="490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94"/>
      <c r="P224" s="494"/>
      <c r="Q224" s="494"/>
      <c r="R224" s="494"/>
      <c r="S224" s="494"/>
      <c r="T224" s="494"/>
      <c r="U224" s="49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9" t="s">
        <v>418</v>
      </c>
      <c r="C225" s="187" t="s">
        <v>365</v>
      </c>
      <c r="D225" s="108">
        <v>5.03</v>
      </c>
      <c r="E225" s="108"/>
      <c r="F225" s="127"/>
      <c r="G225" s="128"/>
      <c r="H225" s="490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94"/>
      <c r="P225" s="494"/>
      <c r="Q225" s="494"/>
      <c r="R225" s="494"/>
      <c r="S225" s="494"/>
      <c r="T225" s="494"/>
      <c r="U225" s="49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9" t="s">
        <v>418</v>
      </c>
      <c r="C226" s="187" t="s">
        <v>366</v>
      </c>
      <c r="D226" s="108">
        <v>5.03</v>
      </c>
      <c r="E226" s="108"/>
      <c r="F226" s="127"/>
      <c r="G226" s="128"/>
      <c r="H226" s="490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94"/>
      <c r="P226" s="494"/>
      <c r="Q226" s="494"/>
      <c r="R226" s="494"/>
      <c r="S226" s="494"/>
      <c r="T226" s="494"/>
      <c r="U226" s="49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9" t="s">
        <v>418</v>
      </c>
      <c r="C227" s="187" t="s">
        <v>367</v>
      </c>
      <c r="D227" s="108">
        <v>5.03</v>
      </c>
      <c r="E227" s="108"/>
      <c r="F227" s="127"/>
      <c r="G227" s="128"/>
      <c r="H227" s="490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94"/>
      <c r="P227" s="494"/>
      <c r="Q227" s="494"/>
      <c r="R227" s="494"/>
      <c r="S227" s="494"/>
      <c r="T227" s="494"/>
      <c r="U227" s="49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90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8"/>
      <c r="P228" s="498"/>
      <c r="Q228" s="498"/>
      <c r="R228" s="498"/>
      <c r="S228" s="498"/>
      <c r="T228" s="498"/>
      <c r="U228" s="498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90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8"/>
      <c r="P229" s="498"/>
      <c r="Q229" s="498"/>
      <c r="R229" s="498"/>
      <c r="S229" s="498"/>
      <c r="T229" s="498"/>
      <c r="U229" s="498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90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98"/>
      <c r="P230" s="498"/>
      <c r="Q230" s="498"/>
      <c r="R230" s="498"/>
      <c r="S230" s="498"/>
      <c r="T230" s="498"/>
      <c r="U230" s="498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90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8"/>
      <c r="P231" s="498"/>
      <c r="Q231" s="498"/>
      <c r="R231" s="498"/>
      <c r="S231" s="498"/>
      <c r="T231" s="498"/>
      <c r="U231" s="498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90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8"/>
      <c r="P232" s="498"/>
      <c r="Q232" s="498"/>
      <c r="R232" s="498"/>
      <c r="S232" s="498"/>
      <c r="T232" s="498"/>
      <c r="U232" s="498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90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8"/>
      <c r="P233" s="498"/>
      <c r="Q233" s="498"/>
      <c r="R233" s="498"/>
      <c r="S233" s="498"/>
      <c r="T233" s="498"/>
      <c r="U233" s="498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90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98"/>
      <c r="P234" s="498"/>
      <c r="Q234" s="498"/>
      <c r="R234" s="498"/>
      <c r="S234" s="498"/>
      <c r="T234" s="498"/>
      <c r="U234" s="498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>
        <v>42744</v>
      </c>
      <c r="G235" s="128">
        <f>90*7+24</f>
        <v>654</v>
      </c>
      <c r="H235" s="490">
        <f t="shared" si="92"/>
        <v>3289.6200000000003</v>
      </c>
      <c r="I235" s="129">
        <v>10.5</v>
      </c>
      <c r="J235" s="130">
        <f t="array" ref="J235">IF(ISERROR(G235/I235),"",G235/I235)</f>
        <v>62.285714285714285</v>
      </c>
      <c r="K235" s="131">
        <f t="array" ref="K235">IF(ISERROR(G235/L235),"",G235/L235)</f>
        <v>13.08</v>
      </c>
      <c r="L235" s="129">
        <v>50</v>
      </c>
      <c r="M235" s="109">
        <f t="shared" si="102"/>
        <v>-2.58</v>
      </c>
      <c r="N235" s="130">
        <f t="shared" si="103"/>
        <v>0</v>
      </c>
      <c r="O235" s="498"/>
      <c r="P235" s="498"/>
      <c r="Q235" s="498"/>
      <c r="R235" s="498"/>
      <c r="S235" s="498"/>
      <c r="T235" s="498"/>
      <c r="U235" s="498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26</v>
      </c>
      <c r="H236" s="490">
        <f t="shared" si="92"/>
        <v>130.78</v>
      </c>
      <c r="I236" s="129">
        <v>1</v>
      </c>
      <c r="J236" s="130">
        <f t="array" ref="J236">IF(ISERROR(G236/I236),"",G236/I236)</f>
        <v>26</v>
      </c>
      <c r="K236" s="131">
        <f t="array" ref="K236">IF(ISERROR(G236/L236),"",G236/L236)</f>
        <v>0.52</v>
      </c>
      <c r="L236" s="129">
        <v>50</v>
      </c>
      <c r="M236" s="109">
        <f t="shared" si="102"/>
        <v>0.48</v>
      </c>
      <c r="N236" s="130">
        <f t="shared" si="103"/>
        <v>0</v>
      </c>
      <c r="O236" s="498"/>
      <c r="P236" s="498"/>
      <c r="Q236" s="498"/>
      <c r="R236" s="498"/>
      <c r="S236" s="498"/>
      <c r="T236" s="498"/>
      <c r="U236" s="498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90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98"/>
      <c r="P237" s="498"/>
      <c r="Q237" s="498"/>
      <c r="R237" s="498"/>
      <c r="S237" s="498"/>
      <c r="T237" s="498"/>
      <c r="U237" s="498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90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98"/>
      <c r="P238" s="498"/>
      <c r="Q238" s="498"/>
      <c r="R238" s="498"/>
      <c r="S238" s="498"/>
      <c r="T238" s="498"/>
      <c r="U238" s="498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90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98"/>
      <c r="P239" s="498"/>
      <c r="Q239" s="498"/>
      <c r="R239" s="498"/>
      <c r="S239" s="498"/>
      <c r="T239" s="498"/>
      <c r="U239" s="498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90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98"/>
      <c r="P240" s="498"/>
      <c r="Q240" s="498"/>
      <c r="R240" s="498"/>
      <c r="S240" s="498"/>
      <c r="T240" s="498"/>
      <c r="U240" s="498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90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98"/>
      <c r="P241" s="498"/>
      <c r="Q241" s="498"/>
      <c r="R241" s="498"/>
      <c r="S241" s="498"/>
      <c r="T241" s="498"/>
      <c r="U241" s="498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90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98"/>
      <c r="P242" s="498"/>
      <c r="Q242" s="498"/>
      <c r="R242" s="498"/>
      <c r="S242" s="498"/>
      <c r="T242" s="498"/>
      <c r="U242" s="498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90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98"/>
      <c r="P243" s="498"/>
      <c r="Q243" s="498"/>
      <c r="R243" s="498"/>
      <c r="S243" s="498"/>
      <c r="T243" s="498"/>
      <c r="U243" s="498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90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8"/>
      <c r="P244" s="498"/>
      <c r="Q244" s="498"/>
      <c r="R244" s="498"/>
      <c r="S244" s="498"/>
      <c r="T244" s="498"/>
      <c r="U244" s="498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90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8"/>
      <c r="P245" s="498"/>
      <c r="Q245" s="498"/>
      <c r="R245" s="498"/>
      <c r="S245" s="498"/>
      <c r="T245" s="498"/>
      <c r="U245" s="498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90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98"/>
      <c r="P246" s="498"/>
      <c r="Q246" s="498"/>
      <c r="R246" s="498"/>
      <c r="S246" s="498"/>
      <c r="T246" s="498"/>
      <c r="U246" s="498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90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8"/>
      <c r="P247" s="498"/>
      <c r="Q247" s="498"/>
      <c r="R247" s="498"/>
      <c r="S247" s="498"/>
      <c r="T247" s="498"/>
      <c r="U247" s="49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90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8"/>
      <c r="P248" s="498"/>
      <c r="Q248" s="498"/>
      <c r="R248" s="498"/>
      <c r="S248" s="498"/>
      <c r="T248" s="498"/>
      <c r="U248" s="49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90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8"/>
      <c r="P249" s="498"/>
      <c r="Q249" s="498"/>
      <c r="R249" s="498"/>
      <c r="S249" s="498"/>
      <c r="T249" s="498"/>
      <c r="U249" s="49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90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98"/>
      <c r="P250" s="498"/>
      <c r="Q250" s="498"/>
      <c r="R250" s="498"/>
      <c r="S250" s="498"/>
      <c r="T250" s="498"/>
      <c r="U250" s="49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90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98"/>
      <c r="P251" s="498"/>
      <c r="Q251" s="498"/>
      <c r="R251" s="498"/>
      <c r="S251" s="498"/>
      <c r="T251" s="498"/>
      <c r="U251" s="49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90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98"/>
      <c r="P252" s="498"/>
      <c r="Q252" s="498"/>
      <c r="R252" s="498"/>
      <c r="S252" s="498"/>
      <c r="T252" s="498"/>
      <c r="U252" s="49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90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98"/>
      <c r="P253" s="498"/>
      <c r="Q253" s="498"/>
      <c r="R253" s="498"/>
      <c r="S253" s="498"/>
      <c r="T253" s="498"/>
      <c r="U253" s="49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90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98"/>
      <c r="P254" s="498"/>
      <c r="Q254" s="498"/>
      <c r="R254" s="498"/>
      <c r="S254" s="498"/>
      <c r="T254" s="498"/>
      <c r="U254" s="49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90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98"/>
      <c r="P255" s="498"/>
      <c r="Q255" s="498"/>
      <c r="R255" s="498"/>
      <c r="S255" s="498"/>
      <c r="T255" s="498"/>
      <c r="U255" s="498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90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98"/>
      <c r="P256" s="498"/>
      <c r="Q256" s="498"/>
      <c r="R256" s="498"/>
      <c r="S256" s="498"/>
      <c r="T256" s="498"/>
      <c r="U256" s="498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99" t="s">
        <v>202</v>
      </c>
      <c r="D257" s="143"/>
      <c r="E257" s="143"/>
      <c r="F257" s="144"/>
      <c r="G257" s="145">
        <f>SUM(G200:G256)</f>
        <v>3001</v>
      </c>
      <c r="H257" s="146">
        <f>SUM(H200:H256)</f>
        <v>15135.730000000003</v>
      </c>
      <c r="I257" s="146">
        <f>SUM(I200:I256)</f>
        <v>69</v>
      </c>
      <c r="J257" s="130">
        <f t="array" ref="J257">IF(ISERROR(G257/I257),"",G257/I257)</f>
        <v>43.492753623188406</v>
      </c>
      <c r="K257" s="146">
        <f>SUM(K200:K256)</f>
        <v>81.34267399267398</v>
      </c>
      <c r="L257" s="147"/>
      <c r="M257" s="150">
        <f t="shared" ref="M257:V257" si="115">SUM(M200:M256)</f>
        <v>-12.342673992673991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9" t="s">
        <v>217</v>
      </c>
      <c r="C258" s="126" t="s">
        <v>179</v>
      </c>
      <c r="D258" s="108">
        <v>5.03</v>
      </c>
      <c r="E258" s="108"/>
      <c r="F258" s="127"/>
      <c r="G258" s="128"/>
      <c r="H258" s="490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98"/>
      <c r="P258" s="498"/>
      <c r="Q258" s="498"/>
      <c r="R258" s="498"/>
      <c r="S258" s="498"/>
      <c r="T258" s="498"/>
      <c r="U258" s="498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9" t="s">
        <v>217</v>
      </c>
      <c r="C259" s="126" t="s">
        <v>186</v>
      </c>
      <c r="D259" s="108">
        <v>5.03</v>
      </c>
      <c r="E259" s="108"/>
      <c r="F259" s="127"/>
      <c r="G259" s="128"/>
      <c r="H259" s="490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8"/>
      <c r="P259" s="498"/>
      <c r="Q259" s="498"/>
      <c r="R259" s="498"/>
      <c r="S259" s="498"/>
      <c r="T259" s="498"/>
      <c r="U259" s="498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89" t="s">
        <v>217</v>
      </c>
      <c r="C260" s="126" t="s">
        <v>204</v>
      </c>
      <c r="D260" s="108">
        <v>5.03</v>
      </c>
      <c r="E260" s="108"/>
      <c r="F260" s="127"/>
      <c r="G260" s="128"/>
      <c r="H260" s="490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98"/>
      <c r="P260" s="498"/>
      <c r="Q260" s="498"/>
      <c r="R260" s="498"/>
      <c r="S260" s="498"/>
      <c r="T260" s="498"/>
      <c r="U260" s="498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90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8"/>
      <c r="P261" s="498"/>
      <c r="Q261" s="498"/>
      <c r="R261" s="498"/>
      <c r="S261" s="498"/>
      <c r="T261" s="498"/>
      <c r="U261" s="498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90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8"/>
      <c r="P262" s="498"/>
      <c r="Q262" s="498"/>
      <c r="R262" s="498"/>
      <c r="S262" s="498"/>
      <c r="T262" s="498"/>
      <c r="U262" s="498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90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8"/>
      <c r="P263" s="498"/>
      <c r="Q263" s="498"/>
      <c r="R263" s="498"/>
      <c r="S263" s="498"/>
      <c r="T263" s="498"/>
      <c r="U263" s="498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90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8"/>
      <c r="P264" s="498"/>
      <c r="Q264" s="498"/>
      <c r="R264" s="498"/>
      <c r="S264" s="498"/>
      <c r="T264" s="498"/>
      <c r="U264" s="498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90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98"/>
      <c r="P265" s="498"/>
      <c r="Q265" s="498"/>
      <c r="R265" s="498"/>
      <c r="S265" s="498"/>
      <c r="T265" s="498"/>
      <c r="U265" s="498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90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8"/>
      <c r="P266" s="498"/>
      <c r="Q266" s="498"/>
      <c r="R266" s="498"/>
      <c r="S266" s="498"/>
      <c r="T266" s="498"/>
      <c r="U266" s="49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90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8"/>
      <c r="P267" s="498"/>
      <c r="Q267" s="498"/>
      <c r="R267" s="498"/>
      <c r="S267" s="498"/>
      <c r="T267" s="498"/>
      <c r="U267" s="49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90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8"/>
      <c r="P268" s="498"/>
      <c r="Q268" s="498"/>
      <c r="R268" s="498"/>
      <c r="S268" s="498"/>
      <c r="T268" s="498"/>
      <c r="U268" s="49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90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98"/>
      <c r="P269" s="498"/>
      <c r="Q269" s="498"/>
      <c r="R269" s="498"/>
      <c r="S269" s="498"/>
      <c r="T269" s="498"/>
      <c r="U269" s="498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90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98"/>
      <c r="P270" s="498"/>
      <c r="Q270" s="498"/>
      <c r="R270" s="498"/>
      <c r="S270" s="498"/>
      <c r="T270" s="498"/>
      <c r="U270" s="498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90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8"/>
      <c r="P271" s="498"/>
      <c r="Q271" s="498"/>
      <c r="R271" s="498"/>
      <c r="S271" s="498"/>
      <c r="T271" s="498"/>
      <c r="U271" s="498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90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8"/>
      <c r="P272" s="498"/>
      <c r="Q272" s="498"/>
      <c r="R272" s="498"/>
      <c r="S272" s="498"/>
      <c r="T272" s="498"/>
      <c r="U272" s="498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90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98"/>
      <c r="P273" s="498"/>
      <c r="Q273" s="498"/>
      <c r="R273" s="498"/>
      <c r="S273" s="498"/>
      <c r="T273" s="498"/>
      <c r="U273" s="498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9" t="s">
        <v>222</v>
      </c>
      <c r="C274" s="126" t="s">
        <v>181</v>
      </c>
      <c r="D274" s="108">
        <v>9.36</v>
      </c>
      <c r="E274" s="108"/>
      <c r="F274" s="127"/>
      <c r="G274" s="128"/>
      <c r="H274" s="490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8"/>
      <c r="P274" s="498"/>
      <c r="Q274" s="498"/>
      <c r="R274" s="498"/>
      <c r="S274" s="498"/>
      <c r="T274" s="498"/>
      <c r="U274" s="498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9" t="s">
        <v>222</v>
      </c>
      <c r="C275" s="126" t="s">
        <v>179</v>
      </c>
      <c r="D275" s="108">
        <v>9.36</v>
      </c>
      <c r="E275" s="108"/>
      <c r="F275" s="127"/>
      <c r="G275" s="128"/>
      <c r="H275" s="490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8"/>
      <c r="P275" s="498"/>
      <c r="Q275" s="498"/>
      <c r="R275" s="498"/>
      <c r="S275" s="498"/>
      <c r="T275" s="498"/>
      <c r="U275" s="498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9" t="s">
        <v>222</v>
      </c>
      <c r="C276" s="126" t="s">
        <v>221</v>
      </c>
      <c r="D276" s="108">
        <v>9.36</v>
      </c>
      <c r="E276" s="108"/>
      <c r="F276" s="127"/>
      <c r="G276" s="128"/>
      <c r="H276" s="490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8"/>
      <c r="P276" s="498"/>
      <c r="Q276" s="498"/>
      <c r="R276" s="498"/>
      <c r="S276" s="498"/>
      <c r="T276" s="498"/>
      <c r="U276" s="498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9" t="s">
        <v>222</v>
      </c>
      <c r="C277" s="126" t="s">
        <v>186</v>
      </c>
      <c r="D277" s="108">
        <v>9.36</v>
      </c>
      <c r="E277" s="108"/>
      <c r="F277" s="127"/>
      <c r="G277" s="128"/>
      <c r="H277" s="490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98"/>
      <c r="P277" s="498"/>
      <c r="Q277" s="498"/>
      <c r="R277" s="498"/>
      <c r="S277" s="498"/>
      <c r="T277" s="498"/>
      <c r="U277" s="498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9" t="s">
        <v>393</v>
      </c>
      <c r="C278" s="187" t="s">
        <v>395</v>
      </c>
      <c r="D278" s="108">
        <v>5</v>
      </c>
      <c r="E278" s="108"/>
      <c r="F278" s="127"/>
      <c r="G278" s="128"/>
      <c r="H278" s="490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8"/>
      <c r="P278" s="498"/>
      <c r="Q278" s="498"/>
      <c r="R278" s="498"/>
      <c r="S278" s="498"/>
      <c r="T278" s="498"/>
      <c r="U278" s="498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9" t="s">
        <v>393</v>
      </c>
      <c r="C279" s="187" t="s">
        <v>402</v>
      </c>
      <c r="D279" s="108">
        <v>5</v>
      </c>
      <c r="E279" s="108"/>
      <c r="F279" s="127"/>
      <c r="G279" s="128"/>
      <c r="H279" s="490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8"/>
      <c r="P279" s="498"/>
      <c r="Q279" s="498"/>
      <c r="R279" s="498"/>
      <c r="S279" s="498"/>
      <c r="T279" s="498"/>
      <c r="U279" s="49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9" t="s">
        <v>404</v>
      </c>
      <c r="C280" s="187" t="s">
        <v>405</v>
      </c>
      <c r="D280" s="108">
        <v>5</v>
      </c>
      <c r="E280" s="108"/>
      <c r="F280" s="127"/>
      <c r="G280" s="128"/>
      <c r="H280" s="490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8"/>
      <c r="P280" s="498"/>
      <c r="Q280" s="498"/>
      <c r="R280" s="498"/>
      <c r="S280" s="498"/>
      <c r="T280" s="498"/>
      <c r="U280" s="49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9" t="s">
        <v>342</v>
      </c>
      <c r="C281" s="187" t="s">
        <v>372</v>
      </c>
      <c r="D281" s="108">
        <v>5</v>
      </c>
      <c r="E281" s="108"/>
      <c r="F281" s="127"/>
      <c r="G281" s="128"/>
      <c r="H281" s="490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98"/>
      <c r="P281" s="498"/>
      <c r="Q281" s="498"/>
      <c r="R281" s="498"/>
      <c r="S281" s="498"/>
      <c r="T281" s="498"/>
      <c r="U281" s="498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489" t="s">
        <v>343</v>
      </c>
      <c r="C282" s="126" t="s">
        <v>345</v>
      </c>
      <c r="D282" s="108">
        <v>5</v>
      </c>
      <c r="E282" s="108"/>
      <c r="F282" s="127">
        <v>42743</v>
      </c>
      <c r="G282" s="128">
        <v>90</v>
      </c>
      <c r="H282" s="490">
        <f t="shared" si="117"/>
        <v>450</v>
      </c>
      <c r="I282" s="129">
        <f>5*3+1.5*6</f>
        <v>24</v>
      </c>
      <c r="J282" s="130">
        <f t="array" ref="J282">IF(ISERROR(G282/I282),"",G282/I282)</f>
        <v>3.75</v>
      </c>
      <c r="K282" s="131">
        <f t="array" ref="K282">IF(ISERROR(G282/L282),"",G282/L282)</f>
        <v>18</v>
      </c>
      <c r="L282" s="129">
        <v>5</v>
      </c>
      <c r="M282" s="109">
        <f t="shared" si="121"/>
        <v>6</v>
      </c>
      <c r="N282" s="130">
        <f t="shared" si="122"/>
        <v>0</v>
      </c>
      <c r="O282" s="498"/>
      <c r="P282" s="498"/>
      <c r="Q282" s="498"/>
      <c r="R282" s="498"/>
      <c r="S282" s="498"/>
      <c r="T282" s="498"/>
      <c r="U282" s="49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89" t="s">
        <v>343</v>
      </c>
      <c r="C283" s="126" t="s">
        <v>347</v>
      </c>
      <c r="D283" s="108">
        <v>5</v>
      </c>
      <c r="E283" s="108"/>
      <c r="F283" s="127"/>
      <c r="G283" s="128"/>
      <c r="H283" s="490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98"/>
      <c r="P283" s="498"/>
      <c r="Q283" s="498"/>
      <c r="R283" s="498"/>
      <c r="S283" s="498"/>
      <c r="T283" s="498"/>
      <c r="U283" s="498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100+46</f>
        <v>146</v>
      </c>
      <c r="H284" s="490">
        <f t="shared" si="117"/>
        <v>738.76</v>
      </c>
      <c r="I284" s="129">
        <f>6.5*3</f>
        <v>19.5</v>
      </c>
      <c r="J284" s="130">
        <f t="array" ref="J284">IF(ISERROR(G284/I284),"",G284/I284)</f>
        <v>7.4871794871794872</v>
      </c>
      <c r="K284" s="131">
        <f t="array" ref="K284">IF(ISERROR(G284/L284),"",G284/L284)</f>
        <v>9.4193548387096779</v>
      </c>
      <c r="L284" s="129">
        <v>15.5</v>
      </c>
      <c r="M284" s="109">
        <f t="shared" si="121"/>
        <v>10.080645161290322</v>
      </c>
      <c r="N284" s="130">
        <f t="shared" si="122"/>
        <v>0</v>
      </c>
      <c r="O284" s="498"/>
      <c r="P284" s="498"/>
      <c r="Q284" s="498"/>
      <c r="R284" s="498"/>
      <c r="S284" s="498"/>
      <c r="T284" s="498"/>
      <c r="U284" s="498"/>
      <c r="V284" s="132">
        <f t="shared" ref="V284:V285" si="126">SUM(X284:AA284)</f>
        <v>0</v>
      </c>
      <c r="W284" s="133">
        <f t="shared" ref="W284:W285" si="127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90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98"/>
      <c r="P285" s="498"/>
      <c r="Q285" s="498"/>
      <c r="R285" s="498"/>
      <c r="S285" s="498"/>
      <c r="T285" s="498"/>
      <c r="U285" s="498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90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8"/>
      <c r="P286" s="498"/>
      <c r="Q286" s="498"/>
      <c r="R286" s="498"/>
      <c r="S286" s="498"/>
      <c r="T286" s="498"/>
      <c r="U286" s="498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128">
        <v>63</v>
      </c>
      <c r="H287" s="490">
        <f t="shared" si="117"/>
        <v>316.89000000000004</v>
      </c>
      <c r="I287" s="129">
        <f>1*5</f>
        <v>5</v>
      </c>
      <c r="J287" s="130">
        <f t="array" ref="J287">IF(ISERROR(G287/I287),"",G287/I287)</f>
        <v>12.6</v>
      </c>
      <c r="K287" s="131">
        <f t="array" ref="K287">IF(ISERROR(G287/L287),"",G287/L287)</f>
        <v>2.625</v>
      </c>
      <c r="L287" s="129">
        <v>24</v>
      </c>
      <c r="M287" s="109">
        <f t="shared" si="121"/>
        <v>2.375</v>
      </c>
      <c r="N287" s="130"/>
      <c r="O287" s="498"/>
      <c r="P287" s="498"/>
      <c r="Q287" s="498"/>
      <c r="R287" s="498"/>
      <c r="S287" s="498"/>
      <c r="T287" s="498"/>
      <c r="U287" s="49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90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98"/>
      <c r="P288" s="498"/>
      <c r="Q288" s="498"/>
      <c r="R288" s="498"/>
      <c r="S288" s="498"/>
      <c r="T288" s="498"/>
      <c r="U288" s="498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100*2+50</f>
        <v>250</v>
      </c>
      <c r="H289" s="490">
        <f t="shared" si="117"/>
        <v>1267.5</v>
      </c>
      <c r="I289" s="129">
        <f>2*4+8.5*6</f>
        <v>59</v>
      </c>
      <c r="J289" s="130">
        <f t="array" ref="J289">IF(ISERROR(G289/I289),"",G289/I289)</f>
        <v>4.2372881355932206</v>
      </c>
      <c r="K289" s="131">
        <f t="array" ref="K289">IF(ISERROR(G289/L289),"",G289/L289)</f>
        <v>27.777777777777779</v>
      </c>
      <c r="L289" s="129">
        <v>9</v>
      </c>
      <c r="M289" s="109">
        <f t="shared" ref="M289:M291" si="128">IF(ISERROR(I289-K289),"",I289-K289)</f>
        <v>31.222222222222221</v>
      </c>
      <c r="N289" s="130">
        <f t="shared" ref="N289:N291" si="129">SUM(O289:U289)</f>
        <v>0</v>
      </c>
      <c r="O289" s="498"/>
      <c r="P289" s="498"/>
      <c r="Q289" s="498"/>
      <c r="R289" s="498"/>
      <c r="S289" s="498"/>
      <c r="T289" s="498"/>
      <c r="U289" s="498"/>
      <c r="V289" s="132">
        <f t="shared" ref="V289:V291" si="130">SUM(X289:AA289)</f>
        <v>0</v>
      </c>
      <c r="W289" s="133">
        <f t="shared" ref="W289:W313" si="131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90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8"/>
      <c r="P290" s="498"/>
      <c r="Q290" s="498"/>
      <c r="R290" s="498"/>
      <c r="S290" s="498"/>
      <c r="T290" s="498"/>
      <c r="U290" s="498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90">
        <f t="shared" si="117"/>
        <v>0</v>
      </c>
      <c r="I291" s="129"/>
      <c r="J291" s="130" t="str">
        <f t="array" ref="J291">IF(ISERROR(G291/I291),"",G291/I291)</f>
        <v/>
      </c>
      <c r="K291" s="490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98"/>
      <c r="P291" s="498"/>
      <c r="Q291" s="498"/>
      <c r="R291" s="498"/>
      <c r="S291" s="498"/>
      <c r="T291" s="498"/>
      <c r="U291" s="498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499" t="s">
        <v>202</v>
      </c>
      <c r="D292" s="143"/>
      <c r="E292" s="143"/>
      <c r="F292" s="144"/>
      <c r="G292" s="145">
        <f>SUM(G258:G291)</f>
        <v>549</v>
      </c>
      <c r="H292" s="146">
        <f>SUM(H258:H291)</f>
        <v>2773.15</v>
      </c>
      <c r="I292" s="146">
        <f>SUM(I258:I291)</f>
        <v>107.5</v>
      </c>
      <c r="J292" s="130">
        <f t="array" ref="J292">IF(ISERROR(G292/I292),"",G292/I292)</f>
        <v>5.1069767441860465</v>
      </c>
      <c r="K292" s="146">
        <f>SUM(K258:K291)</f>
        <v>57.822132616487458</v>
      </c>
      <c r="L292" s="147"/>
      <c r="M292" s="150">
        <f t="shared" ref="M292:V292" si="132">SUM(M258:M291)</f>
        <v>49.677867383512542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90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98"/>
      <c r="P293" s="498"/>
      <c r="Q293" s="498"/>
      <c r="R293" s="498"/>
      <c r="S293" s="498"/>
      <c r="T293" s="498"/>
      <c r="U293" s="498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90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98"/>
      <c r="P294" s="498"/>
      <c r="Q294" s="498"/>
      <c r="R294" s="498"/>
      <c r="S294" s="498"/>
      <c r="T294" s="498"/>
      <c r="U294" s="498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90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98"/>
      <c r="P295" s="498"/>
      <c r="Q295" s="498"/>
      <c r="R295" s="498"/>
      <c r="S295" s="498"/>
      <c r="T295" s="498"/>
      <c r="U295" s="498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90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8"/>
      <c r="P296" s="498"/>
      <c r="Q296" s="498"/>
      <c r="R296" s="498"/>
      <c r="S296" s="498"/>
      <c r="T296" s="498"/>
      <c r="U296" s="498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95" t="s">
        <v>203</v>
      </c>
      <c r="D297" s="108">
        <v>5.03</v>
      </c>
      <c r="E297" s="108"/>
      <c r="F297" s="127"/>
      <c r="G297" s="128"/>
      <c r="H297" s="490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8"/>
      <c r="P297" s="498"/>
      <c r="Q297" s="498"/>
      <c r="R297" s="498"/>
      <c r="S297" s="498"/>
      <c r="T297" s="498"/>
      <c r="U297" s="498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>
        <v>42744</v>
      </c>
      <c r="G298" s="128">
        <f>90*5</f>
        <v>450</v>
      </c>
      <c r="H298" s="490">
        <f t="shared" si="133"/>
        <v>2263.5</v>
      </c>
      <c r="I298" s="129">
        <f>11*4</f>
        <v>44</v>
      </c>
      <c r="J298" s="130">
        <f t="array" ref="J298">IF(ISERROR(G298/I298),"",G298/I298)</f>
        <v>10.227272727272727</v>
      </c>
      <c r="K298" s="131">
        <f t="array" ref="K298">IF(ISERROR(G298/L298),"",G298/L298)</f>
        <v>112.5</v>
      </c>
      <c r="L298" s="129">
        <v>4</v>
      </c>
      <c r="M298" s="109">
        <f t="shared" si="134"/>
        <v>-68.5</v>
      </c>
      <c r="N298" s="130">
        <f t="shared" si="135"/>
        <v>0</v>
      </c>
      <c r="O298" s="498"/>
      <c r="P298" s="498"/>
      <c r="Q298" s="498"/>
      <c r="R298" s="498"/>
      <c r="S298" s="498"/>
      <c r="T298" s="498"/>
      <c r="U298" s="498"/>
      <c r="V298" s="132">
        <f t="shared" si="136"/>
        <v>0</v>
      </c>
      <c r="W298" s="133">
        <f t="shared" si="131"/>
        <v>0</v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90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8"/>
      <c r="P299" s="498"/>
      <c r="Q299" s="498"/>
      <c r="R299" s="498"/>
      <c r="S299" s="498"/>
      <c r="T299" s="498"/>
      <c r="U299" s="498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95" t="s">
        <v>228</v>
      </c>
      <c r="D300" s="108">
        <v>5.03</v>
      </c>
      <c r="E300" s="108"/>
      <c r="F300" s="127"/>
      <c r="G300" s="128"/>
      <c r="H300" s="490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98"/>
      <c r="P300" s="498"/>
      <c r="Q300" s="498"/>
      <c r="R300" s="498"/>
      <c r="S300" s="498"/>
      <c r="T300" s="498"/>
      <c r="U300" s="498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95" t="s">
        <v>212</v>
      </c>
      <c r="D301" s="108">
        <v>5.03</v>
      </c>
      <c r="E301" s="108"/>
      <c r="F301" s="127"/>
      <c r="G301" s="128"/>
      <c r="H301" s="490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8"/>
      <c r="P301" s="498"/>
      <c r="Q301" s="498"/>
      <c r="R301" s="498"/>
      <c r="S301" s="498"/>
      <c r="T301" s="498"/>
      <c r="U301" s="498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95" t="s">
        <v>203</v>
      </c>
      <c r="D302" s="108">
        <v>5.03</v>
      </c>
      <c r="E302" s="108"/>
      <c r="F302" s="127"/>
      <c r="G302" s="128"/>
      <c r="H302" s="490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8"/>
      <c r="P302" s="498"/>
      <c r="Q302" s="498"/>
      <c r="R302" s="498"/>
      <c r="S302" s="498"/>
      <c r="T302" s="498"/>
      <c r="U302" s="498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95" t="s">
        <v>186</v>
      </c>
      <c r="D303" s="108">
        <v>5.03</v>
      </c>
      <c r="E303" s="108"/>
      <c r="F303" s="127"/>
      <c r="G303" s="128"/>
      <c r="H303" s="490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8"/>
      <c r="P303" s="498"/>
      <c r="Q303" s="498"/>
      <c r="R303" s="498"/>
      <c r="S303" s="498"/>
      <c r="T303" s="498"/>
      <c r="U303" s="498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95" t="s">
        <v>228</v>
      </c>
      <c r="D304" s="108">
        <v>5.03</v>
      </c>
      <c r="E304" s="108"/>
      <c r="F304" s="127"/>
      <c r="G304" s="128"/>
      <c r="H304" s="490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8"/>
      <c r="P304" s="498"/>
      <c r="Q304" s="498"/>
      <c r="R304" s="498"/>
      <c r="S304" s="498"/>
      <c r="T304" s="498"/>
      <c r="U304" s="498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95" t="s">
        <v>199</v>
      </c>
      <c r="D305" s="108">
        <v>5.03</v>
      </c>
      <c r="E305" s="108"/>
      <c r="F305" s="127"/>
      <c r="G305" s="128"/>
      <c r="H305" s="490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98"/>
      <c r="P305" s="498"/>
      <c r="Q305" s="498"/>
      <c r="R305" s="498"/>
      <c r="S305" s="498"/>
      <c r="T305" s="498"/>
      <c r="U305" s="498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90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98"/>
      <c r="P306" s="498"/>
      <c r="Q306" s="498"/>
      <c r="R306" s="498"/>
      <c r="S306" s="498"/>
      <c r="T306" s="498"/>
      <c r="U306" s="498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90">
        <f t="shared" si="133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4"/>
        <v>0</v>
      </c>
      <c r="N307" s="130">
        <f t="shared" si="135"/>
        <v>0</v>
      </c>
      <c r="O307" s="498"/>
      <c r="P307" s="498"/>
      <c r="Q307" s="498"/>
      <c r="R307" s="498"/>
      <c r="S307" s="498"/>
      <c r="T307" s="498"/>
      <c r="U307" s="498"/>
      <c r="V307" s="132">
        <f t="shared" si="136"/>
        <v>0</v>
      </c>
      <c r="W307" s="133" t="str">
        <f t="shared" si="131"/>
        <v/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499" t="s">
        <v>202</v>
      </c>
      <c r="D308" s="143"/>
      <c r="E308" s="143"/>
      <c r="F308" s="144"/>
      <c r="G308" s="145">
        <f>SUM(G293:G307)</f>
        <v>450</v>
      </c>
      <c r="H308" s="146">
        <f>SUM(H293:H307)</f>
        <v>2263.5</v>
      </c>
      <c r="I308" s="146">
        <f>SUM(I293:I307)</f>
        <v>44</v>
      </c>
      <c r="J308" s="130">
        <f t="array" ref="J308">IF(ISERROR(G308/I308),"",G308/I308)</f>
        <v>10.227272727272727</v>
      </c>
      <c r="K308" s="146">
        <f>SUM(K293:K307)</f>
        <v>112.5</v>
      </c>
      <c r="L308" s="146"/>
      <c r="M308" s="150">
        <f>SUM(M293:M307)</f>
        <v>-68.5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90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98"/>
      <c r="P309" s="498"/>
      <c r="Q309" s="498"/>
      <c r="R309" s="498"/>
      <c r="S309" s="498"/>
      <c r="T309" s="498"/>
      <c r="U309" s="498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90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98"/>
      <c r="P310" s="498"/>
      <c r="Q310" s="498"/>
      <c r="R310" s="498"/>
      <c r="S310" s="498"/>
      <c r="T310" s="498"/>
      <c r="U310" s="498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90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8"/>
      <c r="P311" s="498"/>
      <c r="Q311" s="498"/>
      <c r="R311" s="498"/>
      <c r="S311" s="498"/>
      <c r="T311" s="498"/>
      <c r="U311" s="498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90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8"/>
      <c r="P312" s="498"/>
      <c r="Q312" s="498"/>
      <c r="R312" s="498"/>
      <c r="S312" s="498"/>
      <c r="T312" s="498"/>
      <c r="U312" s="498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90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98"/>
      <c r="P313" s="498"/>
      <c r="Q313" s="498"/>
      <c r="R313" s="498"/>
      <c r="S313" s="498"/>
      <c r="T313" s="498"/>
      <c r="U313" s="498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90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98"/>
      <c r="P314" s="498"/>
      <c r="Q314" s="498"/>
      <c r="R314" s="498"/>
      <c r="S314" s="498"/>
      <c r="T314" s="498"/>
      <c r="U314" s="498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42743</v>
      </c>
      <c r="G315" s="128">
        <f>90*7+29</f>
        <v>659</v>
      </c>
      <c r="H315" s="490">
        <f t="shared" si="137"/>
        <v>3314.77</v>
      </c>
      <c r="I315" s="129">
        <f>11.5*4</f>
        <v>46</v>
      </c>
      <c r="J315" s="130">
        <f t="array" ref="J315">IF(ISERROR(G315/I315),"",G315/I315)</f>
        <v>14.326086956521738</v>
      </c>
      <c r="K315" s="131">
        <f t="array" ref="K315">IF(ISERROR(G315/L315),"",G315/L315)</f>
        <v>48.814814814814817</v>
      </c>
      <c r="L315" s="129">
        <v>13.5</v>
      </c>
      <c r="M315" s="109">
        <f t="shared" ref="M315" si="141">IF(ISERROR(I315-K315),"",I315-K315)</f>
        <v>-2.8148148148148167</v>
      </c>
      <c r="N315" s="130"/>
      <c r="O315" s="498"/>
      <c r="P315" s="498"/>
      <c r="Q315" s="498"/>
      <c r="R315" s="498"/>
      <c r="S315" s="498"/>
      <c r="T315" s="498"/>
      <c r="U315" s="498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90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98"/>
      <c r="P316" s="498"/>
      <c r="Q316" s="498"/>
      <c r="R316" s="498"/>
      <c r="S316" s="498"/>
      <c r="T316" s="498"/>
      <c r="U316" s="498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90">
        <f t="shared" si="137"/>
        <v>0</v>
      </c>
      <c r="I317" s="129"/>
      <c r="J317" s="130"/>
      <c r="K317" s="131"/>
      <c r="L317" s="129"/>
      <c r="M317" s="109"/>
      <c r="N317" s="130"/>
      <c r="O317" s="498"/>
      <c r="P317" s="498"/>
      <c r="Q317" s="498"/>
      <c r="R317" s="498"/>
      <c r="S317" s="498"/>
      <c r="T317" s="498"/>
      <c r="U317" s="498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90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98"/>
      <c r="P318" s="498"/>
      <c r="Q318" s="498"/>
      <c r="R318" s="498"/>
      <c r="S318" s="498"/>
      <c r="T318" s="498"/>
      <c r="U318" s="498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499" t="s">
        <v>202</v>
      </c>
      <c r="D319" s="143"/>
      <c r="E319" s="143"/>
      <c r="F319" s="144"/>
      <c r="G319" s="145">
        <f>SUM(G309:G318)</f>
        <v>659</v>
      </c>
      <c r="H319" s="146">
        <f>SUM(H309:H318)</f>
        <v>3314.77</v>
      </c>
      <c r="I319" s="146">
        <f>SUM(I309:I318)</f>
        <v>46</v>
      </c>
      <c r="J319" s="130">
        <f t="array" ref="J319">IF(ISERROR(G319/I319),"",G319/I319)</f>
        <v>14.326086956521738</v>
      </c>
      <c r="K319" s="146">
        <f>SUM(K309:K318)</f>
        <v>48.814814814814817</v>
      </c>
      <c r="L319" s="147"/>
      <c r="M319" s="150">
        <f>SUM(M309:M318)</f>
        <v>-2.8148148148148167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96"/>
      <c r="D320" s="108">
        <v>3.65</v>
      </c>
      <c r="E320" s="108"/>
      <c r="F320" s="153"/>
      <c r="G320" s="128"/>
      <c r="H320" s="490">
        <f t="shared" ref="H320:H333" si="146">D320*G320</f>
        <v>0</v>
      </c>
      <c r="I320" s="129"/>
      <c r="J320" s="130" t="str">
        <f t="array" ref="J320">IF(ISERROR(G320/I320),"",G320/I320)</f>
        <v/>
      </c>
      <c r="K320" s="490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98"/>
      <c r="P320" s="498"/>
      <c r="Q320" s="498"/>
      <c r="R320" s="498"/>
      <c r="S320" s="498"/>
      <c r="T320" s="498"/>
      <c r="U320" s="498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96"/>
      <c r="D321" s="108">
        <v>6.58</v>
      </c>
      <c r="E321" s="108"/>
      <c r="F321" s="127">
        <v>42738</v>
      </c>
      <c r="G321" s="128">
        <f>3+28+36*2+4+36</f>
        <v>143</v>
      </c>
      <c r="H321" s="490">
        <f t="shared" si="146"/>
        <v>940.94</v>
      </c>
      <c r="I321" s="129">
        <v>28</v>
      </c>
      <c r="J321" s="130">
        <f t="array" ref="J321">IF(ISERROR(G321/I321),"",G321/I321)</f>
        <v>5.1071428571428568</v>
      </c>
      <c r="K321" s="131">
        <f t="array" ref="K321">IF(ISERROR(G321/L321),"",G321/L321)</f>
        <v>28.6</v>
      </c>
      <c r="L321" s="129">
        <v>5</v>
      </c>
      <c r="M321" s="109">
        <f t="shared" si="147"/>
        <v>-0.60000000000000142</v>
      </c>
      <c r="N321" s="130">
        <f t="shared" si="148"/>
        <v>0</v>
      </c>
      <c r="O321" s="498"/>
      <c r="P321" s="498"/>
      <c r="Q321" s="498"/>
      <c r="R321" s="498"/>
      <c r="S321" s="498"/>
      <c r="T321" s="498"/>
      <c r="U321" s="498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96"/>
      <c r="D322" s="108">
        <v>7.8</v>
      </c>
      <c r="E322" s="108"/>
      <c r="F322" s="127">
        <v>42738</v>
      </c>
      <c r="G322" s="128">
        <f>28+32*2+31</f>
        <v>123</v>
      </c>
      <c r="H322" s="490">
        <f t="shared" si="146"/>
        <v>959.4</v>
      </c>
      <c r="I322" s="129">
        <v>26</v>
      </c>
      <c r="J322" s="130">
        <f t="array" ref="J322">IF(ISERROR(G322/I322),"",G322/I322)</f>
        <v>4.7307692307692308</v>
      </c>
      <c r="K322" s="131">
        <f t="array" ref="K322">IF(ISERROR(G322/L322),"",G322/L322)</f>
        <v>26.739130434782609</v>
      </c>
      <c r="L322" s="129">
        <v>4.5999999999999996</v>
      </c>
      <c r="M322" s="109">
        <f t="shared" si="147"/>
        <v>-0.73913043478260931</v>
      </c>
      <c r="N322" s="130">
        <f t="shared" si="148"/>
        <v>0</v>
      </c>
      <c r="O322" s="498"/>
      <c r="P322" s="498"/>
      <c r="Q322" s="498"/>
      <c r="R322" s="498"/>
      <c r="S322" s="498"/>
      <c r="T322" s="498"/>
      <c r="U322" s="498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96"/>
      <c r="D323" s="108">
        <v>4.4000000000000004</v>
      </c>
      <c r="E323" s="108"/>
      <c r="F323" s="127">
        <v>42737</v>
      </c>
      <c r="G323" s="128">
        <f>14+25</f>
        <v>39</v>
      </c>
      <c r="H323" s="490">
        <f t="shared" si="146"/>
        <v>171.60000000000002</v>
      </c>
      <c r="I323" s="129">
        <v>6</v>
      </c>
      <c r="J323" s="130">
        <f t="array" ref="J323">IF(ISERROR(G323/I323),"",G323/I323)</f>
        <v>6.5</v>
      </c>
      <c r="K323" s="131">
        <f t="array" ref="K323">IF(ISERROR(G323/L323),"",G323/L323)</f>
        <v>6.7241379310344831</v>
      </c>
      <c r="L323" s="129">
        <v>5.8</v>
      </c>
      <c r="M323" s="109">
        <f t="shared" si="147"/>
        <v>-0.7241379310344831</v>
      </c>
      <c r="N323" s="130">
        <f t="shared" si="148"/>
        <v>0</v>
      </c>
      <c r="O323" s="498"/>
      <c r="P323" s="498"/>
      <c r="Q323" s="498"/>
      <c r="R323" s="498"/>
      <c r="S323" s="498"/>
      <c r="T323" s="498"/>
      <c r="U323" s="498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96"/>
      <c r="D324" s="108"/>
      <c r="E324" s="108"/>
      <c r="F324" s="127"/>
      <c r="G324" s="128"/>
      <c r="H324" s="490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98"/>
      <c r="P324" s="498"/>
      <c r="Q324" s="498"/>
      <c r="R324" s="498"/>
      <c r="S324" s="498"/>
      <c r="T324" s="498"/>
      <c r="U324" s="498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96" t="s">
        <v>239</v>
      </c>
      <c r="C325" s="496" t="s">
        <v>179</v>
      </c>
      <c r="D325" s="108">
        <v>6.04</v>
      </c>
      <c r="E325" s="108"/>
      <c r="F325" s="127"/>
      <c r="G325" s="128"/>
      <c r="H325" s="490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98"/>
      <c r="P325" s="498"/>
      <c r="Q325" s="498"/>
      <c r="R325" s="498"/>
      <c r="S325" s="498"/>
      <c r="T325" s="498"/>
      <c r="U325" s="498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96" t="s">
        <v>239</v>
      </c>
      <c r="C326" s="496" t="s">
        <v>186</v>
      </c>
      <c r="D326" s="108">
        <v>6.04</v>
      </c>
      <c r="E326" s="108"/>
      <c r="F326" s="127"/>
      <c r="G326" s="128"/>
      <c r="H326" s="490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98"/>
      <c r="P326" s="498"/>
      <c r="Q326" s="498"/>
      <c r="R326" s="498"/>
      <c r="S326" s="498"/>
      <c r="T326" s="498"/>
      <c r="U326" s="498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96" t="s">
        <v>443</v>
      </c>
      <c r="C327" s="496" t="s">
        <v>179</v>
      </c>
      <c r="D327" s="108">
        <v>6</v>
      </c>
      <c r="E327" s="108"/>
      <c r="F327" s="127"/>
      <c r="G327" s="128"/>
      <c r="H327" s="490">
        <f t="shared" si="146"/>
        <v>0</v>
      </c>
      <c r="I327" s="129"/>
      <c r="J327" s="130"/>
      <c r="K327" s="131"/>
      <c r="L327" s="129"/>
      <c r="M327" s="109"/>
      <c r="N327" s="130"/>
      <c r="O327" s="498"/>
      <c r="P327" s="498"/>
      <c r="Q327" s="498"/>
      <c r="R327" s="498"/>
      <c r="S327" s="498"/>
      <c r="T327" s="498"/>
      <c r="U327" s="49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96" t="s">
        <v>443</v>
      </c>
      <c r="C328" s="496" t="s">
        <v>60</v>
      </c>
      <c r="D328" s="108">
        <v>6</v>
      </c>
      <c r="E328" s="108"/>
      <c r="F328" s="127"/>
      <c r="G328" s="128"/>
      <c r="H328" s="490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98"/>
      <c r="P328" s="498"/>
      <c r="Q328" s="498"/>
      <c r="R328" s="498"/>
      <c r="S328" s="498"/>
      <c r="T328" s="498"/>
      <c r="U328" s="498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9" t="s">
        <v>240</v>
      </c>
      <c r="C329" s="126"/>
      <c r="D329" s="108">
        <v>7.3</v>
      </c>
      <c r="E329" s="108"/>
      <c r="F329" s="127"/>
      <c r="G329" s="128"/>
      <c r="H329" s="490">
        <f t="shared" si="146"/>
        <v>0</v>
      </c>
      <c r="I329" s="129"/>
      <c r="J329" s="130"/>
      <c r="K329" s="131"/>
      <c r="L329" s="129"/>
      <c r="M329" s="109"/>
      <c r="N329" s="130"/>
      <c r="O329" s="498"/>
      <c r="P329" s="498"/>
      <c r="Q329" s="498"/>
      <c r="R329" s="498"/>
      <c r="S329" s="498"/>
      <c r="T329" s="498"/>
      <c r="U329" s="49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9" t="s">
        <v>241</v>
      </c>
      <c r="C330" s="126"/>
      <c r="D330" s="108">
        <f>78*120/1000</f>
        <v>9.36</v>
      </c>
      <c r="E330" s="108"/>
      <c r="F330" s="127"/>
      <c r="G330" s="128"/>
      <c r="H330" s="490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98"/>
      <c r="P330" s="498"/>
      <c r="Q330" s="498"/>
      <c r="R330" s="498"/>
      <c r="S330" s="498"/>
      <c r="T330" s="498"/>
      <c r="U330" s="498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9" t="s">
        <v>242</v>
      </c>
      <c r="C331" s="126"/>
      <c r="D331" s="108">
        <v>4.5</v>
      </c>
      <c r="E331" s="108"/>
      <c r="F331" s="127"/>
      <c r="G331" s="128"/>
      <c r="H331" s="490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8"/>
      <c r="P331" s="498"/>
      <c r="Q331" s="498"/>
      <c r="R331" s="498"/>
      <c r="S331" s="498"/>
      <c r="T331" s="498"/>
      <c r="U331" s="49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9" t="s">
        <v>243</v>
      </c>
      <c r="C332" s="126"/>
      <c r="D332" s="108">
        <v>4.5</v>
      </c>
      <c r="E332" s="108"/>
      <c r="F332" s="127"/>
      <c r="G332" s="128"/>
      <c r="H332" s="490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98"/>
      <c r="P332" s="498"/>
      <c r="Q332" s="498"/>
      <c r="R332" s="498"/>
      <c r="S332" s="498"/>
      <c r="T332" s="498"/>
      <c r="U332" s="498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90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98"/>
      <c r="P333" s="498"/>
      <c r="Q333" s="498"/>
      <c r="R333" s="498"/>
      <c r="S333" s="498"/>
      <c r="T333" s="498"/>
      <c r="U333" s="498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499" t="s">
        <v>202</v>
      </c>
      <c r="D334" s="143"/>
      <c r="E334" s="143"/>
      <c r="F334" s="144"/>
      <c r="G334" s="145">
        <f>SUM(G320:G333)</f>
        <v>305</v>
      </c>
      <c r="H334" s="146">
        <f>SUM(H320:H330)</f>
        <v>2071.94</v>
      </c>
      <c r="I334" s="146">
        <f>SUM(I320:I333)</f>
        <v>60</v>
      </c>
      <c r="J334" s="130">
        <f t="array" ref="J334">IF(ISERROR(G334/I334),"",G334/I334)</f>
        <v>5.083333333333333</v>
      </c>
      <c r="K334" s="146">
        <f>SUM(K320:K330)</f>
        <v>62.063268365817095</v>
      </c>
      <c r="L334" s="147"/>
      <c r="M334" s="150">
        <f t="shared" ref="M334:AA334" si="157">SUM(M320:M330)</f>
        <v>-2.0632683658170938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5578</v>
      </c>
      <c r="H335" s="154">
        <f>SUM(H199,H257,H292,H308,H319,H334)</f>
        <v>28654.350000000006</v>
      </c>
      <c r="I335" s="154">
        <f>SUM(I199,I257,I292,I308,I319,I334)</f>
        <v>370</v>
      </c>
      <c r="J335" s="155">
        <f t="array" ref="J335">IF(ISERROR(G335/I335),"",G335/I335)</f>
        <v>15.075675675675676</v>
      </c>
      <c r="K335" s="154">
        <f>SUM(K199,K257,K292,K308,K319,K334)</f>
        <v>398.4457030890261</v>
      </c>
      <c r="L335" s="155">
        <f>IF(ISERROR(G335/K335),"",G335/K335)</f>
        <v>13.999398052872685</v>
      </c>
      <c r="M335" s="154">
        <f t="shared" ref="M335:AA335" si="158">SUM(M199,M257,M292,M308,M319,M334)</f>
        <v>-28.445703089026097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3" t="s">
        <v>476</v>
      </c>
      <c r="B336" s="492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492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492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492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492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492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492">
        <f>G335</f>
        <v>5578</v>
      </c>
      <c r="C342" s="638" t="s">
        <v>269</v>
      </c>
      <c r="D342" s="639"/>
      <c r="E342" s="631">
        <f>H335</f>
        <v>28654.350000000006</v>
      </c>
      <c r="F342" s="631"/>
      <c r="G342" s="631" t="s">
        <v>270</v>
      </c>
      <c r="H342" s="631"/>
      <c r="I342" s="640">
        <f>L335</f>
        <v>13.999398052872685</v>
      </c>
      <c r="J342" s="640"/>
      <c r="K342" s="628" t="s">
        <v>271</v>
      </c>
      <c r="L342" s="628"/>
      <c r="M342" s="640">
        <f>J335</f>
        <v>15.075675675675676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492">
        <f>I335+C341</f>
        <v>372</v>
      </c>
      <c r="C343" s="641" t="s">
        <v>251</v>
      </c>
      <c r="D343" s="642"/>
      <c r="E343" s="643">
        <f>K335+I341</f>
        <v>428.4457030890261</v>
      </c>
      <c r="F343" s="643"/>
      <c r="G343" s="631" t="s">
        <v>274</v>
      </c>
      <c r="H343" s="631"/>
      <c r="I343" s="640">
        <f>B343-E343</f>
        <v>-56.445703089026097</v>
      </c>
      <c r="J343" s="640"/>
      <c r="K343" s="628" t="s">
        <v>275</v>
      </c>
      <c r="L343" s="628"/>
      <c r="M343" s="632">
        <f>IF(ISERROR(I343/E343),"",I343/E343)</f>
        <v>-0.13174528926783829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492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546</v>
      </c>
      <c r="H348" s="496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489" t="s">
        <v>178</v>
      </c>
      <c r="C349" s="126" t="s">
        <v>179</v>
      </c>
      <c r="D349" s="108">
        <v>5.03</v>
      </c>
      <c r="E349" s="108"/>
      <c r="F349" s="127"/>
      <c r="G349" s="128"/>
      <c r="H349" s="490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98"/>
      <c r="P349" s="498"/>
      <c r="Q349" s="498"/>
      <c r="R349" s="498"/>
      <c r="S349" s="498"/>
      <c r="T349" s="498"/>
      <c r="U349" s="498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90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98"/>
      <c r="P350" s="498"/>
      <c r="Q350" s="498"/>
      <c r="R350" s="498"/>
      <c r="S350" s="498"/>
      <c r="T350" s="498"/>
      <c r="U350" s="498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90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98"/>
      <c r="P351" s="498"/>
      <c r="Q351" s="498"/>
      <c r="R351" s="498"/>
      <c r="S351" s="498"/>
      <c r="T351" s="498"/>
      <c r="U351" s="498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90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98"/>
      <c r="P352" s="498"/>
      <c r="Q352" s="498"/>
      <c r="R352" s="498"/>
      <c r="S352" s="498"/>
      <c r="T352" s="498"/>
      <c r="U352" s="498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90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98"/>
      <c r="P353" s="498"/>
      <c r="Q353" s="498"/>
      <c r="R353" s="498"/>
      <c r="S353" s="498"/>
      <c r="T353" s="498"/>
      <c r="U353" s="498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90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98"/>
      <c r="P354" s="498"/>
      <c r="Q354" s="498"/>
      <c r="R354" s="498"/>
      <c r="S354" s="498"/>
      <c r="T354" s="498"/>
      <c r="U354" s="498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90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98"/>
      <c r="P355" s="498"/>
      <c r="Q355" s="498"/>
      <c r="R355" s="498"/>
      <c r="S355" s="498"/>
      <c r="T355" s="498"/>
      <c r="U355" s="498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90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98"/>
      <c r="P356" s="498"/>
      <c r="Q356" s="498"/>
      <c r="R356" s="498"/>
      <c r="S356" s="498"/>
      <c r="T356" s="498"/>
      <c r="U356" s="498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90">
        <f t="shared" si="159"/>
        <v>0</v>
      </c>
      <c r="I357" s="490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98"/>
      <c r="P357" s="498"/>
      <c r="Q357" s="498"/>
      <c r="R357" s="498"/>
      <c r="S357" s="498"/>
      <c r="T357" s="498"/>
      <c r="U357" s="498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90">
        <f t="shared" si="159"/>
        <v>0</v>
      </c>
      <c r="I358" s="490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98"/>
      <c r="P358" s="498"/>
      <c r="Q358" s="498"/>
      <c r="R358" s="498"/>
      <c r="S358" s="498"/>
      <c r="T358" s="498"/>
      <c r="U358" s="498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90">
        <f t="shared" si="159"/>
        <v>0</v>
      </c>
      <c r="I359" s="490"/>
      <c r="J359" s="130"/>
      <c r="K359" s="131"/>
      <c r="L359" s="129"/>
      <c r="M359" s="109"/>
      <c r="N359" s="130"/>
      <c r="O359" s="498"/>
      <c r="P359" s="498"/>
      <c r="Q359" s="498"/>
      <c r="R359" s="498"/>
      <c r="S359" s="498"/>
      <c r="T359" s="498"/>
      <c r="U359" s="498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90">
        <f t="shared" si="159"/>
        <v>0</v>
      </c>
      <c r="I360" s="490"/>
      <c r="J360" s="130"/>
      <c r="K360" s="131"/>
      <c r="L360" s="129"/>
      <c r="M360" s="109"/>
      <c r="N360" s="130"/>
      <c r="O360" s="498"/>
      <c r="P360" s="498"/>
      <c r="Q360" s="498"/>
      <c r="R360" s="498"/>
      <c r="S360" s="498"/>
      <c r="T360" s="498"/>
      <c r="U360" s="498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90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98"/>
      <c r="P361" s="498"/>
      <c r="Q361" s="498"/>
      <c r="R361" s="498"/>
      <c r="S361" s="498"/>
      <c r="T361" s="498"/>
      <c r="U361" s="498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90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98"/>
      <c r="P362" s="498"/>
      <c r="Q362" s="498"/>
      <c r="R362" s="498"/>
      <c r="S362" s="498"/>
      <c r="T362" s="498"/>
      <c r="U362" s="498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90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98"/>
      <c r="P363" s="498"/>
      <c r="Q363" s="498"/>
      <c r="R363" s="498"/>
      <c r="S363" s="498"/>
      <c r="T363" s="498"/>
      <c r="U363" s="498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96" t="s">
        <v>190</v>
      </c>
      <c r="D364" s="108">
        <v>4.8</v>
      </c>
      <c r="E364" s="108"/>
      <c r="F364" s="127"/>
      <c r="G364" s="128"/>
      <c r="H364" s="490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98"/>
      <c r="P364" s="498"/>
      <c r="Q364" s="498"/>
      <c r="R364" s="498"/>
      <c r="S364" s="498"/>
      <c r="T364" s="498"/>
      <c r="U364" s="49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96" t="s">
        <v>187</v>
      </c>
      <c r="D365" s="108">
        <v>4.8</v>
      </c>
      <c r="E365" s="108"/>
      <c r="F365" s="127"/>
      <c r="G365" s="128"/>
      <c r="H365" s="490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98"/>
      <c r="P365" s="498"/>
      <c r="Q365" s="498"/>
      <c r="R365" s="498"/>
      <c r="S365" s="498"/>
      <c r="T365" s="498"/>
      <c r="U365" s="49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96" t="s">
        <v>179</v>
      </c>
      <c r="D366" s="108">
        <v>4.8</v>
      </c>
      <c r="E366" s="108"/>
      <c r="F366" s="127"/>
      <c r="G366" s="128"/>
      <c r="H366" s="490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98"/>
      <c r="P366" s="498"/>
      <c r="Q366" s="498"/>
      <c r="R366" s="498"/>
      <c r="S366" s="498"/>
      <c r="T366" s="498"/>
      <c r="U366" s="498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96" t="s">
        <v>199</v>
      </c>
      <c r="D367" s="108">
        <v>4.8</v>
      </c>
      <c r="E367" s="108"/>
      <c r="F367" s="127"/>
      <c r="G367" s="128"/>
      <c r="H367" s="490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98"/>
      <c r="P367" s="498"/>
      <c r="Q367" s="498"/>
      <c r="R367" s="498"/>
      <c r="S367" s="498"/>
      <c r="T367" s="498"/>
      <c r="U367" s="498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90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98"/>
      <c r="P368" s="498"/>
      <c r="Q368" s="498"/>
      <c r="R368" s="498"/>
      <c r="S368" s="498"/>
      <c r="T368" s="498"/>
      <c r="U368" s="498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90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98"/>
      <c r="P369" s="498"/>
      <c r="Q369" s="498"/>
      <c r="R369" s="498"/>
      <c r="S369" s="498"/>
      <c r="T369" s="498"/>
      <c r="U369" s="498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499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89" t="s">
        <v>206</v>
      </c>
      <c r="C371" s="126" t="s">
        <v>199</v>
      </c>
      <c r="D371" s="108">
        <v>5.03</v>
      </c>
      <c r="E371" s="108"/>
      <c r="F371" s="127"/>
      <c r="G371" s="128"/>
      <c r="H371" s="490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94"/>
      <c r="P371" s="494"/>
      <c r="Q371" s="494"/>
      <c r="R371" s="494"/>
      <c r="S371" s="494"/>
      <c r="T371" s="494"/>
      <c r="U371" s="494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9" t="s">
        <v>425</v>
      </c>
      <c r="C372" s="187" t="s">
        <v>427</v>
      </c>
      <c r="D372" s="108">
        <v>5.03</v>
      </c>
      <c r="E372" s="108"/>
      <c r="F372" s="127"/>
      <c r="G372" s="128"/>
      <c r="H372" s="490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94"/>
      <c r="P372" s="494"/>
      <c r="Q372" s="494"/>
      <c r="R372" s="494"/>
      <c r="S372" s="494"/>
      <c r="T372" s="494"/>
      <c r="U372" s="49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9" t="s">
        <v>206</v>
      </c>
      <c r="C373" s="126" t="s">
        <v>186</v>
      </c>
      <c r="D373" s="108">
        <v>5.03</v>
      </c>
      <c r="E373" s="108"/>
      <c r="F373" s="127"/>
      <c r="G373" s="128"/>
      <c r="H373" s="490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94"/>
      <c r="P373" s="494"/>
      <c r="Q373" s="494"/>
      <c r="R373" s="494"/>
      <c r="S373" s="494"/>
      <c r="T373" s="494"/>
      <c r="U373" s="494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9" t="s">
        <v>206</v>
      </c>
      <c r="C374" s="126" t="s">
        <v>203</v>
      </c>
      <c r="D374" s="108">
        <v>5.03</v>
      </c>
      <c r="E374" s="108"/>
      <c r="F374" s="127"/>
      <c r="G374" s="128"/>
      <c r="H374" s="490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94"/>
      <c r="P374" s="494"/>
      <c r="Q374" s="494"/>
      <c r="R374" s="494"/>
      <c r="S374" s="494"/>
      <c r="T374" s="494"/>
      <c r="U374" s="494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9" t="s">
        <v>206</v>
      </c>
      <c r="C375" s="126" t="s">
        <v>207</v>
      </c>
      <c r="D375" s="108">
        <v>5.03</v>
      </c>
      <c r="E375" s="108"/>
      <c r="F375" s="127"/>
      <c r="G375" s="128"/>
      <c r="H375" s="490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94"/>
      <c r="P375" s="494"/>
      <c r="Q375" s="494"/>
      <c r="R375" s="494"/>
      <c r="S375" s="494"/>
      <c r="T375" s="494"/>
      <c r="U375" s="494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9" t="s">
        <v>414</v>
      </c>
      <c r="C376" s="187" t="s">
        <v>415</v>
      </c>
      <c r="D376" s="108"/>
      <c r="E376" s="108"/>
      <c r="F376" s="127"/>
      <c r="G376" s="128"/>
      <c r="H376" s="490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94"/>
      <c r="P376" s="494"/>
      <c r="Q376" s="494"/>
      <c r="R376" s="494"/>
      <c r="S376" s="494"/>
      <c r="T376" s="494"/>
      <c r="U376" s="49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9" t="s">
        <v>414</v>
      </c>
      <c r="C377" s="187" t="s">
        <v>416</v>
      </c>
      <c r="D377" s="108"/>
      <c r="E377" s="108"/>
      <c r="F377" s="127"/>
      <c r="G377" s="128"/>
      <c r="H377" s="490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94"/>
      <c r="P377" s="494"/>
      <c r="Q377" s="494"/>
      <c r="R377" s="494"/>
      <c r="S377" s="494"/>
      <c r="T377" s="494"/>
      <c r="U377" s="49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9" t="s">
        <v>414</v>
      </c>
      <c r="C378" s="187" t="s">
        <v>61</v>
      </c>
      <c r="D378" s="108"/>
      <c r="E378" s="108"/>
      <c r="F378" s="127"/>
      <c r="G378" s="128"/>
      <c r="H378" s="490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94"/>
      <c r="P378" s="494"/>
      <c r="Q378" s="494"/>
      <c r="R378" s="494"/>
      <c r="S378" s="494"/>
      <c r="T378" s="494"/>
      <c r="U378" s="49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9" t="s">
        <v>208</v>
      </c>
      <c r="C379" s="126" t="s">
        <v>179</v>
      </c>
      <c r="D379" s="108">
        <v>5.08</v>
      </c>
      <c r="E379" s="108"/>
      <c r="F379" s="127"/>
      <c r="G379" s="128"/>
      <c r="H379" s="490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94"/>
      <c r="P379" s="494"/>
      <c r="Q379" s="494"/>
      <c r="R379" s="494"/>
      <c r="S379" s="494"/>
      <c r="T379" s="494"/>
      <c r="U379" s="494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9" t="s">
        <v>208</v>
      </c>
      <c r="C380" s="126" t="s">
        <v>204</v>
      </c>
      <c r="D380" s="108">
        <v>5.08</v>
      </c>
      <c r="E380" s="108"/>
      <c r="F380" s="127"/>
      <c r="G380" s="128"/>
      <c r="H380" s="490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94"/>
      <c r="P380" s="494"/>
      <c r="Q380" s="494"/>
      <c r="R380" s="494"/>
      <c r="S380" s="494"/>
      <c r="T380" s="494"/>
      <c r="U380" s="494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9" t="s">
        <v>208</v>
      </c>
      <c r="C381" s="126" t="s">
        <v>205</v>
      </c>
      <c r="D381" s="108">
        <v>5.08</v>
      </c>
      <c r="E381" s="108"/>
      <c r="F381" s="127"/>
      <c r="G381" s="128"/>
      <c r="H381" s="490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94"/>
      <c r="P381" s="494"/>
      <c r="Q381" s="494"/>
      <c r="R381" s="494"/>
      <c r="S381" s="494"/>
      <c r="T381" s="494"/>
      <c r="U381" s="494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9" t="s">
        <v>208</v>
      </c>
      <c r="C382" s="126" t="s">
        <v>186</v>
      </c>
      <c r="D382" s="108">
        <v>5.08</v>
      </c>
      <c r="E382" s="108"/>
      <c r="F382" s="127"/>
      <c r="G382" s="128"/>
      <c r="H382" s="490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94"/>
      <c r="P382" s="494"/>
      <c r="Q382" s="494"/>
      <c r="R382" s="494"/>
      <c r="S382" s="494"/>
      <c r="T382" s="494"/>
      <c r="U382" s="49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9" t="s">
        <v>208</v>
      </c>
      <c r="C383" s="126" t="s">
        <v>203</v>
      </c>
      <c r="D383" s="108">
        <v>5.08</v>
      </c>
      <c r="E383" s="108"/>
      <c r="F383" s="127"/>
      <c r="G383" s="128"/>
      <c r="H383" s="490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94"/>
      <c r="P383" s="494"/>
      <c r="Q383" s="494"/>
      <c r="R383" s="494"/>
      <c r="S383" s="494"/>
      <c r="T383" s="494"/>
      <c r="U383" s="494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9" t="s">
        <v>208</v>
      </c>
      <c r="C384" s="126" t="s">
        <v>199</v>
      </c>
      <c r="D384" s="108">
        <v>5.08</v>
      </c>
      <c r="E384" s="108"/>
      <c r="F384" s="127"/>
      <c r="G384" s="128"/>
      <c r="H384" s="490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98"/>
      <c r="P384" s="498"/>
      <c r="Q384" s="498"/>
      <c r="R384" s="498"/>
      <c r="S384" s="498"/>
      <c r="T384" s="498"/>
      <c r="U384" s="498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9" t="s">
        <v>208</v>
      </c>
      <c r="C385" s="126" t="s">
        <v>187</v>
      </c>
      <c r="D385" s="108">
        <v>5.08</v>
      </c>
      <c r="E385" s="108"/>
      <c r="F385" s="127"/>
      <c r="G385" s="128"/>
      <c r="H385" s="490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94"/>
      <c r="P385" s="494"/>
      <c r="Q385" s="494"/>
      <c r="R385" s="494"/>
      <c r="S385" s="494"/>
      <c r="T385" s="494"/>
      <c r="U385" s="494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9" t="s">
        <v>208</v>
      </c>
      <c r="C386" s="126" t="s">
        <v>207</v>
      </c>
      <c r="D386" s="108">
        <v>5.08</v>
      </c>
      <c r="E386" s="108"/>
      <c r="F386" s="127"/>
      <c r="G386" s="128"/>
      <c r="H386" s="490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98"/>
      <c r="P386" s="498"/>
      <c r="Q386" s="498"/>
      <c r="R386" s="498"/>
      <c r="S386" s="498"/>
      <c r="T386" s="498"/>
      <c r="U386" s="49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9" t="s">
        <v>209</v>
      </c>
      <c r="C387" s="126" t="s">
        <v>194</v>
      </c>
      <c r="D387" s="108">
        <v>5.03</v>
      </c>
      <c r="E387" s="108"/>
      <c r="F387" s="127"/>
      <c r="G387" s="128"/>
      <c r="H387" s="490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94"/>
      <c r="P387" s="494"/>
      <c r="Q387" s="494"/>
      <c r="R387" s="494"/>
      <c r="S387" s="494"/>
      <c r="T387" s="494"/>
      <c r="U387" s="494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9" t="s">
        <v>209</v>
      </c>
      <c r="C388" s="126" t="s">
        <v>179</v>
      </c>
      <c r="D388" s="108">
        <v>5.03</v>
      </c>
      <c r="E388" s="108"/>
      <c r="F388" s="127"/>
      <c r="G388" s="128"/>
      <c r="H388" s="490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94"/>
      <c r="P388" s="494"/>
      <c r="Q388" s="494"/>
      <c r="R388" s="494"/>
      <c r="S388" s="494"/>
      <c r="T388" s="494"/>
      <c r="U388" s="494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9" t="s">
        <v>209</v>
      </c>
      <c r="C389" s="126" t="s">
        <v>195</v>
      </c>
      <c r="D389" s="108">
        <v>5.03</v>
      </c>
      <c r="E389" s="108"/>
      <c r="F389" s="127"/>
      <c r="G389" s="128"/>
      <c r="H389" s="490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94"/>
      <c r="P389" s="494"/>
      <c r="Q389" s="494"/>
      <c r="R389" s="494"/>
      <c r="S389" s="494"/>
      <c r="T389" s="494"/>
      <c r="U389" s="494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9" t="s">
        <v>209</v>
      </c>
      <c r="C390" s="126" t="s">
        <v>204</v>
      </c>
      <c r="D390" s="108">
        <v>5.03</v>
      </c>
      <c r="E390" s="108"/>
      <c r="F390" s="127"/>
      <c r="G390" s="128"/>
      <c r="H390" s="490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94"/>
      <c r="P390" s="494"/>
      <c r="Q390" s="494"/>
      <c r="R390" s="494"/>
      <c r="S390" s="494"/>
      <c r="T390" s="494"/>
      <c r="U390" s="494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9" t="s">
        <v>382</v>
      </c>
      <c r="C391" s="187" t="s">
        <v>383</v>
      </c>
      <c r="D391" s="108">
        <v>5.03</v>
      </c>
      <c r="E391" s="108"/>
      <c r="F391" s="127"/>
      <c r="G391" s="128"/>
      <c r="H391" s="490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94"/>
      <c r="P391" s="494"/>
      <c r="Q391" s="494"/>
      <c r="R391" s="494"/>
      <c r="S391" s="494"/>
      <c r="T391" s="494"/>
      <c r="U391" s="49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9" t="s">
        <v>382</v>
      </c>
      <c r="C392" s="187" t="s">
        <v>384</v>
      </c>
      <c r="D392" s="108">
        <v>5.03</v>
      </c>
      <c r="E392" s="108"/>
      <c r="F392" s="127"/>
      <c r="G392" s="128"/>
      <c r="H392" s="490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94"/>
      <c r="P392" s="494"/>
      <c r="Q392" s="494"/>
      <c r="R392" s="494"/>
      <c r="S392" s="494"/>
      <c r="T392" s="494"/>
      <c r="U392" s="49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9" t="s">
        <v>382</v>
      </c>
      <c r="C393" s="187" t="s">
        <v>389</v>
      </c>
      <c r="D393" s="108">
        <v>5.03</v>
      </c>
      <c r="E393" s="108"/>
      <c r="F393" s="127"/>
      <c r="G393" s="128"/>
      <c r="H393" s="490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94"/>
      <c r="P393" s="494"/>
      <c r="Q393" s="494"/>
      <c r="R393" s="494"/>
      <c r="S393" s="494"/>
      <c r="T393" s="494"/>
      <c r="U393" s="49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9" t="s">
        <v>382</v>
      </c>
      <c r="C394" s="187" t="s">
        <v>391</v>
      </c>
      <c r="D394" s="108">
        <v>5.03</v>
      </c>
      <c r="E394" s="108"/>
      <c r="F394" s="127"/>
      <c r="G394" s="128"/>
      <c r="H394" s="490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94"/>
      <c r="P394" s="494"/>
      <c r="Q394" s="494"/>
      <c r="R394" s="494"/>
      <c r="S394" s="494"/>
      <c r="T394" s="494"/>
      <c r="U394" s="49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9" t="s">
        <v>418</v>
      </c>
      <c r="C395" s="187" t="s">
        <v>364</v>
      </c>
      <c r="D395" s="108">
        <v>5.03</v>
      </c>
      <c r="E395" s="108"/>
      <c r="F395" s="127"/>
      <c r="G395" s="128"/>
      <c r="H395" s="490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94"/>
      <c r="P395" s="494"/>
      <c r="Q395" s="494"/>
      <c r="R395" s="494"/>
      <c r="S395" s="494"/>
      <c r="T395" s="494"/>
      <c r="U395" s="49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9" t="s">
        <v>418</v>
      </c>
      <c r="C396" s="187" t="s">
        <v>365</v>
      </c>
      <c r="D396" s="108">
        <v>5.03</v>
      </c>
      <c r="E396" s="108"/>
      <c r="F396" s="127"/>
      <c r="G396" s="128"/>
      <c r="H396" s="490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94"/>
      <c r="P396" s="494"/>
      <c r="Q396" s="494"/>
      <c r="R396" s="494"/>
      <c r="S396" s="494"/>
      <c r="T396" s="494"/>
      <c r="U396" s="49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9" t="s">
        <v>418</v>
      </c>
      <c r="C397" s="187" t="s">
        <v>366</v>
      </c>
      <c r="D397" s="108">
        <v>5.03</v>
      </c>
      <c r="E397" s="108"/>
      <c r="F397" s="127"/>
      <c r="G397" s="128"/>
      <c r="H397" s="490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94"/>
      <c r="P397" s="494"/>
      <c r="Q397" s="494"/>
      <c r="R397" s="494"/>
      <c r="S397" s="494"/>
      <c r="T397" s="494"/>
      <c r="U397" s="49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9" t="s">
        <v>418</v>
      </c>
      <c r="C398" s="187" t="s">
        <v>367</v>
      </c>
      <c r="D398" s="108">
        <v>5.03</v>
      </c>
      <c r="E398" s="108"/>
      <c r="F398" s="127"/>
      <c r="G398" s="128"/>
      <c r="H398" s="490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94"/>
      <c r="P398" s="494"/>
      <c r="Q398" s="494"/>
      <c r="R398" s="494"/>
      <c r="S398" s="494"/>
      <c r="T398" s="494"/>
      <c r="U398" s="49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90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98"/>
      <c r="P399" s="498"/>
      <c r="Q399" s="498"/>
      <c r="R399" s="498"/>
      <c r="S399" s="498"/>
      <c r="T399" s="498"/>
      <c r="U399" s="498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90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98"/>
      <c r="P400" s="498"/>
      <c r="Q400" s="498"/>
      <c r="R400" s="498"/>
      <c r="S400" s="498"/>
      <c r="T400" s="498"/>
      <c r="U400" s="498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90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98"/>
      <c r="P401" s="498"/>
      <c r="Q401" s="498"/>
      <c r="R401" s="498"/>
      <c r="S401" s="498"/>
      <c r="T401" s="498"/>
      <c r="U401" s="498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90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98"/>
      <c r="P402" s="498"/>
      <c r="Q402" s="498"/>
      <c r="R402" s="498"/>
      <c r="S402" s="498"/>
      <c r="T402" s="498"/>
      <c r="U402" s="498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90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98"/>
      <c r="P403" s="498"/>
      <c r="Q403" s="498"/>
      <c r="R403" s="498"/>
      <c r="S403" s="498"/>
      <c r="T403" s="498"/>
      <c r="U403" s="498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90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98"/>
      <c r="P404" s="498"/>
      <c r="Q404" s="498"/>
      <c r="R404" s="498"/>
      <c r="S404" s="498"/>
      <c r="T404" s="498"/>
      <c r="U404" s="498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90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98"/>
      <c r="P405" s="498"/>
      <c r="Q405" s="498"/>
      <c r="R405" s="498"/>
      <c r="S405" s="498"/>
      <c r="T405" s="498"/>
      <c r="U405" s="498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90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98"/>
      <c r="P406" s="498"/>
      <c r="Q406" s="498"/>
      <c r="R406" s="498"/>
      <c r="S406" s="498"/>
      <c r="T406" s="498"/>
      <c r="U406" s="498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90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98"/>
      <c r="P407" s="498"/>
      <c r="Q407" s="498"/>
      <c r="R407" s="498"/>
      <c r="S407" s="498"/>
      <c r="T407" s="498"/>
      <c r="U407" s="498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90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98"/>
      <c r="P408" s="498"/>
      <c r="Q408" s="498"/>
      <c r="R408" s="498"/>
      <c r="S408" s="498"/>
      <c r="T408" s="498"/>
      <c r="U408" s="498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90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98"/>
      <c r="P409" s="498"/>
      <c r="Q409" s="498"/>
      <c r="R409" s="498"/>
      <c r="S409" s="498"/>
      <c r="T409" s="498"/>
      <c r="U409" s="498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90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98"/>
      <c r="P410" s="498"/>
      <c r="Q410" s="498"/>
      <c r="R410" s="498"/>
      <c r="S410" s="498"/>
      <c r="T410" s="498"/>
      <c r="U410" s="498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90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98"/>
      <c r="P411" s="498"/>
      <c r="Q411" s="498"/>
      <c r="R411" s="498"/>
      <c r="S411" s="498"/>
      <c r="T411" s="498"/>
      <c r="U411" s="498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90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98"/>
      <c r="P412" s="498"/>
      <c r="Q412" s="498"/>
      <c r="R412" s="498"/>
      <c r="S412" s="498"/>
      <c r="T412" s="498"/>
      <c r="U412" s="498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90">
        <f t="shared" si="172"/>
        <v>0</v>
      </c>
      <c r="I413" s="129"/>
      <c r="J413" s="130"/>
      <c r="K413" s="131"/>
      <c r="L413" s="129"/>
      <c r="M413" s="109"/>
      <c r="N413" s="130"/>
      <c r="O413" s="498"/>
      <c r="P413" s="498"/>
      <c r="Q413" s="498"/>
      <c r="R413" s="498"/>
      <c r="S413" s="498"/>
      <c r="T413" s="498"/>
      <c r="U413" s="498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90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98"/>
      <c r="P414" s="498"/>
      <c r="Q414" s="498"/>
      <c r="R414" s="498"/>
      <c r="S414" s="498"/>
      <c r="T414" s="498"/>
      <c r="U414" s="498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90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98"/>
      <c r="P415" s="498"/>
      <c r="Q415" s="498"/>
      <c r="R415" s="498"/>
      <c r="S415" s="498"/>
      <c r="T415" s="498"/>
      <c r="U415" s="498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90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98"/>
      <c r="P416" s="498"/>
      <c r="Q416" s="498"/>
      <c r="R416" s="498"/>
      <c r="S416" s="498"/>
      <c r="T416" s="498"/>
      <c r="U416" s="498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90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98"/>
      <c r="P417" s="498"/>
      <c r="Q417" s="498"/>
      <c r="R417" s="498"/>
      <c r="S417" s="498"/>
      <c r="T417" s="498"/>
      <c r="U417" s="498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90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98"/>
      <c r="P418" s="498"/>
      <c r="Q418" s="498"/>
      <c r="R418" s="498"/>
      <c r="S418" s="498"/>
      <c r="T418" s="498"/>
      <c r="U418" s="49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90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98"/>
      <c r="P419" s="498"/>
      <c r="Q419" s="498"/>
      <c r="R419" s="498"/>
      <c r="S419" s="498"/>
      <c r="T419" s="498"/>
      <c r="U419" s="49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90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98"/>
      <c r="P420" s="498"/>
      <c r="Q420" s="498"/>
      <c r="R420" s="498"/>
      <c r="S420" s="498"/>
      <c r="T420" s="498"/>
      <c r="U420" s="49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90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98"/>
      <c r="P421" s="498"/>
      <c r="Q421" s="498"/>
      <c r="R421" s="498"/>
      <c r="S421" s="498"/>
      <c r="T421" s="498"/>
      <c r="U421" s="49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90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98"/>
      <c r="P422" s="498"/>
      <c r="Q422" s="498"/>
      <c r="R422" s="498"/>
      <c r="S422" s="498"/>
      <c r="T422" s="498"/>
      <c r="U422" s="49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90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98"/>
      <c r="P423" s="498"/>
      <c r="Q423" s="498"/>
      <c r="R423" s="498"/>
      <c r="S423" s="498"/>
      <c r="T423" s="498"/>
      <c r="U423" s="49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90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98"/>
      <c r="P424" s="498"/>
      <c r="Q424" s="498"/>
      <c r="R424" s="498"/>
      <c r="S424" s="498"/>
      <c r="T424" s="498"/>
      <c r="U424" s="49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90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98"/>
      <c r="P425" s="498"/>
      <c r="Q425" s="498"/>
      <c r="R425" s="498"/>
      <c r="S425" s="498"/>
      <c r="T425" s="498"/>
      <c r="U425" s="49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90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98"/>
      <c r="P426" s="498"/>
      <c r="Q426" s="498"/>
      <c r="R426" s="498"/>
      <c r="S426" s="498"/>
      <c r="T426" s="498"/>
      <c r="U426" s="498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90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98"/>
      <c r="P427" s="498"/>
      <c r="Q427" s="498"/>
      <c r="R427" s="498"/>
      <c r="S427" s="498"/>
      <c r="T427" s="498"/>
      <c r="U427" s="498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99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9" t="s">
        <v>217</v>
      </c>
      <c r="C429" s="126" t="s">
        <v>179</v>
      </c>
      <c r="D429" s="108">
        <v>5.03</v>
      </c>
      <c r="E429" s="108"/>
      <c r="F429" s="127"/>
      <c r="G429" s="128"/>
      <c r="H429" s="490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98"/>
      <c r="P429" s="498"/>
      <c r="Q429" s="498"/>
      <c r="R429" s="498"/>
      <c r="S429" s="498"/>
      <c r="T429" s="498"/>
      <c r="U429" s="498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89" t="s">
        <v>217</v>
      </c>
      <c r="C430" s="126" t="s">
        <v>186</v>
      </c>
      <c r="D430" s="108">
        <v>5.03</v>
      </c>
      <c r="E430" s="108"/>
      <c r="F430" s="127"/>
      <c r="G430" s="128"/>
      <c r="H430" s="490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98"/>
      <c r="P430" s="498"/>
      <c r="Q430" s="498"/>
      <c r="R430" s="498"/>
      <c r="S430" s="498"/>
      <c r="T430" s="498"/>
      <c r="U430" s="498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9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72*9+63+38+9</f>
        <v>758</v>
      </c>
      <c r="H431" s="490">
        <f t="shared" si="197"/>
        <v>3812.7400000000002</v>
      </c>
      <c r="I431" s="129">
        <f>8+7+8.5+9+10+6*2+5.5+5</f>
        <v>65</v>
      </c>
      <c r="J431" s="130">
        <f t="array" ref="J431">IF(ISERROR(G431/I431),"",G431/I431)</f>
        <v>11.661538461538461</v>
      </c>
      <c r="K431" s="131">
        <f t="array" ref="K431">IF(ISERROR(G431/L431),"",G431/L431)</f>
        <v>86.136363636363626</v>
      </c>
      <c r="L431" s="129">
        <v>8.8000000000000007</v>
      </c>
      <c r="M431" s="109">
        <f t="shared" si="198"/>
        <v>-21.136363636363626</v>
      </c>
      <c r="N431" s="130">
        <f t="shared" si="199"/>
        <v>0</v>
      </c>
      <c r="O431" s="498"/>
      <c r="P431" s="498"/>
      <c r="Q431" s="498"/>
      <c r="R431" s="498"/>
      <c r="S431" s="498"/>
      <c r="T431" s="498"/>
      <c r="U431" s="498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90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98"/>
      <c r="P432" s="498"/>
      <c r="Q432" s="498"/>
      <c r="R432" s="498"/>
      <c r="S432" s="498"/>
      <c r="T432" s="498"/>
      <c r="U432" s="498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108</v>
      </c>
      <c r="H433" s="490">
        <f t="shared" si="197"/>
        <v>543.24</v>
      </c>
      <c r="I433" s="129">
        <v>12</v>
      </c>
      <c r="J433" s="130">
        <f t="array" ref="J433">IF(ISERROR(G433/I433),"",G433/I433)</f>
        <v>9</v>
      </c>
      <c r="K433" s="131">
        <f t="array" ref="K433">IF(ISERROR(G433/L433),"",G433/L433)</f>
        <v>11.61290322580645</v>
      </c>
      <c r="L433" s="129">
        <v>9.3000000000000007</v>
      </c>
      <c r="M433" s="109">
        <f t="shared" si="198"/>
        <v>0.38709677419354982</v>
      </c>
      <c r="N433" s="130">
        <f t="shared" si="199"/>
        <v>0</v>
      </c>
      <c r="O433" s="498"/>
      <c r="P433" s="498"/>
      <c r="Q433" s="498"/>
      <c r="R433" s="498"/>
      <c r="S433" s="498"/>
      <c r="T433" s="498"/>
      <c r="U433" s="498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90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98"/>
      <c r="P434" s="498"/>
      <c r="Q434" s="498"/>
      <c r="R434" s="498"/>
      <c r="S434" s="498"/>
      <c r="T434" s="498"/>
      <c r="U434" s="498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90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98"/>
      <c r="P435" s="498"/>
      <c r="Q435" s="498"/>
      <c r="R435" s="498"/>
      <c r="S435" s="498"/>
      <c r="T435" s="498"/>
      <c r="U435" s="498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90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98"/>
      <c r="P436" s="498"/>
      <c r="Q436" s="498"/>
      <c r="R436" s="498"/>
      <c r="S436" s="498"/>
      <c r="T436" s="498"/>
      <c r="U436" s="498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90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8"/>
      <c r="P437" s="498"/>
      <c r="Q437" s="498"/>
      <c r="R437" s="498"/>
      <c r="S437" s="498"/>
      <c r="T437" s="498"/>
      <c r="U437" s="49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90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8"/>
      <c r="P438" s="498"/>
      <c r="Q438" s="498"/>
      <c r="R438" s="498"/>
      <c r="S438" s="498"/>
      <c r="T438" s="498"/>
      <c r="U438" s="49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90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98"/>
      <c r="P439" s="498"/>
      <c r="Q439" s="498"/>
      <c r="R439" s="498"/>
      <c r="S439" s="498"/>
      <c r="T439" s="498"/>
      <c r="U439" s="498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90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98"/>
      <c r="P440" s="498"/>
      <c r="Q440" s="498"/>
      <c r="R440" s="498"/>
      <c r="S440" s="498"/>
      <c r="T440" s="498"/>
      <c r="U440" s="498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90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98"/>
      <c r="P441" s="498"/>
      <c r="Q441" s="498"/>
      <c r="R441" s="498"/>
      <c r="S441" s="498"/>
      <c r="T441" s="498"/>
      <c r="U441" s="498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90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98"/>
      <c r="P442" s="498"/>
      <c r="Q442" s="498"/>
      <c r="R442" s="498"/>
      <c r="S442" s="498"/>
      <c r="T442" s="498"/>
      <c r="U442" s="498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90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98"/>
      <c r="P443" s="498"/>
      <c r="Q443" s="498"/>
      <c r="R443" s="498"/>
      <c r="S443" s="498"/>
      <c r="T443" s="498"/>
      <c r="U443" s="498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90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98"/>
      <c r="P444" s="498"/>
      <c r="Q444" s="498"/>
      <c r="R444" s="498"/>
      <c r="S444" s="498"/>
      <c r="T444" s="498"/>
      <c r="U444" s="498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9" t="s">
        <v>222</v>
      </c>
      <c r="C445" s="126" t="s">
        <v>181</v>
      </c>
      <c r="D445" s="108">
        <v>9.36</v>
      </c>
      <c r="E445" s="108"/>
      <c r="F445" s="127"/>
      <c r="G445" s="128"/>
      <c r="H445" s="490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98"/>
      <c r="P445" s="498"/>
      <c r="Q445" s="498"/>
      <c r="R445" s="498"/>
      <c r="S445" s="498"/>
      <c r="T445" s="498"/>
      <c r="U445" s="498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9" t="s">
        <v>222</v>
      </c>
      <c r="C446" s="126" t="s">
        <v>179</v>
      </c>
      <c r="D446" s="108">
        <v>9.36</v>
      </c>
      <c r="E446" s="108"/>
      <c r="F446" s="127"/>
      <c r="G446" s="128"/>
      <c r="H446" s="490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98"/>
      <c r="P446" s="498"/>
      <c r="Q446" s="498"/>
      <c r="R446" s="498"/>
      <c r="S446" s="498"/>
      <c r="T446" s="498"/>
      <c r="U446" s="498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9" t="s">
        <v>222</v>
      </c>
      <c r="C447" s="126" t="s">
        <v>221</v>
      </c>
      <c r="D447" s="108">
        <v>9.36</v>
      </c>
      <c r="E447" s="108"/>
      <c r="F447" s="127"/>
      <c r="G447" s="128"/>
      <c r="H447" s="490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98"/>
      <c r="P447" s="498"/>
      <c r="Q447" s="498"/>
      <c r="R447" s="498"/>
      <c r="S447" s="498"/>
      <c r="T447" s="498"/>
      <c r="U447" s="498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9" t="s">
        <v>222</v>
      </c>
      <c r="C448" s="126" t="s">
        <v>186</v>
      </c>
      <c r="D448" s="108">
        <v>9.36</v>
      </c>
      <c r="E448" s="108"/>
      <c r="F448" s="127"/>
      <c r="G448" s="128"/>
      <c r="H448" s="490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98"/>
      <c r="P448" s="498"/>
      <c r="Q448" s="498"/>
      <c r="R448" s="498"/>
      <c r="S448" s="498"/>
      <c r="T448" s="498"/>
      <c r="U448" s="498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9" t="s">
        <v>393</v>
      </c>
      <c r="C449" s="187" t="s">
        <v>395</v>
      </c>
      <c r="D449" s="108">
        <v>5</v>
      </c>
      <c r="E449" s="108"/>
      <c r="F449" s="127"/>
      <c r="G449" s="128"/>
      <c r="H449" s="490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98"/>
      <c r="P449" s="498"/>
      <c r="Q449" s="498"/>
      <c r="R449" s="498"/>
      <c r="S449" s="498"/>
      <c r="T449" s="498"/>
      <c r="U449" s="49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9" t="s">
        <v>393</v>
      </c>
      <c r="C450" s="187" t="s">
        <v>402</v>
      </c>
      <c r="D450" s="108">
        <v>5</v>
      </c>
      <c r="E450" s="108"/>
      <c r="F450" s="127"/>
      <c r="G450" s="128"/>
      <c r="H450" s="490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98"/>
      <c r="P450" s="498"/>
      <c r="Q450" s="498"/>
      <c r="R450" s="498"/>
      <c r="S450" s="498"/>
      <c r="T450" s="498"/>
      <c r="U450" s="49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9" t="s">
        <v>404</v>
      </c>
      <c r="C451" s="187" t="s">
        <v>405</v>
      </c>
      <c r="D451" s="108">
        <v>5</v>
      </c>
      <c r="E451" s="108"/>
      <c r="F451" s="127"/>
      <c r="G451" s="128"/>
      <c r="H451" s="490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98"/>
      <c r="P451" s="498"/>
      <c r="Q451" s="498"/>
      <c r="R451" s="498"/>
      <c r="S451" s="498"/>
      <c r="T451" s="498"/>
      <c r="U451" s="49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9" t="s">
        <v>342</v>
      </c>
      <c r="C452" s="187" t="s">
        <v>372</v>
      </c>
      <c r="D452" s="108">
        <v>5</v>
      </c>
      <c r="E452" s="108"/>
      <c r="F452" s="127"/>
      <c r="G452" s="128"/>
      <c r="H452" s="490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98"/>
      <c r="P452" s="498"/>
      <c r="Q452" s="498"/>
      <c r="R452" s="498"/>
      <c r="S452" s="498"/>
      <c r="T452" s="498"/>
      <c r="U452" s="49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9" t="s">
        <v>343</v>
      </c>
      <c r="C453" s="126" t="s">
        <v>345</v>
      </c>
      <c r="D453" s="108">
        <v>5</v>
      </c>
      <c r="E453" s="108"/>
      <c r="F453" s="127"/>
      <c r="G453" s="128"/>
      <c r="H453" s="490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98"/>
      <c r="P453" s="498"/>
      <c r="Q453" s="498"/>
      <c r="R453" s="498"/>
      <c r="S453" s="498"/>
      <c r="T453" s="498"/>
      <c r="U453" s="498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9" t="s">
        <v>343</v>
      </c>
      <c r="C454" s="126" t="s">
        <v>347</v>
      </c>
      <c r="D454" s="108">
        <v>5</v>
      </c>
      <c r="E454" s="108"/>
      <c r="F454" s="127"/>
      <c r="G454" s="128"/>
      <c r="H454" s="490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98"/>
      <c r="P454" s="498"/>
      <c r="Q454" s="498"/>
      <c r="R454" s="498"/>
      <c r="S454" s="498"/>
      <c r="T454" s="498"/>
      <c r="U454" s="498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>
        <v>42742</v>
      </c>
      <c r="G455" s="128">
        <f>87+82+20+100</f>
        <v>289</v>
      </c>
      <c r="H455" s="490">
        <f t="shared" si="197"/>
        <v>1462.34</v>
      </c>
      <c r="I455" s="129">
        <f>5.5+6+4*2+2.5</f>
        <v>22</v>
      </c>
      <c r="J455" s="130">
        <f t="array" ref="J455">IF(ISERROR(G455/I455),"",G455/I455)</f>
        <v>13.136363636363637</v>
      </c>
      <c r="K455" s="131">
        <f t="array" ref="K455">IF(ISERROR(G455/L455),"",G455/L455)</f>
        <v>18.64516129032258</v>
      </c>
      <c r="L455" s="129">
        <v>15.5</v>
      </c>
      <c r="M455" s="109">
        <f t="shared" si="201"/>
        <v>3.3548387096774199</v>
      </c>
      <c r="N455" s="130">
        <f t="shared" si="202"/>
        <v>0</v>
      </c>
      <c r="O455" s="498"/>
      <c r="P455" s="498"/>
      <c r="Q455" s="498"/>
      <c r="R455" s="498"/>
      <c r="S455" s="498"/>
      <c r="T455" s="498"/>
      <c r="U455" s="498"/>
      <c r="V455" s="132">
        <f t="shared" ref="V455:V456" si="206">SUM(X455:AA455)</f>
        <v>0</v>
      </c>
      <c r="W455" s="133">
        <f t="shared" ref="W455:W456" si="207">IF(ISERROR(V455/G455),"",V455/G455)</f>
        <v>0</v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90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98"/>
      <c r="P456" s="498"/>
      <c r="Q456" s="498"/>
      <c r="R456" s="498"/>
      <c r="S456" s="498"/>
      <c r="T456" s="498"/>
      <c r="U456" s="498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90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98"/>
      <c r="P457" s="498"/>
      <c r="Q457" s="498"/>
      <c r="R457" s="498"/>
      <c r="S457" s="498"/>
      <c r="T457" s="498"/>
      <c r="U457" s="49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90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98"/>
      <c r="P458" s="498"/>
      <c r="Q458" s="498"/>
      <c r="R458" s="498"/>
      <c r="S458" s="498"/>
      <c r="T458" s="498"/>
      <c r="U458" s="498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90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98"/>
      <c r="P459" s="498"/>
      <c r="Q459" s="498"/>
      <c r="R459" s="498"/>
      <c r="S459" s="498"/>
      <c r="T459" s="498"/>
      <c r="U459" s="498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90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98"/>
      <c r="P460" s="498"/>
      <c r="Q460" s="498"/>
      <c r="R460" s="498"/>
      <c r="S460" s="498"/>
      <c r="T460" s="498"/>
      <c r="U460" s="498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90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98"/>
      <c r="P461" s="498"/>
      <c r="Q461" s="498"/>
      <c r="R461" s="498"/>
      <c r="S461" s="498"/>
      <c r="T461" s="498"/>
      <c r="U461" s="498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90">
        <f t="shared" si="197"/>
        <v>0</v>
      </c>
      <c r="I462" s="129"/>
      <c r="J462" s="130" t="str">
        <f t="array" ref="J462">IF(ISERROR(G462/I462),"",G462/I462)</f>
        <v/>
      </c>
      <c r="K462" s="490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98"/>
      <c r="P462" s="498"/>
      <c r="Q462" s="498"/>
      <c r="R462" s="498"/>
      <c r="S462" s="498"/>
      <c r="T462" s="498"/>
      <c r="U462" s="498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499" t="s">
        <v>202</v>
      </c>
      <c r="D463" s="143"/>
      <c r="E463" s="143"/>
      <c r="F463" s="144"/>
      <c r="G463" s="145">
        <f>SUM(G429:G462)</f>
        <v>1155</v>
      </c>
      <c r="H463" s="146">
        <f>SUM(H429:H462)</f>
        <v>5818.3200000000006</v>
      </c>
      <c r="I463" s="146">
        <f>SUM(I429:I462)</f>
        <v>99</v>
      </c>
      <c r="J463" s="130">
        <f t="array" ref="J463">IF(ISERROR(G463/I463),"",G463/I463)</f>
        <v>11.666666666666666</v>
      </c>
      <c r="K463" s="146">
        <f>SUM(K429:K462)</f>
        <v>116.39442815249265</v>
      </c>
      <c r="L463" s="147"/>
      <c r="M463" s="150">
        <f t="shared" ref="M463:V463" si="211">SUM(M429:M462)</f>
        <v>-17.394428152492655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90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98"/>
      <c r="P464" s="498"/>
      <c r="Q464" s="498"/>
      <c r="R464" s="498"/>
      <c r="S464" s="498"/>
      <c r="T464" s="498"/>
      <c r="U464" s="498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90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98"/>
      <c r="P465" s="498"/>
      <c r="Q465" s="498"/>
      <c r="R465" s="498"/>
      <c r="S465" s="498"/>
      <c r="T465" s="498"/>
      <c r="U465" s="498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90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98"/>
      <c r="P466" s="498"/>
      <c r="Q466" s="498"/>
      <c r="R466" s="498"/>
      <c r="S466" s="498"/>
      <c r="T466" s="498"/>
      <c r="U466" s="498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90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98"/>
      <c r="P467" s="498"/>
      <c r="Q467" s="498"/>
      <c r="R467" s="498"/>
      <c r="S467" s="498"/>
      <c r="T467" s="498"/>
      <c r="U467" s="498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95" t="s">
        <v>203</v>
      </c>
      <c r="D468" s="108">
        <v>5.03</v>
      </c>
      <c r="E468" s="108"/>
      <c r="F468" s="127"/>
      <c r="G468" s="128"/>
      <c r="H468" s="490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98"/>
      <c r="P468" s="498"/>
      <c r="Q468" s="498"/>
      <c r="R468" s="498"/>
      <c r="S468" s="498"/>
      <c r="T468" s="498"/>
      <c r="U468" s="498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90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98"/>
      <c r="P469" s="498"/>
      <c r="Q469" s="498"/>
      <c r="R469" s="498"/>
      <c r="S469" s="498"/>
      <c r="T469" s="498"/>
      <c r="U469" s="498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90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98"/>
      <c r="P470" s="498"/>
      <c r="Q470" s="498"/>
      <c r="R470" s="498"/>
      <c r="S470" s="498"/>
      <c r="T470" s="498"/>
      <c r="U470" s="498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95" t="s">
        <v>228</v>
      </c>
      <c r="D471" s="108">
        <v>5.03</v>
      </c>
      <c r="E471" s="108"/>
      <c r="F471" s="127"/>
      <c r="G471" s="128"/>
      <c r="H471" s="490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98"/>
      <c r="P471" s="498"/>
      <c r="Q471" s="498"/>
      <c r="R471" s="498"/>
      <c r="S471" s="498"/>
      <c r="T471" s="498"/>
      <c r="U471" s="498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95" t="s">
        <v>212</v>
      </c>
      <c r="D472" s="108">
        <v>5.03</v>
      </c>
      <c r="E472" s="108"/>
      <c r="F472" s="127"/>
      <c r="G472" s="128"/>
      <c r="H472" s="490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98"/>
      <c r="P472" s="498"/>
      <c r="Q472" s="498"/>
      <c r="R472" s="498"/>
      <c r="S472" s="498"/>
      <c r="T472" s="498"/>
      <c r="U472" s="498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95" t="s">
        <v>203</v>
      </c>
      <c r="D473" s="108">
        <v>5.03</v>
      </c>
      <c r="E473" s="108"/>
      <c r="F473" s="127"/>
      <c r="G473" s="128"/>
      <c r="H473" s="490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98"/>
      <c r="P473" s="498"/>
      <c r="Q473" s="498"/>
      <c r="R473" s="498"/>
      <c r="S473" s="498"/>
      <c r="T473" s="498"/>
      <c r="U473" s="498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95" t="s">
        <v>186</v>
      </c>
      <c r="D474" s="108">
        <v>5.03</v>
      </c>
      <c r="E474" s="108"/>
      <c r="F474" s="127"/>
      <c r="G474" s="128"/>
      <c r="H474" s="490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98"/>
      <c r="P474" s="498"/>
      <c r="Q474" s="498"/>
      <c r="R474" s="498"/>
      <c r="S474" s="498"/>
      <c r="T474" s="498"/>
      <c r="U474" s="498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95" t="s">
        <v>228</v>
      </c>
      <c r="D475" s="108">
        <v>5.03</v>
      </c>
      <c r="E475" s="108"/>
      <c r="F475" s="127"/>
      <c r="G475" s="128"/>
      <c r="H475" s="490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98"/>
      <c r="P475" s="498"/>
      <c r="Q475" s="498"/>
      <c r="R475" s="498"/>
      <c r="S475" s="498"/>
      <c r="T475" s="498"/>
      <c r="U475" s="498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95" t="s">
        <v>199</v>
      </c>
      <c r="D476" s="108">
        <v>5.03</v>
      </c>
      <c r="E476" s="108"/>
      <c r="F476" s="127"/>
      <c r="G476" s="128"/>
      <c r="H476" s="490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98"/>
      <c r="P476" s="498"/>
      <c r="Q476" s="498"/>
      <c r="R476" s="498"/>
      <c r="S476" s="498"/>
      <c r="T476" s="498"/>
      <c r="U476" s="498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90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98"/>
      <c r="P477" s="498"/>
      <c r="Q477" s="498"/>
      <c r="R477" s="498"/>
      <c r="S477" s="498"/>
      <c r="T477" s="498"/>
      <c r="U477" s="498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90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98"/>
      <c r="P478" s="498"/>
      <c r="Q478" s="498"/>
      <c r="R478" s="498"/>
      <c r="S478" s="498"/>
      <c r="T478" s="498"/>
      <c r="U478" s="498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499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90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98"/>
      <c r="P480" s="498"/>
      <c r="Q480" s="498"/>
      <c r="R480" s="498"/>
      <c r="S480" s="498"/>
      <c r="T480" s="498"/>
      <c r="U480" s="498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90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98"/>
      <c r="P481" s="498"/>
      <c r="Q481" s="498"/>
      <c r="R481" s="498"/>
      <c r="S481" s="498"/>
      <c r="T481" s="498"/>
      <c r="U481" s="498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90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98"/>
      <c r="P482" s="498"/>
      <c r="Q482" s="498"/>
      <c r="R482" s="498"/>
      <c r="S482" s="498"/>
      <c r="T482" s="498"/>
      <c r="U482" s="498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90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98"/>
      <c r="P483" s="498"/>
      <c r="Q483" s="498"/>
      <c r="R483" s="498"/>
      <c r="S483" s="498"/>
      <c r="T483" s="498"/>
      <c r="U483" s="498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90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98"/>
      <c r="P484" s="498"/>
      <c r="Q484" s="498"/>
      <c r="R484" s="498"/>
      <c r="S484" s="498"/>
      <c r="T484" s="498"/>
      <c r="U484" s="498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90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8"/>
      <c r="P485" s="498"/>
      <c r="Q485" s="498"/>
      <c r="R485" s="498"/>
      <c r="S485" s="498"/>
      <c r="T485" s="498"/>
      <c r="U485" s="498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90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98"/>
      <c r="P486" s="498"/>
      <c r="Q486" s="498"/>
      <c r="R486" s="498"/>
      <c r="S486" s="498"/>
      <c r="T486" s="498"/>
      <c r="U486" s="498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90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98"/>
      <c r="P487" s="498"/>
      <c r="Q487" s="498"/>
      <c r="R487" s="498"/>
      <c r="S487" s="498"/>
      <c r="T487" s="498"/>
      <c r="U487" s="498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90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98"/>
      <c r="P488" s="498"/>
      <c r="Q488" s="498"/>
      <c r="R488" s="498"/>
      <c r="S488" s="498"/>
      <c r="T488" s="498"/>
      <c r="U488" s="498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90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98"/>
      <c r="P489" s="498"/>
      <c r="Q489" s="498"/>
      <c r="R489" s="498"/>
      <c r="S489" s="498"/>
      <c r="T489" s="498"/>
      <c r="U489" s="498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499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96"/>
      <c r="D491" s="108">
        <v>3.65</v>
      </c>
      <c r="E491" s="108"/>
      <c r="F491" s="153"/>
      <c r="G491" s="128"/>
      <c r="H491" s="490">
        <f t="shared" ref="H491:H505" si="224">D491*G491</f>
        <v>0</v>
      </c>
      <c r="I491" s="129"/>
      <c r="J491" s="130" t="str">
        <f t="array" ref="J491">IF(ISERROR(G491/I491),"",G491/I491)</f>
        <v/>
      </c>
      <c r="K491" s="490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98"/>
      <c r="P491" s="498"/>
      <c r="Q491" s="498"/>
      <c r="R491" s="498"/>
      <c r="S491" s="498"/>
      <c r="T491" s="498"/>
      <c r="U491" s="498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96"/>
      <c r="D492" s="108">
        <v>6.58</v>
      </c>
      <c r="E492" s="108"/>
      <c r="F492" s="127"/>
      <c r="G492" s="128"/>
      <c r="H492" s="490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98"/>
      <c r="P492" s="498"/>
      <c r="Q492" s="498"/>
      <c r="R492" s="498"/>
      <c r="S492" s="498"/>
      <c r="T492" s="498"/>
      <c r="U492" s="498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96"/>
      <c r="D493" s="108">
        <v>7.8</v>
      </c>
      <c r="E493" s="108"/>
      <c r="F493" s="127"/>
      <c r="G493" s="128"/>
      <c r="H493" s="490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98"/>
      <c r="P493" s="498"/>
      <c r="Q493" s="498"/>
      <c r="R493" s="498"/>
      <c r="S493" s="498"/>
      <c r="T493" s="498"/>
      <c r="U493" s="498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96"/>
      <c r="D494" s="108">
        <v>4.4000000000000004</v>
      </c>
      <c r="E494" s="108"/>
      <c r="F494" s="127"/>
      <c r="G494" s="128"/>
      <c r="H494" s="490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98"/>
      <c r="P494" s="498"/>
      <c r="Q494" s="498"/>
      <c r="R494" s="498"/>
      <c r="S494" s="498"/>
      <c r="T494" s="498"/>
      <c r="U494" s="498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90">
        <f t="shared" si="224"/>
        <v>0</v>
      </c>
      <c r="I495" s="129"/>
      <c r="J495" s="130"/>
      <c r="K495" s="131"/>
      <c r="L495" s="129"/>
      <c r="M495" s="109"/>
      <c r="N495" s="130"/>
      <c r="O495" s="498"/>
      <c r="P495" s="498"/>
      <c r="Q495" s="498"/>
      <c r="R495" s="498"/>
      <c r="S495" s="498"/>
      <c r="T495" s="498"/>
      <c r="U495" s="498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96"/>
      <c r="D496" s="108"/>
      <c r="E496" s="108"/>
      <c r="F496" s="127"/>
      <c r="G496" s="128"/>
      <c r="H496" s="490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98"/>
      <c r="P496" s="498"/>
      <c r="Q496" s="498"/>
      <c r="R496" s="498"/>
      <c r="S496" s="498"/>
      <c r="T496" s="498"/>
      <c r="U496" s="49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96" t="s">
        <v>239</v>
      </c>
      <c r="C497" s="496" t="s">
        <v>179</v>
      </c>
      <c r="D497" s="108">
        <v>6.04</v>
      </c>
      <c r="E497" s="108"/>
      <c r="F497" s="127"/>
      <c r="G497" s="128"/>
      <c r="H497" s="490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98"/>
      <c r="P497" s="498"/>
      <c r="Q497" s="498"/>
      <c r="R497" s="498"/>
      <c r="S497" s="498"/>
      <c r="T497" s="498"/>
      <c r="U497" s="498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96" t="s">
        <v>239</v>
      </c>
      <c r="C498" s="496" t="s">
        <v>186</v>
      </c>
      <c r="D498" s="108">
        <v>6.04</v>
      </c>
      <c r="E498" s="108"/>
      <c r="F498" s="127"/>
      <c r="G498" s="128"/>
      <c r="H498" s="490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98"/>
      <c r="P498" s="498"/>
      <c r="Q498" s="498"/>
      <c r="R498" s="498"/>
      <c r="S498" s="498"/>
      <c r="T498" s="498"/>
      <c r="U498" s="498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96" t="s">
        <v>443</v>
      </c>
      <c r="C499" s="496" t="s">
        <v>179</v>
      </c>
      <c r="D499" s="108"/>
      <c r="E499" s="108"/>
      <c r="F499" s="127"/>
      <c r="G499" s="128"/>
      <c r="H499" s="490">
        <f t="shared" si="224"/>
        <v>0</v>
      </c>
      <c r="I499" s="129"/>
      <c r="J499" s="130"/>
      <c r="K499" s="131"/>
      <c r="L499" s="129"/>
      <c r="M499" s="109"/>
      <c r="N499" s="130"/>
      <c r="O499" s="498"/>
      <c r="P499" s="498"/>
      <c r="Q499" s="498"/>
      <c r="R499" s="498"/>
      <c r="S499" s="498"/>
      <c r="T499" s="498"/>
      <c r="U499" s="49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96" t="s">
        <v>443</v>
      </c>
      <c r="C500" s="496" t="s">
        <v>186</v>
      </c>
      <c r="D500" s="108"/>
      <c r="E500" s="108"/>
      <c r="F500" s="127"/>
      <c r="G500" s="128"/>
      <c r="H500" s="490">
        <f t="shared" si="224"/>
        <v>0</v>
      </c>
      <c r="I500" s="129"/>
      <c r="J500" s="130"/>
      <c r="K500" s="131"/>
      <c r="L500" s="129"/>
      <c r="M500" s="109"/>
      <c r="N500" s="130"/>
      <c r="O500" s="498"/>
      <c r="P500" s="498"/>
      <c r="Q500" s="498"/>
      <c r="R500" s="498"/>
      <c r="S500" s="498"/>
      <c r="T500" s="498"/>
      <c r="U500" s="49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9" t="s">
        <v>240</v>
      </c>
      <c r="C501" s="126"/>
      <c r="D501" s="108">
        <v>7.3</v>
      </c>
      <c r="E501" s="108"/>
      <c r="F501" s="127"/>
      <c r="G501" s="128"/>
      <c r="H501" s="490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98"/>
      <c r="P501" s="498"/>
      <c r="Q501" s="498"/>
      <c r="R501" s="498"/>
      <c r="S501" s="498"/>
      <c r="T501" s="498"/>
      <c r="U501" s="498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9" t="s">
        <v>241</v>
      </c>
      <c r="C502" s="126"/>
      <c r="D502" s="108">
        <f>78*120/1000</f>
        <v>9.36</v>
      </c>
      <c r="E502" s="108"/>
      <c r="F502" s="127"/>
      <c r="G502" s="128"/>
      <c r="H502" s="490">
        <f t="shared" si="224"/>
        <v>0</v>
      </c>
      <c r="I502" s="129"/>
      <c r="J502" s="130"/>
      <c r="K502" s="131"/>
      <c r="L502" s="129"/>
      <c r="M502" s="109"/>
      <c r="N502" s="130"/>
      <c r="O502" s="498"/>
      <c r="P502" s="498"/>
      <c r="Q502" s="498"/>
      <c r="R502" s="498"/>
      <c r="S502" s="498"/>
      <c r="T502" s="498"/>
      <c r="U502" s="49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9" t="s">
        <v>242</v>
      </c>
      <c r="C503" s="126"/>
      <c r="D503" s="108">
        <v>4.5</v>
      </c>
      <c r="E503" s="108"/>
      <c r="F503" s="127"/>
      <c r="G503" s="128"/>
      <c r="H503" s="490">
        <f t="shared" si="224"/>
        <v>0</v>
      </c>
      <c r="I503" s="129"/>
      <c r="J503" s="130"/>
      <c r="K503" s="131"/>
      <c r="L503" s="129"/>
      <c r="M503" s="109"/>
      <c r="N503" s="130"/>
      <c r="O503" s="498"/>
      <c r="P503" s="498"/>
      <c r="Q503" s="498"/>
      <c r="R503" s="498"/>
      <c r="S503" s="498"/>
      <c r="T503" s="498"/>
      <c r="U503" s="498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9" t="s">
        <v>243</v>
      </c>
      <c r="C504" s="126"/>
      <c r="D504" s="108">
        <v>4.5</v>
      </c>
      <c r="E504" s="108"/>
      <c r="F504" s="127"/>
      <c r="G504" s="128"/>
      <c r="H504" s="490">
        <f t="shared" si="224"/>
        <v>0</v>
      </c>
      <c r="I504" s="129"/>
      <c r="J504" s="130"/>
      <c r="K504" s="131"/>
      <c r="L504" s="129"/>
      <c r="M504" s="109"/>
      <c r="N504" s="130"/>
      <c r="O504" s="498"/>
      <c r="P504" s="498"/>
      <c r="Q504" s="498"/>
      <c r="R504" s="498"/>
      <c r="S504" s="498"/>
      <c r="T504" s="498"/>
      <c r="U504" s="498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9"/>
      <c r="C505" s="126"/>
      <c r="D505" s="108"/>
      <c r="E505" s="108"/>
      <c r="F505" s="127"/>
      <c r="G505" s="128"/>
      <c r="H505" s="490">
        <f t="shared" si="224"/>
        <v>0</v>
      </c>
      <c r="I505" s="129"/>
      <c r="J505" s="130"/>
      <c r="K505" s="131"/>
      <c r="L505" s="129"/>
      <c r="M505" s="109"/>
      <c r="N505" s="130"/>
      <c r="O505" s="498"/>
      <c r="P505" s="498"/>
      <c r="Q505" s="498"/>
      <c r="R505" s="498"/>
      <c r="S505" s="498"/>
      <c r="T505" s="498"/>
      <c r="U505" s="498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499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1155</v>
      </c>
      <c r="H507" s="154">
        <f>SUM(H370,H428,H463,H479,H490,H506)</f>
        <v>5818.3200000000006</v>
      </c>
      <c r="I507" s="154">
        <f>SUM(I370,I428,I463,I479,I490,I506)</f>
        <v>99</v>
      </c>
      <c r="J507" s="155">
        <f t="array" ref="J507">IF(ISERROR(G507/I507),"",G507/I507)</f>
        <v>11.666666666666666</v>
      </c>
      <c r="K507" s="154">
        <f>SUM(K370,K428,K463,K479,K490,K506)</f>
        <v>116.39442815249265</v>
      </c>
      <c r="L507" s="155">
        <f>IF(ISERROR(G507/K507),"",G507/K507)</f>
        <v>9.9231554150237482</v>
      </c>
      <c r="M507" s="154">
        <f t="shared" ref="M507:V507" si="237">SUM(M370,M428,M463,M479,M490,M506)</f>
        <v>-17.394428152492655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492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492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492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492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492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492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492">
        <f>G507</f>
        <v>1155</v>
      </c>
      <c r="C514" s="638" t="s">
        <v>269</v>
      </c>
      <c r="D514" s="639"/>
      <c r="E514" s="631">
        <f>H507</f>
        <v>5818.3200000000006</v>
      </c>
      <c r="F514" s="631"/>
      <c r="G514" s="631" t="s">
        <v>270</v>
      </c>
      <c r="H514" s="631"/>
      <c r="I514" s="640">
        <f>L507</f>
        <v>9.9231554150237482</v>
      </c>
      <c r="J514" s="640"/>
      <c r="K514" s="628" t="s">
        <v>271</v>
      </c>
      <c r="L514" s="628"/>
      <c r="M514" s="640">
        <f>J507</f>
        <v>11.666666666666666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492">
        <f>I507+C513</f>
        <v>100</v>
      </c>
      <c r="C515" s="641" t="s">
        <v>251</v>
      </c>
      <c r="D515" s="642"/>
      <c r="E515" s="643">
        <f>K507+I513</f>
        <v>127.39442815249265</v>
      </c>
      <c r="F515" s="643"/>
      <c r="G515" s="631" t="s">
        <v>274</v>
      </c>
      <c r="H515" s="631"/>
      <c r="I515" s="640">
        <f>B515-E515</f>
        <v>-27.394428152492651</v>
      </c>
      <c r="J515" s="640"/>
      <c r="K515" s="628" t="s">
        <v>275</v>
      </c>
      <c r="L515" s="628"/>
      <c r="M515" s="632">
        <f>IF(ISERROR(I515/E515),"",I515/E515)</f>
        <v>-0.21503631320281286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492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493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12295</v>
      </c>
      <c r="D519" s="627"/>
      <c r="E519" s="673" t="s">
        <v>269</v>
      </c>
      <c r="F519" s="673"/>
      <c r="G519" s="643">
        <f>SUM(E171,E342,E514)</f>
        <v>62620.400000000009</v>
      </c>
      <c r="H519" s="643"/>
      <c r="I519" s="631" t="s">
        <v>270</v>
      </c>
      <c r="J519" s="673"/>
      <c r="K519" s="626">
        <f>IF(ISERROR(C519/G520),"",C519/G520)</f>
        <v>13.788282825221641</v>
      </c>
      <c r="L519" s="627"/>
      <c r="M519" s="631" t="s">
        <v>271</v>
      </c>
      <c r="N519" s="631"/>
      <c r="O519" s="668">
        <f t="array" ref="O519">IF(ISERROR(C519/C520),"",C519/C520)</f>
        <v>15.844072164948454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776</v>
      </c>
      <c r="D520" s="627"/>
      <c r="E520" s="631" t="s">
        <v>251</v>
      </c>
      <c r="F520" s="631"/>
      <c r="G520" s="643">
        <f>SUM(E172,E343,E515)</f>
        <v>891.69914454538775</v>
      </c>
      <c r="H520" s="643"/>
      <c r="I520" s="641" t="s">
        <v>274</v>
      </c>
      <c r="J520" s="642"/>
      <c r="K520" s="638">
        <f>C520-G520</f>
        <v>-115.69914454538775</v>
      </c>
      <c r="L520" s="639"/>
      <c r="M520" s="638" t="s">
        <v>275</v>
      </c>
      <c r="N520" s="639"/>
      <c r="O520" s="671">
        <f>IF(ISERROR(K520/C520),"",K520/C520)</f>
        <v>-0.14909683575436566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93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887</v>
      </c>
      <c r="D524" s="642"/>
      <c r="E524" s="681">
        <f>IF(ISERROR(C524/C530),"",C524/C530)</f>
        <v>7.2143147620984144E-2</v>
      </c>
      <c r="F524" s="682"/>
      <c r="G524" s="676"/>
      <c r="H524" s="677"/>
      <c r="I524" s="683" t="s">
        <v>301</v>
      </c>
      <c r="J524" s="684"/>
      <c r="K524" s="638">
        <f t="shared" ref="K524:K529" si="239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40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5665</v>
      </c>
      <c r="D525" s="642"/>
      <c r="E525" s="681">
        <f>IF(ISERROR(C525/C530),"",C525/C530)</f>
        <v>0.46075640504270027</v>
      </c>
      <c r="F525" s="682"/>
      <c r="G525" s="676"/>
      <c r="H525" s="677"/>
      <c r="I525" s="683" t="s">
        <v>302</v>
      </c>
      <c r="J525" s="684"/>
      <c r="K525" s="638">
        <f t="shared" si="239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40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2503</v>
      </c>
      <c r="D526" s="642"/>
      <c r="E526" s="681">
        <f>IF(ISERROR(C526/C530),"",C526/C530)</f>
        <v>0.20357869052460351</v>
      </c>
      <c r="F526" s="682"/>
      <c r="G526" s="676"/>
      <c r="H526" s="677"/>
      <c r="I526" s="683" t="s">
        <v>303</v>
      </c>
      <c r="J526" s="684"/>
      <c r="K526" s="638">
        <f t="shared" si="239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40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1612</v>
      </c>
      <c r="D527" s="642"/>
      <c r="E527" s="681">
        <f>IF(ISERROR(C527/C530),"",C527/C530)</f>
        <v>0.13111020740138268</v>
      </c>
      <c r="F527" s="682"/>
      <c r="G527" s="676"/>
      <c r="H527" s="677"/>
      <c r="I527" s="683" t="s">
        <v>304</v>
      </c>
      <c r="J527" s="684"/>
      <c r="K527" s="638">
        <f t="shared" si="239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40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1254</v>
      </c>
      <c r="D528" s="642"/>
      <c r="E528" s="681">
        <f>IF(ISERROR(C528/C530),"",C528/C530)</f>
        <v>0.10199267995119968</v>
      </c>
      <c r="F528" s="682"/>
      <c r="G528" s="676"/>
      <c r="H528" s="677"/>
      <c r="I528" s="683" t="s">
        <v>306</v>
      </c>
      <c r="J528" s="684"/>
      <c r="K528" s="638">
        <f t="shared" si="239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40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374</v>
      </c>
      <c r="D529" s="642"/>
      <c r="E529" s="681">
        <f>IF(ISERROR(C529/C530),"",C529/C530)</f>
        <v>3.0418869459129728E-2</v>
      </c>
      <c r="F529" s="682"/>
      <c r="G529" s="676"/>
      <c r="H529" s="677"/>
      <c r="I529" s="683" t="s">
        <v>307</v>
      </c>
      <c r="J529" s="684"/>
      <c r="K529" s="638">
        <f t="shared" si="239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40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12295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496" t="s">
        <v>309</v>
      </c>
      <c r="D532" s="496" t="s">
        <v>310</v>
      </c>
      <c r="E532" s="496" t="s">
        <v>311</v>
      </c>
      <c r="F532" s="496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98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90" t="s">
        <v>322</v>
      </c>
      <c r="Q532" s="129" t="s">
        <v>323</v>
      </c>
      <c r="R532" s="109" t="s">
        <v>324</v>
      </c>
      <c r="S532" s="496" t="s">
        <v>325</v>
      </c>
      <c r="T532" s="49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+'8'!C533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97">
        <f t="array" ref="S533">IF(ISERROR(Q533/J533),"",Q533/J533)</f>
        <v>1</v>
      </c>
      <c r="T533" s="497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44</v>
      </c>
      <c r="D534" s="106">
        <f>+'8'!C534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97">
        <f t="array" ref="S534">IF(ISERROR(Q534/J534),"",Q534/J534)</f>
        <v>0.97727272727272729</v>
      </c>
      <c r="T534" s="497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+'8'!C535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97">
        <f t="array" ref="S535">IF(ISERROR(Q535/J535),"",Q535/J535)</f>
        <v>1</v>
      </c>
      <c r="T535" s="497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G40" sqref="G4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514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503" t="s">
        <v>178</v>
      </c>
      <c r="C7" s="126" t="s">
        <v>179</v>
      </c>
      <c r="D7" s="108">
        <v>5.03</v>
      </c>
      <c r="E7" s="108"/>
      <c r="F7" s="127"/>
      <c r="G7" s="128"/>
      <c r="H7" s="50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12"/>
      <c r="P7" s="512"/>
      <c r="Q7" s="512"/>
      <c r="R7" s="512"/>
      <c r="S7" s="512"/>
      <c r="T7" s="512"/>
      <c r="U7" s="512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0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12"/>
      <c r="Q8" s="512"/>
      <c r="R8" s="512"/>
      <c r="S8" s="512"/>
      <c r="T8" s="512"/>
      <c r="U8" s="51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0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12"/>
      <c r="P9" s="512"/>
      <c r="Q9" s="512"/>
      <c r="R9" s="512"/>
      <c r="S9" s="512"/>
      <c r="T9" s="512"/>
      <c r="U9" s="51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0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12"/>
      <c r="P10" s="512"/>
      <c r="Q10" s="512"/>
      <c r="R10" s="512"/>
      <c r="S10" s="512"/>
      <c r="T10" s="512"/>
      <c r="U10" s="51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0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12"/>
      <c r="P11" s="512"/>
      <c r="Q11" s="512"/>
      <c r="R11" s="512"/>
      <c r="S11" s="512"/>
      <c r="T11" s="512"/>
      <c r="U11" s="51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0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12"/>
      <c r="P12" s="512"/>
      <c r="Q12" s="512"/>
      <c r="R12" s="512"/>
      <c r="S12" s="512"/>
      <c r="T12" s="512"/>
      <c r="U12" s="51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0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12"/>
      <c r="P13" s="512"/>
      <c r="Q13" s="512"/>
      <c r="R13" s="512"/>
      <c r="S13" s="512"/>
      <c r="T13" s="512"/>
      <c r="U13" s="51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0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12"/>
      <c r="P14" s="512"/>
      <c r="Q14" s="512"/>
      <c r="R14" s="512"/>
      <c r="S14" s="512"/>
      <c r="T14" s="512"/>
      <c r="U14" s="51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04">
        <f t="shared" si="0"/>
        <v>0</v>
      </c>
      <c r="I15" s="50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12"/>
      <c r="P15" s="512"/>
      <c r="Q15" s="512"/>
      <c r="R15" s="512"/>
      <c r="S15" s="512"/>
      <c r="T15" s="512"/>
      <c r="U15" s="51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42744</v>
      </c>
      <c r="G16" s="128">
        <f>91+100*2</f>
        <v>291</v>
      </c>
      <c r="H16" s="504">
        <f t="shared" si="0"/>
        <v>1466.64</v>
      </c>
      <c r="I16" s="504">
        <f>4*5</f>
        <v>20</v>
      </c>
      <c r="J16" s="130">
        <f t="array" ref="J16">IF(ISERROR(G16/I16),"",G16/I16)</f>
        <v>14.55</v>
      </c>
      <c r="K16" s="131">
        <f t="array" ref="K16">IF(ISERROR(G16/L16),"",G16/L16)</f>
        <v>17.117647058823529</v>
      </c>
      <c r="L16" s="129">
        <v>17</v>
      </c>
      <c r="M16" s="109">
        <f t="shared" si="1"/>
        <v>2.882352941176471</v>
      </c>
      <c r="N16" s="130">
        <f t="shared" si="4"/>
        <v>0</v>
      </c>
      <c r="O16" s="512"/>
      <c r="P16" s="512"/>
      <c r="Q16" s="512"/>
      <c r="R16" s="512"/>
      <c r="S16" s="512"/>
      <c r="T16" s="512"/>
      <c r="U16" s="512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0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12"/>
      <c r="P17" s="512"/>
      <c r="Q17" s="512"/>
      <c r="R17" s="512"/>
      <c r="S17" s="512"/>
      <c r="T17" s="512"/>
      <c r="U17" s="51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0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12"/>
      <c r="P18" s="512"/>
      <c r="Q18" s="512"/>
      <c r="R18" s="512"/>
      <c r="S18" s="512"/>
      <c r="T18" s="512"/>
      <c r="U18" s="51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42744</v>
      </c>
      <c r="G19" s="128">
        <f>90*3+68</f>
        <v>338</v>
      </c>
      <c r="H19" s="504">
        <f t="shared" si="0"/>
        <v>1710.28</v>
      </c>
      <c r="I19" s="129">
        <f>2.5*5</f>
        <v>12.5</v>
      </c>
      <c r="J19" s="130">
        <f t="array" ref="J19">IF(ISERROR(G19/I19),"",G19/I19)</f>
        <v>27.04</v>
      </c>
      <c r="K19" s="131">
        <f t="array" ref="K19">IF(ISERROR(G19/L19),"",G19/L19)</f>
        <v>17.789473684210527</v>
      </c>
      <c r="L19" s="129">
        <v>19</v>
      </c>
      <c r="M19" s="109">
        <f t="shared" si="1"/>
        <v>-5.2894736842105274</v>
      </c>
      <c r="N19" s="129">
        <f t="shared" si="4"/>
        <v>0</v>
      </c>
      <c r="O19" s="512"/>
      <c r="P19" s="512"/>
      <c r="Q19" s="512"/>
      <c r="R19" s="512"/>
      <c r="S19" s="512"/>
      <c r="T19" s="512"/>
      <c r="U19" s="512"/>
      <c r="V19" s="132">
        <f t="shared" ref="V19:V21" si="5">SUM(X19:AA19)</f>
        <v>0</v>
      </c>
      <c r="W19" s="50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28">
        <f>100*7</f>
        <v>700</v>
      </c>
      <c r="H20" s="504">
        <f t="shared" si="0"/>
        <v>3563</v>
      </c>
      <c r="I20" s="129">
        <f>6*5</f>
        <v>30</v>
      </c>
      <c r="J20" s="130">
        <f t="array" ref="J20">IF(ISERROR(G20/I20),"",G20/I20)</f>
        <v>23.333333333333332</v>
      </c>
      <c r="K20" s="131">
        <f t="array" ref="K20">IF(ISERROR(G20/L20),"",G20/L20)</f>
        <v>30.434782608695652</v>
      </c>
      <c r="L20" s="129">
        <v>23</v>
      </c>
      <c r="M20" s="109">
        <f t="shared" si="1"/>
        <v>-0.43478260869565233</v>
      </c>
      <c r="N20" s="130">
        <f t="shared" si="4"/>
        <v>0</v>
      </c>
      <c r="O20" s="512"/>
      <c r="P20" s="512"/>
      <c r="Q20" s="512"/>
      <c r="R20" s="512"/>
      <c r="S20" s="512"/>
      <c r="T20" s="512"/>
      <c r="U20" s="51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0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12"/>
      <c r="P21" s="512"/>
      <c r="Q21" s="512"/>
      <c r="R21" s="512"/>
      <c r="S21" s="512"/>
      <c r="T21" s="512"/>
      <c r="U21" s="51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10" t="s">
        <v>190</v>
      </c>
      <c r="D22" s="108">
        <v>4.8</v>
      </c>
      <c r="E22" s="108"/>
      <c r="F22" s="127"/>
      <c r="G22" s="128"/>
      <c r="H22" s="50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12"/>
      <c r="P22" s="512"/>
      <c r="Q22" s="512"/>
      <c r="R22" s="512"/>
      <c r="S22" s="512"/>
      <c r="T22" s="512"/>
      <c r="U22" s="51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10" t="s">
        <v>187</v>
      </c>
      <c r="D23" s="108">
        <v>4.8</v>
      </c>
      <c r="E23" s="108"/>
      <c r="F23" s="127"/>
      <c r="G23" s="128"/>
      <c r="H23" s="50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12"/>
      <c r="P23" s="512"/>
      <c r="Q23" s="512"/>
      <c r="R23" s="512"/>
      <c r="S23" s="512"/>
      <c r="T23" s="512"/>
      <c r="U23" s="51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10" t="s">
        <v>179</v>
      </c>
      <c r="D24" s="108">
        <v>4.8</v>
      </c>
      <c r="E24" s="108"/>
      <c r="F24" s="127"/>
      <c r="G24" s="128"/>
      <c r="H24" s="50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12"/>
      <c r="P24" s="512"/>
      <c r="Q24" s="512"/>
      <c r="R24" s="512"/>
      <c r="S24" s="512"/>
      <c r="T24" s="512"/>
      <c r="U24" s="51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10" t="s">
        <v>199</v>
      </c>
      <c r="D25" s="108">
        <v>4.8</v>
      </c>
      <c r="E25" s="108"/>
      <c r="F25" s="127"/>
      <c r="G25" s="128"/>
      <c r="H25" s="50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12"/>
      <c r="P25" s="512"/>
      <c r="Q25" s="512"/>
      <c r="R25" s="512"/>
      <c r="S25" s="512"/>
      <c r="T25" s="512"/>
      <c r="U25" s="51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0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12"/>
      <c r="P26" s="512"/>
      <c r="Q26" s="512"/>
      <c r="R26" s="512"/>
      <c r="S26" s="512"/>
      <c r="T26" s="512"/>
      <c r="U26" s="51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0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12"/>
      <c r="P27" s="512"/>
      <c r="Q27" s="512"/>
      <c r="R27" s="512"/>
      <c r="S27" s="512"/>
      <c r="T27" s="512"/>
      <c r="U27" s="51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513" t="s">
        <v>202</v>
      </c>
      <c r="D28" s="143"/>
      <c r="E28" s="143"/>
      <c r="F28" s="144"/>
      <c r="G28" s="145">
        <f>SUM(G7:G27)</f>
        <v>1329</v>
      </c>
      <c r="H28" s="146">
        <f>SUM(H7:H27)</f>
        <v>6739.92</v>
      </c>
      <c r="I28" s="146">
        <f>SUM(I7:I27)</f>
        <v>62.5</v>
      </c>
      <c r="J28" s="130">
        <f t="array" ref="J28">IF(ISERROR(G28/I28),"",G28/I28)</f>
        <v>21.263999999999999</v>
      </c>
      <c r="K28" s="146">
        <f>SUM(K7:K27)</f>
        <v>65.341903351729712</v>
      </c>
      <c r="L28" s="147"/>
      <c r="M28" s="146">
        <f t="shared" ref="M28:V28" si="10">SUM(M7:M27)</f>
        <v>-2.8419033517297088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03" t="s">
        <v>206</v>
      </c>
      <c r="C29" s="126" t="s">
        <v>199</v>
      </c>
      <c r="D29" s="108">
        <v>5.03</v>
      </c>
      <c r="E29" s="108"/>
      <c r="F29" s="127"/>
      <c r="G29" s="128"/>
      <c r="H29" s="50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08"/>
      <c r="P29" s="508"/>
      <c r="Q29" s="508"/>
      <c r="R29" s="508"/>
      <c r="S29" s="508"/>
      <c r="T29" s="508"/>
      <c r="U29" s="50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03" t="s">
        <v>425</v>
      </c>
      <c r="C30" s="187" t="s">
        <v>427</v>
      </c>
      <c r="D30" s="108">
        <v>5.03</v>
      </c>
      <c r="E30" s="108"/>
      <c r="F30" s="127">
        <v>42743</v>
      </c>
      <c r="G30" s="128">
        <v>109</v>
      </c>
      <c r="H30" s="504">
        <f t="shared" si="11"/>
        <v>548.27</v>
      </c>
      <c r="I30" s="129">
        <f>1*2</f>
        <v>2</v>
      </c>
      <c r="J30" s="130">
        <f t="array" ref="J30">IF(ISERROR(G30/I30),"",G30/I30)</f>
        <v>54.5</v>
      </c>
      <c r="K30" s="131">
        <f t="array" ref="K30">IF(ISERROR(G30/L30),"",G30/L30)</f>
        <v>2.0961538461538463</v>
      </c>
      <c r="L30" s="129">
        <v>52</v>
      </c>
      <c r="M30" s="109">
        <f t="shared" ref="M30:M33" si="15">IF(ISERROR(I30-K30),"",I30-K30)</f>
        <v>-9.6153846153846256E-2</v>
      </c>
      <c r="N30" s="130"/>
      <c r="O30" s="508"/>
      <c r="P30" s="508"/>
      <c r="Q30" s="508"/>
      <c r="R30" s="508"/>
      <c r="S30" s="508"/>
      <c r="T30" s="508"/>
      <c r="U30" s="50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03" t="s">
        <v>206</v>
      </c>
      <c r="C31" s="126" t="s">
        <v>186</v>
      </c>
      <c r="D31" s="108">
        <v>5.03</v>
      </c>
      <c r="E31" s="108"/>
      <c r="F31" s="127"/>
      <c r="G31" s="128"/>
      <c r="H31" s="50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5"/>
        <v>0</v>
      </c>
      <c r="N31" s="130">
        <f t="shared" ref="N31:N33" si="16">SUM(O31:U31)</f>
        <v>0</v>
      </c>
      <c r="O31" s="508"/>
      <c r="P31" s="508"/>
      <c r="Q31" s="508"/>
      <c r="R31" s="508"/>
      <c r="S31" s="508"/>
      <c r="T31" s="508"/>
      <c r="U31" s="50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03" t="s">
        <v>206</v>
      </c>
      <c r="C32" s="126" t="s">
        <v>203</v>
      </c>
      <c r="D32" s="108">
        <v>5.03</v>
      </c>
      <c r="E32" s="108"/>
      <c r="F32" s="127">
        <v>42743</v>
      </c>
      <c r="G32" s="128">
        <f>108*7+101+7+108*4+80</f>
        <v>1376</v>
      </c>
      <c r="H32" s="504">
        <f t="shared" si="11"/>
        <v>6921.2800000000007</v>
      </c>
      <c r="I32" s="129">
        <f>10*2</f>
        <v>20</v>
      </c>
      <c r="J32" s="130">
        <f t="array" ref="J32">IF(ISERROR(G32/I32),"",G32/I32)</f>
        <v>68.8</v>
      </c>
      <c r="K32" s="131">
        <f t="array" ref="K32">IF(ISERROR(G32/L32),"",G32/L32)</f>
        <v>26.46153846153846</v>
      </c>
      <c r="L32" s="129">
        <v>52</v>
      </c>
      <c r="M32" s="109">
        <f t="shared" si="15"/>
        <v>-6.4615384615384599</v>
      </c>
      <c r="N32" s="130">
        <f t="shared" si="16"/>
        <v>0</v>
      </c>
      <c r="O32" s="508"/>
      <c r="P32" s="508"/>
      <c r="Q32" s="508"/>
      <c r="R32" s="508"/>
      <c r="S32" s="508"/>
      <c r="T32" s="508"/>
      <c r="U32" s="508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03" t="s">
        <v>206</v>
      </c>
      <c r="C33" s="126" t="s">
        <v>207</v>
      </c>
      <c r="D33" s="108">
        <v>5.03</v>
      </c>
      <c r="E33" s="108"/>
      <c r="F33" s="127"/>
      <c r="G33" s="128"/>
      <c r="H33" s="50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08"/>
      <c r="P33" s="508"/>
      <c r="Q33" s="508"/>
      <c r="R33" s="508"/>
      <c r="S33" s="508"/>
      <c r="T33" s="508"/>
      <c r="U33" s="50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03" t="s">
        <v>414</v>
      </c>
      <c r="C34" s="187" t="s">
        <v>415</v>
      </c>
      <c r="D34" s="108">
        <v>5.03</v>
      </c>
      <c r="E34" s="108"/>
      <c r="F34" s="127"/>
      <c r="G34" s="128"/>
      <c r="H34" s="504">
        <f t="shared" si="11"/>
        <v>0</v>
      </c>
      <c r="I34" s="129"/>
      <c r="J34" s="130"/>
      <c r="K34" s="131"/>
      <c r="L34" s="129">
        <v>52</v>
      </c>
      <c r="M34" s="109"/>
      <c r="N34" s="130"/>
      <c r="O34" s="508"/>
      <c r="P34" s="508"/>
      <c r="Q34" s="508"/>
      <c r="R34" s="508"/>
      <c r="S34" s="508"/>
      <c r="T34" s="508"/>
      <c r="U34" s="50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03" t="s">
        <v>414</v>
      </c>
      <c r="C35" s="187" t="s">
        <v>416</v>
      </c>
      <c r="D35" s="108">
        <v>5.03</v>
      </c>
      <c r="E35" s="108"/>
      <c r="F35" s="127"/>
      <c r="G35" s="128"/>
      <c r="H35" s="504">
        <f t="shared" si="11"/>
        <v>0</v>
      </c>
      <c r="I35" s="129"/>
      <c r="J35" s="130"/>
      <c r="K35" s="131"/>
      <c r="L35" s="129">
        <v>52</v>
      </c>
      <c r="M35" s="109"/>
      <c r="N35" s="130"/>
      <c r="O35" s="508"/>
      <c r="P35" s="508"/>
      <c r="Q35" s="508"/>
      <c r="R35" s="508"/>
      <c r="S35" s="508"/>
      <c r="T35" s="508"/>
      <c r="U35" s="50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03" t="s">
        <v>414</v>
      </c>
      <c r="C36" s="187" t="s">
        <v>61</v>
      </c>
      <c r="D36" s="108">
        <v>5.03</v>
      </c>
      <c r="E36" s="108"/>
      <c r="F36" s="127"/>
      <c r="G36" s="128"/>
      <c r="H36" s="504">
        <f t="shared" si="11"/>
        <v>0</v>
      </c>
      <c r="I36" s="129"/>
      <c r="J36" s="130"/>
      <c r="K36" s="131"/>
      <c r="L36" s="129">
        <v>52</v>
      </c>
      <c r="M36" s="109"/>
      <c r="N36" s="130"/>
      <c r="O36" s="508"/>
      <c r="P36" s="508"/>
      <c r="Q36" s="508"/>
      <c r="R36" s="508"/>
      <c r="S36" s="508"/>
      <c r="T36" s="508"/>
      <c r="U36" s="50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03" t="s">
        <v>208</v>
      </c>
      <c r="C37" s="126" t="s">
        <v>179</v>
      </c>
      <c r="D37" s="108">
        <v>5.08</v>
      </c>
      <c r="E37" s="108"/>
      <c r="F37" s="127"/>
      <c r="G37" s="128"/>
      <c r="H37" s="50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08"/>
      <c r="P37" s="508"/>
      <c r="Q37" s="508"/>
      <c r="R37" s="508"/>
      <c r="S37" s="508"/>
      <c r="T37" s="508"/>
      <c r="U37" s="50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03" t="s">
        <v>208</v>
      </c>
      <c r="C38" s="126" t="s">
        <v>204</v>
      </c>
      <c r="D38" s="108">
        <v>5.08</v>
      </c>
      <c r="E38" s="108"/>
      <c r="F38" s="127"/>
      <c r="G38" s="128"/>
      <c r="H38" s="50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08"/>
      <c r="P38" s="508"/>
      <c r="Q38" s="508"/>
      <c r="R38" s="508"/>
      <c r="S38" s="508"/>
      <c r="T38" s="508"/>
      <c r="U38" s="50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03" t="s">
        <v>208</v>
      </c>
      <c r="C39" s="126" t="s">
        <v>205</v>
      </c>
      <c r="D39" s="108">
        <v>5.08</v>
      </c>
      <c r="E39" s="108"/>
      <c r="F39" s="127"/>
      <c r="G39" s="128"/>
      <c r="H39" s="50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08"/>
      <c r="P39" s="508"/>
      <c r="Q39" s="508"/>
      <c r="R39" s="508"/>
      <c r="S39" s="508"/>
      <c r="T39" s="508"/>
      <c r="U39" s="50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03" t="s">
        <v>208</v>
      </c>
      <c r="C40" s="126" t="s">
        <v>186</v>
      </c>
      <c r="D40" s="108">
        <v>5.08</v>
      </c>
      <c r="E40" s="108"/>
      <c r="F40" s="127">
        <v>42745</v>
      </c>
      <c r="G40" s="128">
        <f>108*5+108+108*2</f>
        <v>864</v>
      </c>
      <c r="H40" s="504">
        <f t="shared" si="11"/>
        <v>4389.12</v>
      </c>
      <c r="I40" s="129">
        <f>11*3</f>
        <v>33</v>
      </c>
      <c r="J40" s="130">
        <f t="array" ref="J40">IF(ISERROR(G40/I40),"",G40/I40)</f>
        <v>26.181818181818183</v>
      </c>
      <c r="K40" s="131">
        <f t="array" ref="K40">IF(ISERROR(G40/L40),"",G40/L40)</f>
        <v>41.142857142857146</v>
      </c>
      <c r="L40" s="129">
        <v>21</v>
      </c>
      <c r="M40" s="109">
        <f t="shared" si="19"/>
        <v>-8.1428571428571459</v>
      </c>
      <c r="N40" s="130">
        <f t="shared" si="20"/>
        <v>0</v>
      </c>
      <c r="O40" s="508"/>
      <c r="P40" s="508"/>
      <c r="Q40" s="508"/>
      <c r="R40" s="508"/>
      <c r="S40" s="508"/>
      <c r="T40" s="508"/>
      <c r="U40" s="508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03" t="s">
        <v>208</v>
      </c>
      <c r="C41" s="126" t="s">
        <v>203</v>
      </c>
      <c r="D41" s="108">
        <v>5.08</v>
      </c>
      <c r="E41" s="108"/>
      <c r="F41" s="127"/>
      <c r="G41" s="128"/>
      <c r="H41" s="50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08"/>
      <c r="P41" s="508"/>
      <c r="Q41" s="508"/>
      <c r="R41" s="508"/>
      <c r="S41" s="508"/>
      <c r="T41" s="508"/>
      <c r="U41" s="50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03" t="s">
        <v>208</v>
      </c>
      <c r="C42" s="126" t="s">
        <v>199</v>
      </c>
      <c r="D42" s="108">
        <v>5.08</v>
      </c>
      <c r="E42" s="108"/>
      <c r="F42" s="127"/>
      <c r="G42" s="128"/>
      <c r="H42" s="50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12"/>
      <c r="P42" s="512"/>
      <c r="Q42" s="512"/>
      <c r="R42" s="512"/>
      <c r="S42" s="512"/>
      <c r="T42" s="512"/>
      <c r="U42" s="51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03" t="s">
        <v>208</v>
      </c>
      <c r="C43" s="126" t="s">
        <v>187</v>
      </c>
      <c r="D43" s="108">
        <v>5.08</v>
      </c>
      <c r="E43" s="108"/>
      <c r="F43" s="127"/>
      <c r="G43" s="128"/>
      <c r="H43" s="50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08"/>
      <c r="P43" s="508"/>
      <c r="Q43" s="508"/>
      <c r="R43" s="508"/>
      <c r="S43" s="508"/>
      <c r="T43" s="508"/>
      <c r="U43" s="50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03" t="s">
        <v>208</v>
      </c>
      <c r="C44" s="126" t="s">
        <v>207</v>
      </c>
      <c r="D44" s="108">
        <v>5.08</v>
      </c>
      <c r="E44" s="108"/>
      <c r="F44" s="127"/>
      <c r="G44" s="128"/>
      <c r="H44" s="50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12"/>
      <c r="P44" s="512"/>
      <c r="Q44" s="512"/>
      <c r="R44" s="512"/>
      <c r="S44" s="512"/>
      <c r="T44" s="512"/>
      <c r="U44" s="51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03" t="s">
        <v>209</v>
      </c>
      <c r="C45" s="126" t="s">
        <v>194</v>
      </c>
      <c r="D45" s="108">
        <v>5.03</v>
      </c>
      <c r="E45" s="108"/>
      <c r="F45" s="127"/>
      <c r="G45" s="128"/>
      <c r="H45" s="50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08"/>
      <c r="P45" s="508"/>
      <c r="Q45" s="508"/>
      <c r="R45" s="508"/>
      <c r="S45" s="508"/>
      <c r="T45" s="508"/>
      <c r="U45" s="50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03" t="s">
        <v>209</v>
      </c>
      <c r="C46" s="126" t="s">
        <v>179</v>
      </c>
      <c r="D46" s="108">
        <v>5.03</v>
      </c>
      <c r="E46" s="108"/>
      <c r="F46" s="127"/>
      <c r="G46" s="128"/>
      <c r="H46" s="50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08"/>
      <c r="P46" s="508"/>
      <c r="Q46" s="508"/>
      <c r="R46" s="508"/>
      <c r="S46" s="508"/>
      <c r="T46" s="508"/>
      <c r="U46" s="50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03" t="s">
        <v>209</v>
      </c>
      <c r="C47" s="126" t="s">
        <v>195</v>
      </c>
      <c r="D47" s="108">
        <v>5.03</v>
      </c>
      <c r="E47" s="108"/>
      <c r="F47" s="127"/>
      <c r="G47" s="128"/>
      <c r="H47" s="50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08"/>
      <c r="P47" s="508"/>
      <c r="Q47" s="508"/>
      <c r="R47" s="508"/>
      <c r="S47" s="508"/>
      <c r="T47" s="508"/>
      <c r="U47" s="50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03" t="s">
        <v>209</v>
      </c>
      <c r="C48" s="126" t="s">
        <v>204</v>
      </c>
      <c r="D48" s="108">
        <v>5.03</v>
      </c>
      <c r="E48" s="108"/>
      <c r="F48" s="127"/>
      <c r="G48" s="128"/>
      <c r="H48" s="50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08"/>
      <c r="P48" s="508"/>
      <c r="Q48" s="508"/>
      <c r="R48" s="508"/>
      <c r="S48" s="508"/>
      <c r="T48" s="508"/>
      <c r="U48" s="50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03" t="s">
        <v>382</v>
      </c>
      <c r="C49" s="187" t="s">
        <v>383</v>
      </c>
      <c r="D49" s="108">
        <v>5.03</v>
      </c>
      <c r="E49" s="108"/>
      <c r="F49" s="127"/>
      <c r="G49" s="128"/>
      <c r="H49" s="50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08"/>
      <c r="P49" s="508"/>
      <c r="Q49" s="508"/>
      <c r="R49" s="508"/>
      <c r="S49" s="508"/>
      <c r="T49" s="508"/>
      <c r="U49" s="50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03" t="s">
        <v>382</v>
      </c>
      <c r="C50" s="187" t="s">
        <v>384</v>
      </c>
      <c r="D50" s="108">
        <v>5.03</v>
      </c>
      <c r="E50" s="108"/>
      <c r="F50" s="127"/>
      <c r="G50" s="128"/>
      <c r="H50" s="50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08"/>
      <c r="P50" s="508"/>
      <c r="Q50" s="508"/>
      <c r="R50" s="508"/>
      <c r="S50" s="508"/>
      <c r="T50" s="508"/>
      <c r="U50" s="50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03" t="s">
        <v>382</v>
      </c>
      <c r="C51" s="187" t="s">
        <v>389</v>
      </c>
      <c r="D51" s="108">
        <v>5.03</v>
      </c>
      <c r="E51" s="108"/>
      <c r="F51" s="127"/>
      <c r="G51" s="128"/>
      <c r="H51" s="50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08"/>
      <c r="P51" s="508"/>
      <c r="Q51" s="508"/>
      <c r="R51" s="508"/>
      <c r="S51" s="508"/>
      <c r="T51" s="508"/>
      <c r="U51" s="50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03" t="s">
        <v>382</v>
      </c>
      <c r="C52" s="187" t="s">
        <v>391</v>
      </c>
      <c r="D52" s="108">
        <v>5.03</v>
      </c>
      <c r="E52" s="108"/>
      <c r="F52" s="127"/>
      <c r="G52" s="128"/>
      <c r="H52" s="50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08"/>
      <c r="P52" s="508"/>
      <c r="Q52" s="508"/>
      <c r="R52" s="508"/>
      <c r="S52" s="508"/>
      <c r="T52" s="508"/>
      <c r="U52" s="50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03" t="s">
        <v>418</v>
      </c>
      <c r="C53" s="187" t="s">
        <v>364</v>
      </c>
      <c r="D53" s="108">
        <v>5.03</v>
      </c>
      <c r="E53" s="108"/>
      <c r="F53" s="127"/>
      <c r="G53" s="128"/>
      <c r="H53" s="50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08"/>
      <c r="P53" s="508"/>
      <c r="Q53" s="508"/>
      <c r="R53" s="508"/>
      <c r="S53" s="508"/>
      <c r="T53" s="508"/>
      <c r="U53" s="50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03" t="s">
        <v>418</v>
      </c>
      <c r="C54" s="187" t="s">
        <v>365</v>
      </c>
      <c r="D54" s="108">
        <v>5.03</v>
      </c>
      <c r="E54" s="108"/>
      <c r="F54" s="127"/>
      <c r="G54" s="128"/>
      <c r="H54" s="50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08"/>
      <c r="P54" s="508"/>
      <c r="Q54" s="508"/>
      <c r="R54" s="508"/>
      <c r="S54" s="508"/>
      <c r="T54" s="508"/>
      <c r="U54" s="50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03" t="s">
        <v>418</v>
      </c>
      <c r="C55" s="187" t="s">
        <v>366</v>
      </c>
      <c r="D55" s="108">
        <v>5.03</v>
      </c>
      <c r="E55" s="108"/>
      <c r="F55" s="127"/>
      <c r="G55" s="128"/>
      <c r="H55" s="50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08"/>
      <c r="P55" s="508"/>
      <c r="Q55" s="508"/>
      <c r="R55" s="508"/>
      <c r="S55" s="508"/>
      <c r="T55" s="508"/>
      <c r="U55" s="50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03" t="s">
        <v>418</v>
      </c>
      <c r="C56" s="187" t="s">
        <v>367</v>
      </c>
      <c r="D56" s="108">
        <v>5.03</v>
      </c>
      <c r="E56" s="108"/>
      <c r="F56" s="127"/>
      <c r="G56" s="128"/>
      <c r="H56" s="50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08"/>
      <c r="P56" s="508"/>
      <c r="Q56" s="508"/>
      <c r="R56" s="508"/>
      <c r="S56" s="508"/>
      <c r="T56" s="508"/>
      <c r="U56" s="50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0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12"/>
      <c r="P57" s="512"/>
      <c r="Q57" s="512"/>
      <c r="R57" s="512"/>
      <c r="S57" s="512"/>
      <c r="T57" s="512"/>
      <c r="U57" s="51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0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12"/>
      <c r="P58" s="512"/>
      <c r="Q58" s="512"/>
      <c r="R58" s="512"/>
      <c r="S58" s="512"/>
      <c r="T58" s="512"/>
      <c r="U58" s="51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0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12"/>
      <c r="P59" s="512"/>
      <c r="Q59" s="512"/>
      <c r="R59" s="512"/>
      <c r="S59" s="512"/>
      <c r="T59" s="512"/>
      <c r="U59" s="51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0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12"/>
      <c r="P60" s="512"/>
      <c r="Q60" s="512"/>
      <c r="R60" s="512"/>
      <c r="S60" s="512"/>
      <c r="T60" s="512"/>
      <c r="U60" s="51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0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12"/>
      <c r="P61" s="512"/>
      <c r="Q61" s="512"/>
      <c r="R61" s="512"/>
      <c r="S61" s="512"/>
      <c r="T61" s="512"/>
      <c r="U61" s="51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0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12"/>
      <c r="P62" s="512"/>
      <c r="Q62" s="512"/>
      <c r="R62" s="512"/>
      <c r="S62" s="512"/>
      <c r="T62" s="512"/>
      <c r="U62" s="51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0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12"/>
      <c r="P63" s="512"/>
      <c r="Q63" s="512"/>
      <c r="R63" s="512"/>
      <c r="S63" s="512"/>
      <c r="T63" s="512"/>
      <c r="U63" s="51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0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12"/>
      <c r="P64" s="512"/>
      <c r="Q64" s="512"/>
      <c r="R64" s="512"/>
      <c r="S64" s="512"/>
      <c r="T64" s="512"/>
      <c r="U64" s="51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128">
        <f>90*8+80-90</f>
        <v>710</v>
      </c>
      <c r="H65" s="504">
        <f t="shared" si="11"/>
        <v>3571.3</v>
      </c>
      <c r="I65" s="129">
        <v>11</v>
      </c>
      <c r="J65" s="130">
        <f t="array" ref="J65">IF(ISERROR(G65/I65),"",G65/I65)</f>
        <v>64.545454545454547</v>
      </c>
      <c r="K65" s="131">
        <f t="array" ref="K65">IF(ISERROR(G65/L65),"",G65/L65)</f>
        <v>14.2</v>
      </c>
      <c r="L65" s="129">
        <v>50</v>
      </c>
      <c r="M65" s="109">
        <f t="shared" si="19"/>
        <v>-3.1999999999999993</v>
      </c>
      <c r="N65" s="130">
        <f t="shared" si="23"/>
        <v>0</v>
      </c>
      <c r="O65" s="512"/>
      <c r="P65" s="512"/>
      <c r="Q65" s="512"/>
      <c r="R65" s="512"/>
      <c r="S65" s="512"/>
      <c r="T65" s="512"/>
      <c r="U65" s="512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0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12"/>
      <c r="P66" s="512"/>
      <c r="Q66" s="512"/>
      <c r="R66" s="512"/>
      <c r="S66" s="512"/>
      <c r="T66" s="512"/>
      <c r="U66" s="51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0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12"/>
      <c r="P67" s="512"/>
      <c r="Q67" s="512"/>
      <c r="R67" s="512"/>
      <c r="S67" s="512"/>
      <c r="T67" s="512"/>
      <c r="U67" s="51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0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12"/>
      <c r="P68" s="512"/>
      <c r="Q68" s="512"/>
      <c r="R68" s="512"/>
      <c r="S68" s="512"/>
      <c r="T68" s="512"/>
      <c r="U68" s="51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0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12"/>
      <c r="P69" s="512"/>
      <c r="Q69" s="512"/>
      <c r="R69" s="512"/>
      <c r="S69" s="512"/>
      <c r="T69" s="512"/>
      <c r="U69" s="51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0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12"/>
      <c r="P70" s="512"/>
      <c r="Q70" s="512"/>
      <c r="R70" s="512"/>
      <c r="S70" s="512"/>
      <c r="T70" s="512"/>
      <c r="U70" s="51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04">
        <f t="shared" si="11"/>
        <v>0</v>
      </c>
      <c r="I71" s="129"/>
      <c r="J71" s="130"/>
      <c r="K71" s="131"/>
      <c r="L71" s="129"/>
      <c r="M71" s="109"/>
      <c r="N71" s="130"/>
      <c r="O71" s="512"/>
      <c r="P71" s="512"/>
      <c r="Q71" s="512"/>
      <c r="R71" s="512"/>
      <c r="S71" s="512"/>
      <c r="T71" s="512"/>
      <c r="U71" s="51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0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12"/>
      <c r="P72" s="512"/>
      <c r="Q72" s="512"/>
      <c r="R72" s="512"/>
      <c r="S72" s="512"/>
      <c r="T72" s="512"/>
      <c r="U72" s="51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0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12"/>
      <c r="P73" s="512"/>
      <c r="Q73" s="512"/>
      <c r="R73" s="512"/>
      <c r="S73" s="512"/>
      <c r="T73" s="512"/>
      <c r="U73" s="51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0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12"/>
      <c r="P74" s="512"/>
      <c r="Q74" s="512"/>
      <c r="R74" s="512"/>
      <c r="S74" s="512"/>
      <c r="T74" s="512"/>
      <c r="U74" s="51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0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12"/>
      <c r="P75" s="512"/>
      <c r="Q75" s="512"/>
      <c r="R75" s="512"/>
      <c r="S75" s="512"/>
      <c r="T75" s="512"/>
      <c r="U75" s="51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0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12"/>
      <c r="P76" s="512"/>
      <c r="Q76" s="512"/>
      <c r="R76" s="512"/>
      <c r="S76" s="512"/>
      <c r="T76" s="512"/>
      <c r="U76" s="51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0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12"/>
      <c r="P77" s="512"/>
      <c r="Q77" s="512"/>
      <c r="R77" s="512"/>
      <c r="S77" s="512"/>
      <c r="T77" s="512"/>
      <c r="U77" s="51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0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12"/>
      <c r="P78" s="512"/>
      <c r="Q78" s="512"/>
      <c r="R78" s="512"/>
      <c r="S78" s="512"/>
      <c r="T78" s="512"/>
      <c r="U78" s="51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0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12"/>
      <c r="P79" s="512"/>
      <c r="Q79" s="512"/>
      <c r="R79" s="512"/>
      <c r="S79" s="512"/>
      <c r="T79" s="512"/>
      <c r="U79" s="51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0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12"/>
      <c r="P80" s="512"/>
      <c r="Q80" s="512"/>
      <c r="R80" s="512"/>
      <c r="S80" s="512"/>
      <c r="T80" s="512"/>
      <c r="U80" s="51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0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12"/>
      <c r="P81" s="512"/>
      <c r="Q81" s="512"/>
      <c r="R81" s="512"/>
      <c r="S81" s="512"/>
      <c r="T81" s="512"/>
      <c r="U81" s="51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0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12"/>
      <c r="P82" s="512"/>
      <c r="Q82" s="512"/>
      <c r="R82" s="512"/>
      <c r="S82" s="512"/>
      <c r="T82" s="512"/>
      <c r="U82" s="51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0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12"/>
      <c r="P83" s="512"/>
      <c r="Q83" s="512"/>
      <c r="R83" s="512"/>
      <c r="S83" s="512"/>
      <c r="T83" s="512"/>
      <c r="U83" s="51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0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12"/>
      <c r="P84" s="512"/>
      <c r="Q84" s="512"/>
      <c r="R84" s="512"/>
      <c r="S84" s="512"/>
      <c r="T84" s="512"/>
      <c r="U84" s="51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0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12"/>
      <c r="P85" s="512"/>
      <c r="Q85" s="512"/>
      <c r="R85" s="512"/>
      <c r="S85" s="512"/>
      <c r="T85" s="512"/>
      <c r="U85" s="512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13" t="s">
        <v>202</v>
      </c>
      <c r="D86" s="143"/>
      <c r="E86" s="143"/>
      <c r="F86" s="144"/>
      <c r="G86" s="145">
        <f>SUM(G29:G85)</f>
        <v>3059</v>
      </c>
      <c r="H86" s="146">
        <f>SUM(H29:H85)</f>
        <v>15429.970000000001</v>
      </c>
      <c r="I86" s="146">
        <f>SUM(I29:I85)</f>
        <v>66</v>
      </c>
      <c r="J86" s="130">
        <f t="array" ref="J86">IF(ISERROR(G86/I86),"",G86/I86)</f>
        <v>46.348484848484851</v>
      </c>
      <c r="K86" s="146">
        <f>SUM(K29:K85)</f>
        <v>83.900549450549462</v>
      </c>
      <c r="L86" s="147"/>
      <c r="M86" s="150">
        <f t="shared" ref="M86:V86" si="34">SUM(M29:M85)</f>
        <v>-17.900549450549452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03" t="s">
        <v>217</v>
      </c>
      <c r="C87" s="126" t="s">
        <v>179</v>
      </c>
      <c r="D87" s="108">
        <v>5.03</v>
      </c>
      <c r="E87" s="108"/>
      <c r="F87" s="127"/>
      <c r="G87" s="128"/>
      <c r="H87" s="50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512"/>
      <c r="P87" s="512"/>
      <c r="Q87" s="512"/>
      <c r="R87" s="512"/>
      <c r="S87" s="512"/>
      <c r="T87" s="512"/>
      <c r="U87" s="51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03" t="s">
        <v>217</v>
      </c>
      <c r="C88" s="126" t="s">
        <v>186</v>
      </c>
      <c r="D88" s="108">
        <v>5.03</v>
      </c>
      <c r="E88" s="108"/>
      <c r="F88" s="127"/>
      <c r="G88" s="128"/>
      <c r="H88" s="50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12"/>
      <c r="P88" s="512"/>
      <c r="Q88" s="512"/>
      <c r="R88" s="512"/>
      <c r="S88" s="512"/>
      <c r="T88" s="512"/>
      <c r="U88" s="51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03" t="s">
        <v>217</v>
      </c>
      <c r="C89" s="126" t="s">
        <v>204</v>
      </c>
      <c r="D89" s="108">
        <v>5.03</v>
      </c>
      <c r="E89" s="108"/>
      <c r="F89" s="127"/>
      <c r="G89" s="128"/>
      <c r="H89" s="50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12"/>
      <c r="P89" s="512"/>
      <c r="Q89" s="512"/>
      <c r="R89" s="512"/>
      <c r="S89" s="512"/>
      <c r="T89" s="512"/>
      <c r="U89" s="51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0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12"/>
      <c r="P90" s="512"/>
      <c r="Q90" s="512"/>
      <c r="R90" s="512"/>
      <c r="S90" s="512"/>
      <c r="T90" s="512"/>
      <c r="U90" s="51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0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12"/>
      <c r="P91" s="512"/>
      <c r="Q91" s="512"/>
      <c r="R91" s="512"/>
      <c r="S91" s="512"/>
      <c r="T91" s="512"/>
      <c r="U91" s="51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0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12"/>
      <c r="P92" s="512"/>
      <c r="Q92" s="512"/>
      <c r="R92" s="512"/>
      <c r="S92" s="512"/>
      <c r="T92" s="512"/>
      <c r="U92" s="51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0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12"/>
      <c r="P93" s="512"/>
      <c r="Q93" s="512"/>
      <c r="R93" s="512"/>
      <c r="S93" s="512"/>
      <c r="T93" s="512"/>
      <c r="U93" s="51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04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12"/>
      <c r="P94" s="512"/>
      <c r="Q94" s="512"/>
      <c r="R94" s="512"/>
      <c r="S94" s="512"/>
      <c r="T94" s="512"/>
      <c r="U94" s="51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0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12"/>
      <c r="P95" s="512"/>
      <c r="Q95" s="512"/>
      <c r="R95" s="512"/>
      <c r="S95" s="512"/>
      <c r="T95" s="512"/>
      <c r="U95" s="51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0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12"/>
      <c r="P96" s="512"/>
      <c r="Q96" s="512"/>
      <c r="R96" s="512"/>
      <c r="S96" s="512"/>
      <c r="T96" s="512"/>
      <c r="U96" s="51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0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12"/>
      <c r="P97" s="512"/>
      <c r="Q97" s="512"/>
      <c r="R97" s="512"/>
      <c r="S97" s="512"/>
      <c r="T97" s="512"/>
      <c r="U97" s="51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0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12"/>
      <c r="P98" s="512"/>
      <c r="Q98" s="512"/>
      <c r="R98" s="512"/>
      <c r="S98" s="512"/>
      <c r="T98" s="512"/>
      <c r="U98" s="51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0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12"/>
      <c r="P99" s="512"/>
      <c r="Q99" s="512"/>
      <c r="R99" s="512"/>
      <c r="S99" s="512"/>
      <c r="T99" s="512"/>
      <c r="U99" s="51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0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12"/>
      <c r="P100" s="512"/>
      <c r="Q100" s="512"/>
      <c r="R100" s="512"/>
      <c r="S100" s="512"/>
      <c r="T100" s="512"/>
      <c r="U100" s="51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0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12"/>
      <c r="P101" s="512"/>
      <c r="Q101" s="512"/>
      <c r="R101" s="512"/>
      <c r="S101" s="512"/>
      <c r="T101" s="512"/>
      <c r="U101" s="51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0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12"/>
      <c r="P102" s="512"/>
      <c r="Q102" s="512"/>
      <c r="R102" s="512"/>
      <c r="S102" s="512"/>
      <c r="T102" s="512"/>
      <c r="U102" s="51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0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0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12"/>
      <c r="P103" s="512"/>
      <c r="Q103" s="512"/>
      <c r="R103" s="512"/>
      <c r="S103" s="512"/>
      <c r="T103" s="512"/>
      <c r="U103" s="51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0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0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12"/>
      <c r="P104" s="512"/>
      <c r="Q104" s="512"/>
      <c r="R104" s="512"/>
      <c r="S104" s="512"/>
      <c r="T104" s="512"/>
      <c r="U104" s="51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0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0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12"/>
      <c r="P105" s="512"/>
      <c r="Q105" s="512"/>
      <c r="R105" s="512"/>
      <c r="S105" s="512"/>
      <c r="T105" s="512"/>
      <c r="U105" s="51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0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0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12"/>
      <c r="P106" s="512"/>
      <c r="Q106" s="512"/>
      <c r="R106" s="512"/>
      <c r="S106" s="512"/>
      <c r="T106" s="512"/>
      <c r="U106" s="51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03" t="s">
        <v>393</v>
      </c>
      <c r="C107" s="187" t="s">
        <v>395</v>
      </c>
      <c r="D107" s="108">
        <v>5</v>
      </c>
      <c r="E107" s="108"/>
      <c r="F107" s="127"/>
      <c r="G107" s="128"/>
      <c r="H107" s="504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12"/>
      <c r="P107" s="512"/>
      <c r="Q107" s="512"/>
      <c r="R107" s="512"/>
      <c r="S107" s="512"/>
      <c r="T107" s="512"/>
      <c r="U107" s="51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03" t="s">
        <v>393</v>
      </c>
      <c r="C108" s="187" t="s">
        <v>402</v>
      </c>
      <c r="D108" s="108">
        <v>5</v>
      </c>
      <c r="E108" s="108"/>
      <c r="F108" s="127"/>
      <c r="G108" s="128"/>
      <c r="H108" s="504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12"/>
      <c r="P108" s="512"/>
      <c r="Q108" s="512"/>
      <c r="R108" s="512"/>
      <c r="S108" s="512"/>
      <c r="T108" s="512"/>
      <c r="U108" s="51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03" t="s">
        <v>404</v>
      </c>
      <c r="C109" s="187" t="s">
        <v>405</v>
      </c>
      <c r="D109" s="108">
        <v>5</v>
      </c>
      <c r="E109" s="108"/>
      <c r="F109" s="127"/>
      <c r="G109" s="128"/>
      <c r="H109" s="504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12"/>
      <c r="P109" s="512"/>
      <c r="Q109" s="512"/>
      <c r="R109" s="512"/>
      <c r="S109" s="512"/>
      <c r="T109" s="512"/>
      <c r="U109" s="51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03" t="s">
        <v>492</v>
      </c>
      <c r="C110" s="187" t="s">
        <v>372</v>
      </c>
      <c r="D110" s="108">
        <v>5</v>
      </c>
      <c r="E110" s="108"/>
      <c r="F110" s="127"/>
      <c r="G110" s="128"/>
      <c r="H110" s="504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12"/>
      <c r="P110" s="512"/>
      <c r="Q110" s="512"/>
      <c r="R110" s="512"/>
      <c r="S110" s="512"/>
      <c r="T110" s="512"/>
      <c r="U110" s="512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03" t="s">
        <v>343</v>
      </c>
      <c r="C111" s="126" t="s">
        <v>345</v>
      </c>
      <c r="D111" s="108">
        <v>5</v>
      </c>
      <c r="E111" s="108"/>
      <c r="F111" s="127">
        <v>42743</v>
      </c>
      <c r="G111" s="128">
        <f>81+90*4+68+90+50</f>
        <v>649</v>
      </c>
      <c r="H111" s="504">
        <f t="shared" si="36"/>
        <v>3245</v>
      </c>
      <c r="I111" s="129">
        <f>11*8+4.5*2+2*2</f>
        <v>101</v>
      </c>
      <c r="J111" s="130">
        <f t="array" ref="J111">IF(ISERROR(G111/I111),"",G111/I111)</f>
        <v>6.4257425742574261</v>
      </c>
      <c r="K111" s="131">
        <f t="array" ref="K111">IF(ISERROR(G111/L111),"",G111/L111)</f>
        <v>129.80000000000001</v>
      </c>
      <c r="L111" s="129">
        <v>5</v>
      </c>
      <c r="M111" s="109">
        <f t="shared" si="37"/>
        <v>-28.800000000000011</v>
      </c>
      <c r="N111" s="130">
        <f t="shared" si="40"/>
        <v>0</v>
      </c>
      <c r="O111" s="512"/>
      <c r="P111" s="512"/>
      <c r="Q111" s="512"/>
      <c r="R111" s="512"/>
      <c r="S111" s="512"/>
      <c r="T111" s="512"/>
      <c r="U111" s="51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03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f>90+22+58-75</f>
        <v>95</v>
      </c>
      <c r="H112" s="504">
        <f t="shared" si="36"/>
        <v>475</v>
      </c>
      <c r="I112" s="129">
        <f>3*4+3*3</f>
        <v>21</v>
      </c>
      <c r="J112" s="130">
        <f t="array" ref="J112">IF(ISERROR(G112/I112),"",G112/I112)</f>
        <v>4.5238095238095237</v>
      </c>
      <c r="K112" s="131">
        <f t="array" ref="K112">IF(ISERROR(G112/L112),"",G112/L112)</f>
        <v>19</v>
      </c>
      <c r="L112" s="129">
        <v>5</v>
      </c>
      <c r="M112" s="109">
        <f t="shared" si="37"/>
        <v>2</v>
      </c>
      <c r="N112" s="130">
        <f t="shared" si="40"/>
        <v>0</v>
      </c>
      <c r="O112" s="512"/>
      <c r="P112" s="512"/>
      <c r="Q112" s="512"/>
      <c r="R112" s="512"/>
      <c r="S112" s="512"/>
      <c r="T112" s="512"/>
      <c r="U112" s="51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0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12"/>
      <c r="P113" s="512"/>
      <c r="Q113" s="512"/>
      <c r="R113" s="512"/>
      <c r="S113" s="512"/>
      <c r="T113" s="512"/>
      <c r="U113" s="51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0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12"/>
      <c r="P114" s="512"/>
      <c r="Q114" s="512"/>
      <c r="R114" s="512"/>
      <c r="S114" s="512"/>
      <c r="T114" s="512"/>
      <c r="U114" s="51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04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12"/>
      <c r="P115" s="512"/>
      <c r="Q115" s="512"/>
      <c r="R115" s="512"/>
      <c r="S115" s="512"/>
      <c r="T115" s="512"/>
      <c r="U115" s="512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v>87</v>
      </c>
      <c r="H116" s="504">
        <f t="shared" si="36"/>
        <v>435</v>
      </c>
      <c r="I116" s="129">
        <f>3.5*2</f>
        <v>7</v>
      </c>
      <c r="J116" s="130">
        <f t="array" ref="J116">IF(ISERROR(G116/I116),"",G116/I116)</f>
        <v>12.428571428571429</v>
      </c>
      <c r="K116" s="131">
        <f t="array" ref="K116">IF(ISERROR(G116/L116),"",G116/L116)</f>
        <v>3.625</v>
      </c>
      <c r="L116" s="129">
        <v>24</v>
      </c>
      <c r="M116" s="109">
        <f t="shared" si="37"/>
        <v>3.375</v>
      </c>
      <c r="N116" s="130"/>
      <c r="O116" s="512"/>
      <c r="P116" s="512"/>
      <c r="Q116" s="512"/>
      <c r="R116" s="512"/>
      <c r="S116" s="512"/>
      <c r="T116" s="512"/>
      <c r="U116" s="51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0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12"/>
      <c r="P117" s="512"/>
      <c r="Q117" s="512"/>
      <c r="R117" s="512"/>
      <c r="S117" s="512"/>
      <c r="T117" s="512"/>
      <c r="U117" s="51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0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12"/>
      <c r="P118" s="512"/>
      <c r="Q118" s="512"/>
      <c r="R118" s="512"/>
      <c r="S118" s="512"/>
      <c r="T118" s="512"/>
      <c r="U118" s="51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0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12"/>
      <c r="P119" s="512"/>
      <c r="Q119" s="512"/>
      <c r="R119" s="512"/>
      <c r="S119" s="512"/>
      <c r="T119" s="512"/>
      <c r="U119" s="51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04">
        <f t="shared" si="36"/>
        <v>0</v>
      </c>
      <c r="I120" s="129"/>
      <c r="J120" s="130" t="str">
        <f t="array" ref="J120">IF(ISERROR(G120/I120),"",G120/I120)</f>
        <v/>
      </c>
      <c r="K120" s="50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12"/>
      <c r="P120" s="512"/>
      <c r="Q120" s="512"/>
      <c r="R120" s="512"/>
      <c r="S120" s="512"/>
      <c r="T120" s="512"/>
      <c r="U120" s="51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513" t="s">
        <v>202</v>
      </c>
      <c r="D121" s="143"/>
      <c r="E121" s="143"/>
      <c r="F121" s="144"/>
      <c r="G121" s="145">
        <f>SUM(G87:G120)</f>
        <v>831</v>
      </c>
      <c r="H121" s="146">
        <f>SUM(H87:H120)</f>
        <v>4155</v>
      </c>
      <c r="I121" s="146">
        <f>SUM(I87:I120)</f>
        <v>129</v>
      </c>
      <c r="J121" s="130">
        <f t="array" ref="J121">IF(ISERROR(G121/I121),"",G121/I121)</f>
        <v>6.441860465116279</v>
      </c>
      <c r="K121" s="146">
        <f>SUM(K87:K120)</f>
        <v>152.42500000000001</v>
      </c>
      <c r="L121" s="147"/>
      <c r="M121" s="150">
        <f t="shared" ref="M121:V121" si="50">SUM(M87:M120)</f>
        <v>-23.425000000000011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0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12"/>
      <c r="P122" s="512"/>
      <c r="Q122" s="512"/>
      <c r="R122" s="512"/>
      <c r="S122" s="512"/>
      <c r="T122" s="512"/>
      <c r="U122" s="51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0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12"/>
      <c r="P123" s="512"/>
      <c r="Q123" s="512"/>
      <c r="R123" s="512"/>
      <c r="S123" s="512"/>
      <c r="T123" s="512"/>
      <c r="U123" s="51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0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12"/>
      <c r="P124" s="512"/>
      <c r="Q124" s="512"/>
      <c r="R124" s="512"/>
      <c r="S124" s="512"/>
      <c r="T124" s="512"/>
      <c r="U124" s="51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0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12"/>
      <c r="P125" s="512"/>
      <c r="Q125" s="512"/>
      <c r="R125" s="512"/>
      <c r="S125" s="512"/>
      <c r="T125" s="512"/>
      <c r="U125" s="51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509" t="s">
        <v>203</v>
      </c>
      <c r="D126" s="108">
        <v>5.03</v>
      </c>
      <c r="E126" s="108"/>
      <c r="F126" s="127">
        <v>42744</v>
      </c>
      <c r="G126" s="128">
        <f>100*4+64</f>
        <v>464</v>
      </c>
      <c r="H126" s="504">
        <f t="shared" si="51"/>
        <v>2333.92</v>
      </c>
      <c r="I126" s="129">
        <f>8.5*3</f>
        <v>25.5</v>
      </c>
      <c r="J126" s="130">
        <f t="array" ref="J126">IF(ISERROR(G126/I126),"",G126/I126)</f>
        <v>18.196078431372548</v>
      </c>
      <c r="K126" s="131">
        <f t="array" ref="K126">IF(ISERROR(G126/L126),"",G126/L126)</f>
        <v>116</v>
      </c>
      <c r="L126" s="129">
        <v>4</v>
      </c>
      <c r="M126" s="109">
        <f t="shared" si="52"/>
        <v>-90.5</v>
      </c>
      <c r="N126" s="130">
        <f t="shared" si="53"/>
        <v>0</v>
      </c>
      <c r="O126" s="512"/>
      <c r="P126" s="512"/>
      <c r="Q126" s="512"/>
      <c r="R126" s="512"/>
      <c r="S126" s="512"/>
      <c r="T126" s="512"/>
      <c r="U126" s="512"/>
      <c r="V126" s="132">
        <f t="shared" si="54"/>
        <v>0</v>
      </c>
      <c r="W126" s="133">
        <f t="shared" si="49"/>
        <v>0</v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>
        <v>42744</v>
      </c>
      <c r="G127" s="128">
        <v>84</v>
      </c>
      <c r="H127" s="504">
        <f t="shared" si="51"/>
        <v>422.52000000000004</v>
      </c>
      <c r="I127" s="129">
        <f>2.5*3</f>
        <v>7.5</v>
      </c>
      <c r="J127" s="130">
        <f t="array" ref="J127">IF(ISERROR(G127/I127),"",G127/I127)</f>
        <v>11.2</v>
      </c>
      <c r="K127" s="131">
        <f t="array" ref="K127">IF(ISERROR(G127/L127),"",G127/L127)</f>
        <v>21</v>
      </c>
      <c r="L127" s="129">
        <v>4</v>
      </c>
      <c r="M127" s="109">
        <f t="shared" si="52"/>
        <v>-13.5</v>
      </c>
      <c r="N127" s="130">
        <f t="shared" si="53"/>
        <v>0</v>
      </c>
      <c r="O127" s="512"/>
      <c r="P127" s="512"/>
      <c r="Q127" s="512"/>
      <c r="R127" s="512"/>
      <c r="S127" s="512"/>
      <c r="T127" s="512"/>
      <c r="U127" s="512"/>
      <c r="V127" s="132">
        <f t="shared" si="54"/>
        <v>0</v>
      </c>
      <c r="W127" s="133">
        <f t="shared" si="49"/>
        <v>0</v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0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12"/>
      <c r="P128" s="512"/>
      <c r="Q128" s="512"/>
      <c r="R128" s="512"/>
      <c r="S128" s="512"/>
      <c r="T128" s="512"/>
      <c r="U128" s="51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09" t="s">
        <v>228</v>
      </c>
      <c r="D129" s="108">
        <v>5.03</v>
      </c>
      <c r="E129" s="108"/>
      <c r="F129" s="127"/>
      <c r="G129" s="128"/>
      <c r="H129" s="50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12"/>
      <c r="P129" s="512"/>
      <c r="Q129" s="512"/>
      <c r="R129" s="512"/>
      <c r="S129" s="512"/>
      <c r="T129" s="512"/>
      <c r="U129" s="51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09" t="s">
        <v>212</v>
      </c>
      <c r="D130" s="108">
        <v>5.03</v>
      </c>
      <c r="E130" s="108"/>
      <c r="F130" s="127"/>
      <c r="G130" s="128"/>
      <c r="H130" s="50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12"/>
      <c r="P130" s="512"/>
      <c r="Q130" s="512"/>
      <c r="R130" s="512"/>
      <c r="S130" s="512"/>
      <c r="T130" s="512"/>
      <c r="U130" s="51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09" t="s">
        <v>203</v>
      </c>
      <c r="D131" s="108">
        <v>5.03</v>
      </c>
      <c r="E131" s="108"/>
      <c r="F131" s="127"/>
      <c r="G131" s="128"/>
      <c r="H131" s="50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12"/>
      <c r="P131" s="512"/>
      <c r="Q131" s="512"/>
      <c r="R131" s="512"/>
      <c r="S131" s="512"/>
      <c r="T131" s="512"/>
      <c r="U131" s="51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09" t="s">
        <v>186</v>
      </c>
      <c r="D132" s="108">
        <v>5.03</v>
      </c>
      <c r="E132" s="108"/>
      <c r="F132" s="127"/>
      <c r="G132" s="128"/>
      <c r="H132" s="50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12"/>
      <c r="P132" s="512"/>
      <c r="Q132" s="512"/>
      <c r="R132" s="512"/>
      <c r="S132" s="512"/>
      <c r="T132" s="512"/>
      <c r="U132" s="51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09" t="s">
        <v>228</v>
      </c>
      <c r="D133" s="108">
        <v>5.03</v>
      </c>
      <c r="E133" s="108"/>
      <c r="F133" s="127"/>
      <c r="G133" s="128"/>
      <c r="H133" s="50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12"/>
      <c r="P133" s="512"/>
      <c r="Q133" s="512"/>
      <c r="R133" s="512"/>
      <c r="S133" s="512"/>
      <c r="T133" s="512"/>
      <c r="U133" s="51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09" t="s">
        <v>199</v>
      </c>
      <c r="D134" s="108">
        <v>5.03</v>
      </c>
      <c r="E134" s="108"/>
      <c r="F134" s="127"/>
      <c r="G134" s="128"/>
      <c r="H134" s="50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12"/>
      <c r="P134" s="512"/>
      <c r="Q134" s="512"/>
      <c r="R134" s="512"/>
      <c r="S134" s="512"/>
      <c r="T134" s="512"/>
      <c r="U134" s="51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04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12"/>
      <c r="P135" s="512"/>
      <c r="Q135" s="512"/>
      <c r="R135" s="512"/>
      <c r="S135" s="512"/>
      <c r="T135" s="512"/>
      <c r="U135" s="512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0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12"/>
      <c r="P136" s="512"/>
      <c r="Q136" s="512"/>
      <c r="R136" s="512"/>
      <c r="S136" s="512"/>
      <c r="T136" s="512"/>
      <c r="U136" s="51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513" t="s">
        <v>202</v>
      </c>
      <c r="D137" s="143"/>
      <c r="E137" s="143"/>
      <c r="F137" s="144"/>
      <c r="G137" s="145">
        <f>SUM(G122:G136)</f>
        <v>548</v>
      </c>
      <c r="H137" s="146">
        <f>SUM(H122:H136)</f>
        <v>2756.44</v>
      </c>
      <c r="I137" s="146">
        <f>SUM(I122:I136)</f>
        <v>33</v>
      </c>
      <c r="J137" s="130">
        <f t="array" ref="J137">IF(ISERROR(G137/I137),"",G137/I137)</f>
        <v>16.606060606060606</v>
      </c>
      <c r="K137" s="146">
        <f>SUM(K122:K136)</f>
        <v>137</v>
      </c>
      <c r="L137" s="147"/>
      <c r="M137" s="150">
        <f>SUM(M122:M136)</f>
        <v>-104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04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12"/>
      <c r="P138" s="512"/>
      <c r="Q138" s="512"/>
      <c r="R138" s="512"/>
      <c r="S138" s="512"/>
      <c r="T138" s="512"/>
      <c r="U138" s="51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0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12"/>
      <c r="P139" s="512"/>
      <c r="Q139" s="512"/>
      <c r="R139" s="512"/>
      <c r="S139" s="512"/>
      <c r="T139" s="512"/>
      <c r="U139" s="51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0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12"/>
      <c r="P140" s="512"/>
      <c r="Q140" s="512"/>
      <c r="R140" s="512"/>
      <c r="S140" s="512"/>
      <c r="T140" s="512"/>
      <c r="U140" s="51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0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12"/>
      <c r="P141" s="512"/>
      <c r="Q141" s="512"/>
      <c r="R141" s="512"/>
      <c r="S141" s="512"/>
      <c r="T141" s="512"/>
      <c r="U141" s="51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0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12"/>
      <c r="P142" s="512"/>
      <c r="Q142" s="512"/>
      <c r="R142" s="512"/>
      <c r="S142" s="512"/>
      <c r="T142" s="512"/>
      <c r="U142" s="51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0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12"/>
      <c r="P143" s="512"/>
      <c r="Q143" s="512"/>
      <c r="R143" s="512"/>
      <c r="S143" s="512"/>
      <c r="T143" s="512"/>
      <c r="U143" s="51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f>90+52</f>
        <v>142</v>
      </c>
      <c r="H144" s="504">
        <f t="shared" si="55"/>
        <v>715.68</v>
      </c>
      <c r="I144" s="129">
        <f>3*4</f>
        <v>12</v>
      </c>
      <c r="J144" s="130">
        <f t="array" ref="J144">IF(ISERROR(G144/I144),"",G144/I144)</f>
        <v>11.833333333333334</v>
      </c>
      <c r="K144" s="131">
        <f t="array" ref="K144">IF(ISERROR(G144/L144),"",G144/L144)</f>
        <v>10.518518518518519</v>
      </c>
      <c r="L144" s="129">
        <v>13.5</v>
      </c>
      <c r="M144" s="109">
        <f t="shared" ref="M144" si="59">IF(ISERROR(I144-K144),"",I144-K144)</f>
        <v>1.481481481481481</v>
      </c>
      <c r="N144" s="130"/>
      <c r="O144" s="512"/>
      <c r="P144" s="512"/>
      <c r="Q144" s="512"/>
      <c r="R144" s="512"/>
      <c r="S144" s="512"/>
      <c r="T144" s="512"/>
      <c r="U144" s="51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0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12"/>
      <c r="P145" s="512"/>
      <c r="Q145" s="512"/>
      <c r="R145" s="512"/>
      <c r="S145" s="512"/>
      <c r="T145" s="512"/>
      <c r="U145" s="51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04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12"/>
      <c r="P146" s="512"/>
      <c r="Q146" s="512"/>
      <c r="R146" s="512"/>
      <c r="S146" s="512"/>
      <c r="T146" s="512"/>
      <c r="U146" s="51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04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512"/>
      <c r="P147" s="512"/>
      <c r="Q147" s="512"/>
      <c r="R147" s="512"/>
      <c r="S147" s="512"/>
      <c r="T147" s="512"/>
      <c r="U147" s="51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513" t="s">
        <v>202</v>
      </c>
      <c r="D148" s="143"/>
      <c r="E148" s="143"/>
      <c r="F148" s="144"/>
      <c r="G148" s="145">
        <f>SUM(G138:G147)</f>
        <v>142</v>
      </c>
      <c r="H148" s="146">
        <f>SUM(H138:H147)</f>
        <v>715.68</v>
      </c>
      <c r="I148" s="146">
        <f>SUM(I138:I147)</f>
        <v>12</v>
      </c>
      <c r="J148" s="130">
        <f t="array" ref="J148">IF(ISERROR(G148/I148),"",G148/I148)</f>
        <v>11.833333333333334</v>
      </c>
      <c r="K148" s="146">
        <f>SUM(K138:K147)</f>
        <v>10.518518518518519</v>
      </c>
      <c r="L148" s="147"/>
      <c r="M148" s="150">
        <f>SUM(M138:M147)</f>
        <v>1.481481481481481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10"/>
      <c r="D149" s="108">
        <v>3.65</v>
      </c>
      <c r="E149" s="108"/>
      <c r="F149" s="153"/>
      <c r="G149" s="128"/>
      <c r="H149" s="504">
        <f t="shared" ref="H149:H162" si="64">D149*G149</f>
        <v>0</v>
      </c>
      <c r="I149" s="129"/>
      <c r="J149" s="130" t="str">
        <f t="array" ref="J149">IF(ISERROR(G149/I149),"",G149/I149)</f>
        <v/>
      </c>
      <c r="K149" s="50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512"/>
      <c r="P149" s="512"/>
      <c r="Q149" s="512"/>
      <c r="R149" s="512"/>
      <c r="S149" s="512"/>
      <c r="T149" s="512"/>
      <c r="U149" s="51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10"/>
      <c r="D150" s="108">
        <v>6.58</v>
      </c>
      <c r="E150" s="108"/>
      <c r="F150" s="127"/>
      <c r="G150" s="128"/>
      <c r="H150" s="504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512"/>
      <c r="P150" s="512"/>
      <c r="Q150" s="512"/>
      <c r="R150" s="512"/>
      <c r="S150" s="512"/>
      <c r="T150" s="512"/>
      <c r="U150" s="512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10"/>
      <c r="D151" s="108">
        <v>7.8</v>
      </c>
      <c r="E151" s="108"/>
      <c r="F151" s="127"/>
      <c r="G151" s="128"/>
      <c r="H151" s="504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5"/>
        <v>0</v>
      </c>
      <c r="N151" s="130">
        <f t="shared" si="66"/>
        <v>0</v>
      </c>
      <c r="O151" s="512"/>
      <c r="P151" s="512"/>
      <c r="Q151" s="512"/>
      <c r="R151" s="512"/>
      <c r="S151" s="512"/>
      <c r="T151" s="512"/>
      <c r="U151" s="512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10"/>
      <c r="D152" s="108">
        <v>4.4000000000000004</v>
      </c>
      <c r="E152" s="108"/>
      <c r="F152" s="127"/>
      <c r="G152" s="128"/>
      <c r="H152" s="504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512"/>
      <c r="P152" s="512"/>
      <c r="Q152" s="512"/>
      <c r="R152" s="512"/>
      <c r="S152" s="512"/>
      <c r="T152" s="512"/>
      <c r="U152" s="512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0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512"/>
      <c r="P153" s="512"/>
      <c r="Q153" s="512"/>
      <c r="R153" s="512"/>
      <c r="S153" s="512"/>
      <c r="T153" s="512"/>
      <c r="U153" s="51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10" t="s">
        <v>239</v>
      </c>
      <c r="C154" s="510" t="s">
        <v>179</v>
      </c>
      <c r="D154" s="108">
        <v>6.04</v>
      </c>
      <c r="E154" s="108"/>
      <c r="F154" s="127"/>
      <c r="G154" s="128"/>
      <c r="H154" s="50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512"/>
      <c r="P154" s="512"/>
      <c r="Q154" s="512"/>
      <c r="R154" s="512"/>
      <c r="S154" s="512"/>
      <c r="T154" s="512"/>
      <c r="U154" s="51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10" t="s">
        <v>239</v>
      </c>
      <c r="C155" s="510" t="s">
        <v>186</v>
      </c>
      <c r="D155" s="108">
        <v>6.04</v>
      </c>
      <c r="E155" s="108"/>
      <c r="F155" s="127"/>
      <c r="G155" s="128"/>
      <c r="H155" s="50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512"/>
      <c r="P155" s="512"/>
      <c r="Q155" s="512"/>
      <c r="R155" s="512"/>
      <c r="S155" s="512"/>
      <c r="T155" s="512"/>
      <c r="U155" s="51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10" t="s">
        <v>443</v>
      </c>
      <c r="C156" s="510" t="s">
        <v>179</v>
      </c>
      <c r="D156" s="108">
        <v>6</v>
      </c>
      <c r="E156" s="108"/>
      <c r="F156" s="127"/>
      <c r="G156" s="128"/>
      <c r="H156" s="504">
        <f t="shared" si="64"/>
        <v>0</v>
      </c>
      <c r="I156" s="129"/>
      <c r="J156" s="130"/>
      <c r="K156" s="131"/>
      <c r="L156" s="129"/>
      <c r="M156" s="109"/>
      <c r="N156" s="130"/>
      <c r="O156" s="512"/>
      <c r="P156" s="512"/>
      <c r="Q156" s="512"/>
      <c r="R156" s="512"/>
      <c r="S156" s="512"/>
      <c r="T156" s="512"/>
      <c r="U156" s="51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10" t="s">
        <v>443</v>
      </c>
      <c r="C157" s="510" t="s">
        <v>60</v>
      </c>
      <c r="D157" s="108">
        <v>6</v>
      </c>
      <c r="E157" s="108"/>
      <c r="F157" s="127"/>
      <c r="G157" s="128"/>
      <c r="H157" s="50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512"/>
      <c r="P157" s="512"/>
      <c r="Q157" s="512"/>
      <c r="R157" s="512"/>
      <c r="S157" s="512"/>
      <c r="T157" s="512"/>
      <c r="U157" s="51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03" t="s">
        <v>240</v>
      </c>
      <c r="C158" s="126"/>
      <c r="D158" s="108">
        <v>7.3</v>
      </c>
      <c r="E158" s="108"/>
      <c r="F158" s="127"/>
      <c r="G158" s="128"/>
      <c r="H158" s="50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512"/>
      <c r="P158" s="512"/>
      <c r="Q158" s="512"/>
      <c r="R158" s="512"/>
      <c r="S158" s="512"/>
      <c r="T158" s="512"/>
      <c r="U158" s="51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03" t="s">
        <v>241</v>
      </c>
      <c r="C159" s="126"/>
      <c r="D159" s="108">
        <f>78*120/1000</f>
        <v>9.36</v>
      </c>
      <c r="E159" s="108"/>
      <c r="F159" s="127"/>
      <c r="G159" s="128"/>
      <c r="H159" s="50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512"/>
      <c r="P159" s="512"/>
      <c r="Q159" s="512"/>
      <c r="R159" s="512"/>
      <c r="S159" s="512"/>
      <c r="T159" s="512"/>
      <c r="U159" s="51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03" t="s">
        <v>242</v>
      </c>
      <c r="C160" s="126"/>
      <c r="D160" s="108">
        <v>4.5</v>
      </c>
      <c r="E160" s="108"/>
      <c r="F160" s="127"/>
      <c r="G160" s="128"/>
      <c r="H160" s="504">
        <f t="shared" si="64"/>
        <v>0</v>
      </c>
      <c r="I160" s="129"/>
      <c r="J160" s="130"/>
      <c r="K160" s="131"/>
      <c r="L160" s="129"/>
      <c r="M160" s="109"/>
      <c r="N160" s="130"/>
      <c r="O160" s="512"/>
      <c r="P160" s="512"/>
      <c r="Q160" s="512"/>
      <c r="R160" s="512"/>
      <c r="S160" s="512"/>
      <c r="T160" s="512"/>
      <c r="U160" s="51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03" t="s">
        <v>243</v>
      </c>
      <c r="C161" s="126"/>
      <c r="D161" s="108">
        <v>4.5</v>
      </c>
      <c r="E161" s="108"/>
      <c r="F161" s="127"/>
      <c r="G161" s="128"/>
      <c r="H161" s="504">
        <f t="shared" si="64"/>
        <v>0</v>
      </c>
      <c r="I161" s="129"/>
      <c r="J161" s="130"/>
      <c r="K161" s="131"/>
      <c r="L161" s="129"/>
      <c r="M161" s="109"/>
      <c r="N161" s="130"/>
      <c r="O161" s="512"/>
      <c r="P161" s="512"/>
      <c r="Q161" s="512"/>
      <c r="R161" s="512"/>
      <c r="S161" s="512"/>
      <c r="T161" s="512"/>
      <c r="U161" s="51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04">
        <f t="shared" si="64"/>
        <v>0</v>
      </c>
      <c r="I162" s="129"/>
      <c r="J162" s="130"/>
      <c r="K162" s="131"/>
      <c r="L162" s="129"/>
      <c r="M162" s="109"/>
      <c r="N162" s="130"/>
      <c r="O162" s="512"/>
      <c r="P162" s="512"/>
      <c r="Q162" s="512"/>
      <c r="R162" s="512"/>
      <c r="S162" s="512"/>
      <c r="T162" s="512"/>
      <c r="U162" s="512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618" t="s">
        <v>244</v>
      </c>
      <c r="B163" s="619"/>
      <c r="C163" s="513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6">SUM(M149:M159)</f>
        <v>0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5909</v>
      </c>
      <c r="H164" s="154">
        <f>SUM(H28,H86,H121,H137,H148,H163)</f>
        <v>29797.01</v>
      </c>
      <c r="I164" s="154">
        <f>SUM(I28,I86,I121,I137,I148,I163)</f>
        <v>302.5</v>
      </c>
      <c r="J164" s="155">
        <f t="array" ref="J164">IF(ISERROR(G164/I164),"",G164/I164)</f>
        <v>19.533884297520661</v>
      </c>
      <c r="K164" s="154">
        <f>SUM(K28,K86,K121,K137,K148,K163)</f>
        <v>449.18597132079771</v>
      </c>
      <c r="L164" s="155">
        <f>IF(ISERROR(G164/K164),"",G164/K164)</f>
        <v>13.154907715895552</v>
      </c>
      <c r="M164" s="154">
        <f t="shared" ref="M164:AA164" si="77">SUM(M28,M86,M121,M137,M148,M163)</f>
        <v>-146.68597132079771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3" t="s">
        <v>476</v>
      </c>
      <c r="B165" s="506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506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506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506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506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506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506">
        <f>G164</f>
        <v>5909</v>
      </c>
      <c r="C171" s="638" t="s">
        <v>269</v>
      </c>
      <c r="D171" s="639"/>
      <c r="E171" s="631">
        <f>H164</f>
        <v>29797.01</v>
      </c>
      <c r="F171" s="631"/>
      <c r="G171" s="631" t="s">
        <v>270</v>
      </c>
      <c r="H171" s="631"/>
      <c r="I171" s="640">
        <f>L164</f>
        <v>13.154907715895552</v>
      </c>
      <c r="J171" s="640"/>
      <c r="K171" s="628" t="s">
        <v>271</v>
      </c>
      <c r="L171" s="628"/>
      <c r="M171" s="640">
        <f>J164</f>
        <v>19.533884297520661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506">
        <f>I164+C170</f>
        <v>306.5</v>
      </c>
      <c r="C172" s="641" t="s">
        <v>251</v>
      </c>
      <c r="D172" s="642"/>
      <c r="E172" s="643">
        <f>K164+I170</f>
        <v>490.18597132079771</v>
      </c>
      <c r="F172" s="643"/>
      <c r="G172" s="631" t="s">
        <v>274</v>
      </c>
      <c r="H172" s="631"/>
      <c r="I172" s="640">
        <f>B172-E172</f>
        <v>-183.68597132079771</v>
      </c>
      <c r="J172" s="640"/>
      <c r="K172" s="628" t="s">
        <v>275</v>
      </c>
      <c r="L172" s="628"/>
      <c r="M172" s="632">
        <f>IF(ISERROR(I172/E172),"",I172/E172)</f>
        <v>-0.37472710780738788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506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296</v>
      </c>
      <c r="H177" s="510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503" t="s">
        <v>178</v>
      </c>
      <c r="C178" s="126" t="s">
        <v>179</v>
      </c>
      <c r="D178" s="108">
        <v>5.03</v>
      </c>
      <c r="E178" s="108"/>
      <c r="F178" s="127"/>
      <c r="G178" s="128"/>
      <c r="H178" s="50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512"/>
      <c r="P178" s="512"/>
      <c r="Q178" s="512"/>
      <c r="R178" s="512"/>
      <c r="S178" s="512"/>
      <c r="T178" s="512"/>
      <c r="U178" s="51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0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512"/>
      <c r="P179" s="512"/>
      <c r="Q179" s="512"/>
      <c r="R179" s="512"/>
      <c r="S179" s="512"/>
      <c r="T179" s="512"/>
      <c r="U179" s="51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0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12"/>
      <c r="P180" s="512"/>
      <c r="Q180" s="512"/>
      <c r="R180" s="512"/>
      <c r="S180" s="512"/>
      <c r="T180" s="512"/>
      <c r="U180" s="51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04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512"/>
      <c r="P181" s="512"/>
      <c r="Q181" s="512"/>
      <c r="R181" s="512"/>
      <c r="S181" s="512"/>
      <c r="T181" s="512"/>
      <c r="U181" s="512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0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512"/>
      <c r="P182" s="512"/>
      <c r="Q182" s="512"/>
      <c r="R182" s="512"/>
      <c r="S182" s="512"/>
      <c r="T182" s="512"/>
      <c r="U182" s="51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04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512"/>
      <c r="P183" s="512"/>
      <c r="Q183" s="512"/>
      <c r="R183" s="512"/>
      <c r="S183" s="512"/>
      <c r="T183" s="512"/>
      <c r="U183" s="512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0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12"/>
      <c r="P184" s="512"/>
      <c r="Q184" s="512"/>
      <c r="R184" s="512"/>
      <c r="S184" s="512"/>
      <c r="T184" s="512"/>
      <c r="U184" s="51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0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512"/>
      <c r="P185" s="512"/>
      <c r="Q185" s="512"/>
      <c r="R185" s="512"/>
      <c r="S185" s="512"/>
      <c r="T185" s="512"/>
      <c r="U185" s="51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04">
        <f t="shared" si="78"/>
        <v>0</v>
      </c>
      <c r="I186" s="50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512"/>
      <c r="P186" s="512"/>
      <c r="Q186" s="512"/>
      <c r="R186" s="512"/>
      <c r="S186" s="512"/>
      <c r="T186" s="512"/>
      <c r="U186" s="51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128">
        <f>2+23+77-100</f>
        <v>2</v>
      </c>
      <c r="H187" s="504">
        <f t="shared" si="78"/>
        <v>10.08</v>
      </c>
      <c r="I187" s="504">
        <f>1*5</f>
        <v>5</v>
      </c>
      <c r="J187" s="130">
        <f t="array" ref="J187">IF(ISERROR(G187/I187),"",G187/I187)</f>
        <v>0.4</v>
      </c>
      <c r="K187" s="131">
        <f t="array" ref="K187">IF(ISERROR(G187/L187),"",G187/L187)</f>
        <v>0.11764705882352941</v>
      </c>
      <c r="L187" s="129">
        <v>17</v>
      </c>
      <c r="M187" s="109">
        <f t="shared" si="79"/>
        <v>4.882352941176471</v>
      </c>
      <c r="N187" s="130">
        <f t="shared" si="82"/>
        <v>0</v>
      </c>
      <c r="O187" s="512"/>
      <c r="P187" s="512"/>
      <c r="Q187" s="512"/>
      <c r="R187" s="512"/>
      <c r="S187" s="512"/>
      <c r="T187" s="512"/>
      <c r="U187" s="51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0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12"/>
      <c r="P188" s="512"/>
      <c r="Q188" s="512"/>
      <c r="R188" s="512"/>
      <c r="S188" s="512"/>
      <c r="T188" s="512"/>
      <c r="U188" s="51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0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12"/>
      <c r="P189" s="512"/>
      <c r="Q189" s="512"/>
      <c r="R189" s="512"/>
      <c r="S189" s="512"/>
      <c r="T189" s="512"/>
      <c r="U189" s="51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F190" s="127">
        <v>42744</v>
      </c>
      <c r="G190" s="128">
        <f>90*7+38+90</f>
        <v>758</v>
      </c>
      <c r="H190" s="504">
        <f t="shared" ref="H190:H198" si="83">D190*G190</f>
        <v>3835.4799999999996</v>
      </c>
      <c r="I190" s="129">
        <v>40</v>
      </c>
      <c r="J190" s="130">
        <f t="array" ref="J190">IF(ISERROR(G190/I190),"",G190/I190)</f>
        <v>18.95</v>
      </c>
      <c r="K190" s="131">
        <f t="array" ref="K190">IF(ISERROR(G190/L190),"",G190/L190)</f>
        <v>39.89473684210526</v>
      </c>
      <c r="L190" s="129">
        <v>19</v>
      </c>
      <c r="M190" s="109">
        <f t="shared" ref="M190:M198" si="84">IF(ISERROR(I190-K190),"",I190-K190)</f>
        <v>0.10526315789473983</v>
      </c>
      <c r="N190" s="130">
        <f t="shared" ref="N190:N192" si="85">SUM(O190:U190)</f>
        <v>0</v>
      </c>
      <c r="O190" s="512"/>
      <c r="P190" s="512"/>
      <c r="Q190" s="512"/>
      <c r="R190" s="512"/>
      <c r="S190" s="512"/>
      <c r="T190" s="512"/>
      <c r="U190" s="51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28">
        <f>100*2+89+3</f>
        <v>292</v>
      </c>
      <c r="H191" s="504">
        <f t="shared" si="83"/>
        <v>1486.28</v>
      </c>
      <c r="I191" s="129">
        <f>8*5</f>
        <v>40</v>
      </c>
      <c r="J191" s="130">
        <f t="array" ref="J191">IF(ISERROR(G191/I191),"",G191/I191)</f>
        <v>7.3</v>
      </c>
      <c r="K191" s="131">
        <f t="array" ref="K191">IF(ISERROR(G191/L191),"",G191/L191)</f>
        <v>12.695652173913043</v>
      </c>
      <c r="L191" s="129">
        <v>23</v>
      </c>
      <c r="M191" s="109">
        <f t="shared" si="84"/>
        <v>27.304347826086957</v>
      </c>
      <c r="N191" s="130">
        <f t="shared" si="85"/>
        <v>0</v>
      </c>
      <c r="O191" s="512"/>
      <c r="P191" s="512"/>
      <c r="Q191" s="512"/>
      <c r="R191" s="512"/>
      <c r="S191" s="512"/>
      <c r="T191" s="512"/>
      <c r="U191" s="512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0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512"/>
      <c r="P192" s="512"/>
      <c r="Q192" s="512"/>
      <c r="R192" s="512"/>
      <c r="S192" s="512"/>
      <c r="T192" s="512"/>
      <c r="U192" s="51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10" t="s">
        <v>190</v>
      </c>
      <c r="D193" s="108">
        <v>4.8</v>
      </c>
      <c r="E193" s="108"/>
      <c r="F193" s="127"/>
      <c r="G193" s="128"/>
      <c r="H193" s="50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12"/>
      <c r="P193" s="512"/>
      <c r="Q193" s="512"/>
      <c r="R193" s="512"/>
      <c r="S193" s="512"/>
      <c r="T193" s="512"/>
      <c r="U193" s="51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10" t="s">
        <v>187</v>
      </c>
      <c r="D194" s="108">
        <v>4.8</v>
      </c>
      <c r="E194" s="108"/>
      <c r="F194" s="127"/>
      <c r="G194" s="128"/>
      <c r="H194" s="50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12"/>
      <c r="P194" s="512"/>
      <c r="Q194" s="512"/>
      <c r="R194" s="512"/>
      <c r="S194" s="512"/>
      <c r="T194" s="512"/>
      <c r="U194" s="51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10" t="s">
        <v>179</v>
      </c>
      <c r="D195" s="108">
        <v>4.8</v>
      </c>
      <c r="E195" s="108"/>
      <c r="F195" s="127"/>
      <c r="G195" s="128"/>
      <c r="H195" s="50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12"/>
      <c r="P195" s="512"/>
      <c r="Q195" s="512"/>
      <c r="R195" s="512"/>
      <c r="S195" s="512"/>
      <c r="T195" s="512"/>
      <c r="U195" s="51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10" t="s">
        <v>199</v>
      </c>
      <c r="D196" s="108">
        <v>4.8</v>
      </c>
      <c r="E196" s="108"/>
      <c r="F196" s="127"/>
      <c r="G196" s="128"/>
      <c r="H196" s="50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512"/>
      <c r="P196" s="512"/>
      <c r="Q196" s="512"/>
      <c r="R196" s="512"/>
      <c r="S196" s="512"/>
      <c r="T196" s="512"/>
      <c r="U196" s="51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0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512"/>
      <c r="P197" s="512"/>
      <c r="Q197" s="512"/>
      <c r="R197" s="512"/>
      <c r="S197" s="512"/>
      <c r="T197" s="512"/>
      <c r="U197" s="51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42745</v>
      </c>
      <c r="G198" s="128">
        <f>100*8+41</f>
        <v>841</v>
      </c>
      <c r="H198" s="504">
        <f t="shared" si="83"/>
        <v>4196.59</v>
      </c>
      <c r="I198" s="129">
        <f>8*5</f>
        <v>40</v>
      </c>
      <c r="J198" s="130">
        <f t="array" ref="J198">IF(ISERROR(G198/I198),"",G198/I198)</f>
        <v>21.024999999999999</v>
      </c>
      <c r="K198" s="131">
        <f t="array" ref="K198">IF(ISERROR(G198/L198),"",G198/L198)</f>
        <v>35.787234042553195</v>
      </c>
      <c r="L198" s="129">
        <v>23.5</v>
      </c>
      <c r="M198" s="109">
        <f t="shared" si="84"/>
        <v>4.2127659574468055</v>
      </c>
      <c r="N198" s="130">
        <f t="shared" si="88"/>
        <v>0</v>
      </c>
      <c r="O198" s="512"/>
      <c r="P198" s="512"/>
      <c r="Q198" s="512"/>
      <c r="R198" s="512"/>
      <c r="S198" s="512"/>
      <c r="T198" s="512"/>
      <c r="U198" s="512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513" t="s">
        <v>202</v>
      </c>
      <c r="D199" s="143"/>
      <c r="E199" s="143"/>
      <c r="F199" s="144"/>
      <c r="G199" s="145">
        <f>SUM(G178:G198)</f>
        <v>1893</v>
      </c>
      <c r="H199" s="146">
        <f>SUM(H178:H198)</f>
        <v>9528.43</v>
      </c>
      <c r="I199" s="146">
        <f>SUM(I178:I198)</f>
        <v>125</v>
      </c>
      <c r="J199" s="130">
        <f t="array" ref="J199">IF(ISERROR(G199/I199),"",G199/I199)</f>
        <v>15.144</v>
      </c>
      <c r="K199" s="146">
        <f>SUM(K178:K198)</f>
        <v>88.495270117395023</v>
      </c>
      <c r="L199" s="147"/>
      <c r="M199" s="150">
        <f t="shared" ref="M199:AA199" si="91">SUM(M178:M198)</f>
        <v>36.504729882604977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503" t="s">
        <v>206</v>
      </c>
      <c r="C200" s="126" t="s">
        <v>199</v>
      </c>
      <c r="D200" s="108">
        <v>5.03</v>
      </c>
      <c r="E200" s="108"/>
      <c r="F200" s="127"/>
      <c r="G200" s="128"/>
      <c r="H200" s="50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1" si="93">IF(ISERROR(I200-K200),"",I200-K200)</f>
        <v>0</v>
      </c>
      <c r="N200" s="130">
        <f t="shared" ref="N200" si="94">SUM(O200:U200)</f>
        <v>0</v>
      </c>
      <c r="O200" s="508"/>
      <c r="P200" s="508"/>
      <c r="Q200" s="508"/>
      <c r="R200" s="508"/>
      <c r="S200" s="508"/>
      <c r="T200" s="508"/>
      <c r="U200" s="50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503" t="s">
        <v>425</v>
      </c>
      <c r="C201" s="187" t="s">
        <v>427</v>
      </c>
      <c r="D201" s="108">
        <v>5.03</v>
      </c>
      <c r="E201" s="108"/>
      <c r="F201" s="127">
        <v>42743</v>
      </c>
      <c r="G201" s="128">
        <f>108*9</f>
        <v>972</v>
      </c>
      <c r="H201" s="504">
        <f t="shared" si="92"/>
        <v>4889.16</v>
      </c>
      <c r="I201" s="129">
        <v>10</v>
      </c>
      <c r="J201" s="130">
        <f t="array" ref="J201">IF(ISERROR(G201/I201),"",G201/I201)</f>
        <v>97.2</v>
      </c>
      <c r="K201" s="131">
        <f t="array" ref="K201">IF(ISERROR(G201/L201),"",G201/L201)</f>
        <v>18.692307692307693</v>
      </c>
      <c r="L201" s="129">
        <v>52</v>
      </c>
      <c r="M201" s="109">
        <f t="shared" si="93"/>
        <v>-8.6923076923076934</v>
      </c>
      <c r="N201" s="130"/>
      <c r="O201" s="508"/>
      <c r="P201" s="508"/>
      <c r="Q201" s="508"/>
      <c r="R201" s="508"/>
      <c r="S201" s="508"/>
      <c r="T201" s="508"/>
      <c r="U201" s="50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03" t="s">
        <v>206</v>
      </c>
      <c r="C202" s="126" t="s">
        <v>186</v>
      </c>
      <c r="D202" s="108">
        <v>5.03</v>
      </c>
      <c r="E202" s="108"/>
      <c r="F202" s="127"/>
      <c r="G202" s="128"/>
      <c r="H202" s="50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508"/>
      <c r="P202" s="508"/>
      <c r="Q202" s="508"/>
      <c r="R202" s="508"/>
      <c r="S202" s="508"/>
      <c r="T202" s="508"/>
      <c r="U202" s="50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03" t="s">
        <v>206</v>
      </c>
      <c r="C203" s="126" t="s">
        <v>203</v>
      </c>
      <c r="D203" s="108">
        <v>5.03</v>
      </c>
      <c r="E203" s="108"/>
      <c r="F203" s="127"/>
      <c r="G203" s="128"/>
      <c r="H203" s="50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508"/>
      <c r="P203" s="508"/>
      <c r="Q203" s="508"/>
      <c r="R203" s="508"/>
      <c r="S203" s="508"/>
      <c r="T203" s="508"/>
      <c r="U203" s="50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03" t="s">
        <v>206</v>
      </c>
      <c r="C204" s="126" t="s">
        <v>207</v>
      </c>
      <c r="D204" s="108">
        <v>5.03</v>
      </c>
      <c r="E204" s="108"/>
      <c r="F204" s="127"/>
      <c r="G204" s="128"/>
      <c r="H204" s="504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508"/>
      <c r="P204" s="508"/>
      <c r="Q204" s="508"/>
      <c r="R204" s="508"/>
      <c r="S204" s="508"/>
      <c r="T204" s="508"/>
      <c r="U204" s="50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03" t="s">
        <v>414</v>
      </c>
      <c r="C205" s="187" t="s">
        <v>415</v>
      </c>
      <c r="D205" s="108">
        <v>5.03</v>
      </c>
      <c r="E205" s="108"/>
      <c r="F205" s="127"/>
      <c r="G205" s="128"/>
      <c r="H205" s="504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08"/>
      <c r="P205" s="508"/>
      <c r="Q205" s="508"/>
      <c r="R205" s="508"/>
      <c r="S205" s="508"/>
      <c r="T205" s="508"/>
      <c r="U205" s="50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03" t="s">
        <v>414</v>
      </c>
      <c r="C206" s="187" t="s">
        <v>416</v>
      </c>
      <c r="D206" s="108">
        <v>5.03</v>
      </c>
      <c r="E206" s="108"/>
      <c r="F206" s="127"/>
      <c r="G206" s="128"/>
      <c r="H206" s="50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08"/>
      <c r="P206" s="508"/>
      <c r="Q206" s="508"/>
      <c r="R206" s="508"/>
      <c r="S206" s="508"/>
      <c r="T206" s="508"/>
      <c r="U206" s="50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03" t="s">
        <v>414</v>
      </c>
      <c r="C207" s="187" t="s">
        <v>61</v>
      </c>
      <c r="D207" s="108">
        <v>5.03</v>
      </c>
      <c r="E207" s="108"/>
      <c r="F207" s="127"/>
      <c r="G207" s="128"/>
      <c r="H207" s="50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508"/>
      <c r="P207" s="508"/>
      <c r="Q207" s="508"/>
      <c r="R207" s="508"/>
      <c r="S207" s="508"/>
      <c r="T207" s="508"/>
      <c r="U207" s="50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03" t="s">
        <v>208</v>
      </c>
      <c r="C208" s="126" t="s">
        <v>179</v>
      </c>
      <c r="D208" s="108">
        <v>5.08</v>
      </c>
      <c r="E208" s="108"/>
      <c r="F208" s="127"/>
      <c r="G208" s="128"/>
      <c r="H208" s="504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8" si="102">IF(ISERROR(I208-K208),"",I208-K208)</f>
        <v>0</v>
      </c>
      <c r="N208" s="130">
        <f t="shared" ref="N208:N237" si="103">SUM(O208:U208)</f>
        <v>0</v>
      </c>
      <c r="O208" s="508"/>
      <c r="P208" s="508"/>
      <c r="Q208" s="508"/>
      <c r="R208" s="508"/>
      <c r="S208" s="508"/>
      <c r="T208" s="508"/>
      <c r="U208" s="508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03" t="s">
        <v>208</v>
      </c>
      <c r="C209" s="126" t="s">
        <v>204</v>
      </c>
      <c r="D209" s="108">
        <v>5.08</v>
      </c>
      <c r="E209" s="108"/>
      <c r="F209" s="127"/>
      <c r="G209" s="128"/>
      <c r="H209" s="50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08"/>
      <c r="P209" s="508"/>
      <c r="Q209" s="508"/>
      <c r="R209" s="508"/>
      <c r="S209" s="508"/>
      <c r="T209" s="508"/>
      <c r="U209" s="50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03" t="s">
        <v>208</v>
      </c>
      <c r="C210" s="126" t="s">
        <v>205</v>
      </c>
      <c r="D210" s="108">
        <v>5.08</v>
      </c>
      <c r="E210" s="108"/>
      <c r="F210" s="127"/>
      <c r="G210" s="128"/>
      <c r="H210" s="50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08"/>
      <c r="P210" s="508"/>
      <c r="Q210" s="508"/>
      <c r="R210" s="508"/>
      <c r="S210" s="508"/>
      <c r="T210" s="508"/>
      <c r="U210" s="50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503" t="s">
        <v>208</v>
      </c>
      <c r="C211" s="126" t="s">
        <v>186</v>
      </c>
      <c r="D211" s="108">
        <v>5.08</v>
      </c>
      <c r="E211" s="108"/>
      <c r="F211" s="127">
        <v>42745</v>
      </c>
      <c r="G211" s="128">
        <f>108*5+60</f>
        <v>600</v>
      </c>
      <c r="H211" s="504">
        <f t="shared" si="92"/>
        <v>3048</v>
      </c>
      <c r="I211" s="129">
        <f>10*3</f>
        <v>30</v>
      </c>
      <c r="J211" s="130">
        <f t="array" ref="J211">IF(ISERROR(G211/I211),"",G211/I211)</f>
        <v>20</v>
      </c>
      <c r="K211" s="131">
        <f t="array" ref="K211">IF(ISERROR(G211/L211),"",G211/L211)</f>
        <v>28.571428571428573</v>
      </c>
      <c r="L211" s="129">
        <v>21</v>
      </c>
      <c r="M211" s="109">
        <f t="shared" si="102"/>
        <v>1.428571428571427</v>
      </c>
      <c r="N211" s="130">
        <f t="shared" si="103"/>
        <v>0</v>
      </c>
      <c r="O211" s="508"/>
      <c r="P211" s="508"/>
      <c r="Q211" s="508"/>
      <c r="R211" s="508"/>
      <c r="S211" s="508"/>
      <c r="T211" s="508"/>
      <c r="U211" s="50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03" t="s">
        <v>208</v>
      </c>
      <c r="C212" s="126" t="s">
        <v>203</v>
      </c>
      <c r="D212" s="108">
        <v>5.08</v>
      </c>
      <c r="E212" s="108"/>
      <c r="F212" s="127"/>
      <c r="G212" s="128"/>
      <c r="H212" s="50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08"/>
      <c r="P212" s="508"/>
      <c r="Q212" s="508"/>
      <c r="R212" s="508"/>
      <c r="S212" s="508"/>
      <c r="T212" s="508"/>
      <c r="U212" s="50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03" t="s">
        <v>208</v>
      </c>
      <c r="C213" s="126" t="s">
        <v>199</v>
      </c>
      <c r="D213" s="108">
        <v>5.08</v>
      </c>
      <c r="E213" s="108"/>
      <c r="F213" s="127"/>
      <c r="G213" s="128"/>
      <c r="H213" s="50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12"/>
      <c r="P213" s="512"/>
      <c r="Q213" s="512"/>
      <c r="R213" s="512"/>
      <c r="S213" s="512"/>
      <c r="T213" s="512"/>
      <c r="U213" s="51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03" t="s">
        <v>208</v>
      </c>
      <c r="C214" s="126" t="s">
        <v>187</v>
      </c>
      <c r="D214" s="108">
        <v>5.08</v>
      </c>
      <c r="E214" s="108"/>
      <c r="F214" s="127"/>
      <c r="G214" s="128"/>
      <c r="H214" s="50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08"/>
      <c r="P214" s="508"/>
      <c r="Q214" s="508"/>
      <c r="R214" s="508"/>
      <c r="S214" s="508"/>
      <c r="T214" s="508"/>
      <c r="U214" s="50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03" t="s">
        <v>208</v>
      </c>
      <c r="C215" s="126" t="s">
        <v>207</v>
      </c>
      <c r="D215" s="108">
        <v>5.08</v>
      </c>
      <c r="E215" s="108"/>
      <c r="F215" s="127"/>
      <c r="G215" s="128"/>
      <c r="H215" s="50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512"/>
      <c r="P215" s="512"/>
      <c r="Q215" s="512"/>
      <c r="R215" s="512"/>
      <c r="S215" s="512"/>
      <c r="T215" s="512"/>
      <c r="U215" s="51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03" t="s">
        <v>209</v>
      </c>
      <c r="C216" s="126" t="s">
        <v>194</v>
      </c>
      <c r="D216" s="108">
        <v>5.03</v>
      </c>
      <c r="E216" s="108"/>
      <c r="F216" s="127"/>
      <c r="G216" s="128"/>
      <c r="H216" s="50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08"/>
      <c r="P216" s="508"/>
      <c r="Q216" s="508"/>
      <c r="R216" s="508"/>
      <c r="S216" s="508"/>
      <c r="T216" s="508"/>
      <c r="U216" s="50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03" t="s">
        <v>209</v>
      </c>
      <c r="C217" s="126" t="s">
        <v>179</v>
      </c>
      <c r="D217" s="108">
        <v>5.03</v>
      </c>
      <c r="E217" s="108"/>
      <c r="F217" s="127"/>
      <c r="G217" s="128"/>
      <c r="H217" s="50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08"/>
      <c r="P217" s="508"/>
      <c r="Q217" s="508"/>
      <c r="R217" s="508"/>
      <c r="S217" s="508"/>
      <c r="T217" s="508"/>
      <c r="U217" s="50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03" t="s">
        <v>209</v>
      </c>
      <c r="C218" s="126" t="s">
        <v>195</v>
      </c>
      <c r="D218" s="108">
        <v>5.03</v>
      </c>
      <c r="E218" s="108"/>
      <c r="F218" s="127"/>
      <c r="G218" s="128"/>
      <c r="H218" s="504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08"/>
      <c r="P218" s="508"/>
      <c r="Q218" s="508"/>
      <c r="R218" s="508"/>
      <c r="S218" s="508"/>
      <c r="T218" s="508"/>
      <c r="U218" s="508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03" t="s">
        <v>209</v>
      </c>
      <c r="C219" s="126" t="s">
        <v>204</v>
      </c>
      <c r="D219" s="108">
        <v>5.03</v>
      </c>
      <c r="E219" s="108"/>
      <c r="F219" s="127"/>
      <c r="G219" s="128"/>
      <c r="H219" s="50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508"/>
      <c r="P219" s="508"/>
      <c r="Q219" s="508"/>
      <c r="R219" s="508"/>
      <c r="S219" s="508"/>
      <c r="T219" s="508"/>
      <c r="U219" s="50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03" t="s">
        <v>382</v>
      </c>
      <c r="C220" s="187" t="s">
        <v>383</v>
      </c>
      <c r="D220" s="108">
        <v>5.03</v>
      </c>
      <c r="E220" s="108"/>
      <c r="F220" s="127"/>
      <c r="G220" s="128"/>
      <c r="H220" s="50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08"/>
      <c r="P220" s="508"/>
      <c r="Q220" s="508"/>
      <c r="R220" s="508"/>
      <c r="S220" s="508"/>
      <c r="T220" s="508"/>
      <c r="U220" s="50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03" t="s">
        <v>382</v>
      </c>
      <c r="C221" s="187" t="s">
        <v>384</v>
      </c>
      <c r="D221" s="108">
        <v>5.03</v>
      </c>
      <c r="E221" s="108"/>
      <c r="F221" s="127"/>
      <c r="G221" s="128"/>
      <c r="H221" s="50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08"/>
      <c r="P221" s="508"/>
      <c r="Q221" s="508"/>
      <c r="R221" s="508"/>
      <c r="S221" s="508"/>
      <c r="T221" s="508"/>
      <c r="U221" s="50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03" t="s">
        <v>382</v>
      </c>
      <c r="C222" s="187" t="s">
        <v>389</v>
      </c>
      <c r="D222" s="108">
        <v>5.03</v>
      </c>
      <c r="E222" s="108"/>
      <c r="F222" s="127"/>
      <c r="G222" s="128"/>
      <c r="H222" s="50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08"/>
      <c r="P222" s="508"/>
      <c r="Q222" s="508"/>
      <c r="R222" s="508"/>
      <c r="S222" s="508"/>
      <c r="T222" s="508"/>
      <c r="U222" s="50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03" t="s">
        <v>382</v>
      </c>
      <c r="C223" s="187" t="s">
        <v>391</v>
      </c>
      <c r="D223" s="108">
        <v>5.03</v>
      </c>
      <c r="E223" s="108"/>
      <c r="F223" s="127"/>
      <c r="G223" s="128"/>
      <c r="H223" s="50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508"/>
      <c r="P223" s="508"/>
      <c r="Q223" s="508"/>
      <c r="R223" s="508"/>
      <c r="S223" s="508"/>
      <c r="T223" s="508"/>
      <c r="U223" s="50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03" t="s">
        <v>418</v>
      </c>
      <c r="C224" s="187" t="s">
        <v>364</v>
      </c>
      <c r="D224" s="108">
        <v>5.03</v>
      </c>
      <c r="E224" s="108"/>
      <c r="F224" s="127"/>
      <c r="G224" s="128"/>
      <c r="H224" s="50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08"/>
      <c r="P224" s="508"/>
      <c r="Q224" s="508"/>
      <c r="R224" s="508"/>
      <c r="S224" s="508"/>
      <c r="T224" s="508"/>
      <c r="U224" s="50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03" t="s">
        <v>418</v>
      </c>
      <c r="C225" s="187" t="s">
        <v>365</v>
      </c>
      <c r="D225" s="108">
        <v>5.03</v>
      </c>
      <c r="E225" s="108"/>
      <c r="F225" s="127"/>
      <c r="G225" s="128"/>
      <c r="H225" s="50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08"/>
      <c r="P225" s="508"/>
      <c r="Q225" s="508"/>
      <c r="R225" s="508"/>
      <c r="S225" s="508"/>
      <c r="T225" s="508"/>
      <c r="U225" s="50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03" t="s">
        <v>418</v>
      </c>
      <c r="C226" s="187" t="s">
        <v>366</v>
      </c>
      <c r="D226" s="108">
        <v>5.03</v>
      </c>
      <c r="E226" s="108"/>
      <c r="F226" s="127"/>
      <c r="G226" s="128"/>
      <c r="H226" s="50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08"/>
      <c r="P226" s="508"/>
      <c r="Q226" s="508"/>
      <c r="R226" s="508"/>
      <c r="S226" s="508"/>
      <c r="T226" s="508"/>
      <c r="U226" s="50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03" t="s">
        <v>418</v>
      </c>
      <c r="C227" s="187" t="s">
        <v>367</v>
      </c>
      <c r="D227" s="108">
        <v>5.03</v>
      </c>
      <c r="E227" s="108"/>
      <c r="F227" s="127"/>
      <c r="G227" s="128"/>
      <c r="H227" s="50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508"/>
      <c r="P227" s="508"/>
      <c r="Q227" s="508"/>
      <c r="R227" s="508"/>
      <c r="S227" s="508"/>
      <c r="T227" s="508"/>
      <c r="U227" s="50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0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12"/>
      <c r="P228" s="512"/>
      <c r="Q228" s="512"/>
      <c r="R228" s="512"/>
      <c r="S228" s="512"/>
      <c r="T228" s="512"/>
      <c r="U228" s="51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04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12"/>
      <c r="P229" s="512"/>
      <c r="Q229" s="512"/>
      <c r="R229" s="512"/>
      <c r="S229" s="512"/>
      <c r="T229" s="512"/>
      <c r="U229" s="51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04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512"/>
      <c r="P230" s="512"/>
      <c r="Q230" s="512"/>
      <c r="R230" s="512"/>
      <c r="S230" s="512"/>
      <c r="T230" s="512"/>
      <c r="U230" s="51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0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12"/>
      <c r="P231" s="512"/>
      <c r="Q231" s="512"/>
      <c r="R231" s="512"/>
      <c r="S231" s="512"/>
      <c r="T231" s="512"/>
      <c r="U231" s="51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0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12"/>
      <c r="P232" s="512"/>
      <c r="Q232" s="512"/>
      <c r="R232" s="512"/>
      <c r="S232" s="512"/>
      <c r="T232" s="512"/>
      <c r="U232" s="51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0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12"/>
      <c r="P233" s="512"/>
      <c r="Q233" s="512"/>
      <c r="R233" s="512"/>
      <c r="S233" s="512"/>
      <c r="T233" s="512"/>
      <c r="U233" s="51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0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12"/>
      <c r="P234" s="512"/>
      <c r="Q234" s="512"/>
      <c r="R234" s="512"/>
      <c r="S234" s="512"/>
      <c r="T234" s="512"/>
      <c r="U234" s="51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0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12"/>
      <c r="P235" s="512"/>
      <c r="Q235" s="512"/>
      <c r="R235" s="512"/>
      <c r="S235" s="512"/>
      <c r="T235" s="512"/>
      <c r="U235" s="51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42744</v>
      </c>
      <c r="G236" s="128">
        <v>91</v>
      </c>
      <c r="H236" s="504">
        <f t="shared" si="92"/>
        <v>457.73</v>
      </c>
      <c r="I236" s="129">
        <v>1</v>
      </c>
      <c r="J236" s="130">
        <f t="array" ref="J236">IF(ISERROR(G236/I236),"",G236/I236)</f>
        <v>91</v>
      </c>
      <c r="K236" s="131">
        <f t="array" ref="K236">IF(ISERROR(G236/L236),"",G236/L236)</f>
        <v>1.82</v>
      </c>
      <c r="L236" s="129">
        <v>50</v>
      </c>
      <c r="M236" s="109">
        <f t="shared" si="102"/>
        <v>-0.82000000000000006</v>
      </c>
      <c r="N236" s="130">
        <f t="shared" si="103"/>
        <v>0</v>
      </c>
      <c r="O236" s="512"/>
      <c r="P236" s="512"/>
      <c r="Q236" s="512"/>
      <c r="R236" s="512"/>
      <c r="S236" s="512"/>
      <c r="T236" s="512"/>
      <c r="U236" s="512"/>
      <c r="V236" s="132">
        <f t="shared" si="106"/>
        <v>0</v>
      </c>
      <c r="W236" s="133">
        <f t="shared" si="107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0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512"/>
      <c r="P237" s="512"/>
      <c r="Q237" s="512"/>
      <c r="R237" s="512"/>
      <c r="S237" s="512"/>
      <c r="T237" s="512"/>
      <c r="U237" s="51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128">
        <f>90*7+57-90</f>
        <v>597</v>
      </c>
      <c r="H238" s="504">
        <f t="shared" si="92"/>
        <v>3002.9100000000003</v>
      </c>
      <c r="I238" s="129">
        <v>10.5</v>
      </c>
      <c r="J238" s="130">
        <f t="array" ref="J238">IF(ISERROR(G238/I238),"",G238/I238)</f>
        <v>56.857142857142854</v>
      </c>
      <c r="K238" s="131">
        <f t="array" ref="K238">IF(ISERROR(G238/L238),"",G238/L238)</f>
        <v>11.94</v>
      </c>
      <c r="L238" s="129">
        <v>50</v>
      </c>
      <c r="M238" s="109">
        <f t="shared" si="102"/>
        <v>-1.4399999999999995</v>
      </c>
      <c r="N238" s="130"/>
      <c r="O238" s="512"/>
      <c r="P238" s="512"/>
      <c r="Q238" s="512"/>
      <c r="R238" s="512"/>
      <c r="S238" s="512"/>
      <c r="T238" s="512"/>
      <c r="U238" s="51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0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512"/>
      <c r="P239" s="512"/>
      <c r="Q239" s="512"/>
      <c r="R239" s="512"/>
      <c r="S239" s="512"/>
      <c r="T239" s="512"/>
      <c r="U239" s="51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0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512"/>
      <c r="P240" s="512"/>
      <c r="Q240" s="512"/>
      <c r="R240" s="512"/>
      <c r="S240" s="512"/>
      <c r="T240" s="512"/>
      <c r="U240" s="51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0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512"/>
      <c r="P241" s="512"/>
      <c r="Q241" s="512"/>
      <c r="R241" s="512"/>
      <c r="S241" s="512"/>
      <c r="T241" s="512"/>
      <c r="U241" s="51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0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512"/>
      <c r="P242" s="512"/>
      <c r="Q242" s="512"/>
      <c r="R242" s="512"/>
      <c r="S242" s="512"/>
      <c r="T242" s="512"/>
      <c r="U242" s="51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0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512"/>
      <c r="P243" s="512"/>
      <c r="Q243" s="512"/>
      <c r="R243" s="512"/>
      <c r="S243" s="512"/>
      <c r="T243" s="512"/>
      <c r="U243" s="51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0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12"/>
      <c r="P244" s="512"/>
      <c r="Q244" s="512"/>
      <c r="R244" s="512"/>
      <c r="S244" s="512"/>
      <c r="T244" s="512"/>
      <c r="U244" s="51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0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12"/>
      <c r="P245" s="512"/>
      <c r="Q245" s="512"/>
      <c r="R245" s="512"/>
      <c r="S245" s="512"/>
      <c r="T245" s="512"/>
      <c r="U245" s="51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0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512"/>
      <c r="P246" s="512"/>
      <c r="Q246" s="512"/>
      <c r="R246" s="512"/>
      <c r="S246" s="512"/>
      <c r="T246" s="512"/>
      <c r="U246" s="51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0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12"/>
      <c r="P247" s="512"/>
      <c r="Q247" s="512"/>
      <c r="R247" s="512"/>
      <c r="S247" s="512"/>
      <c r="T247" s="512"/>
      <c r="U247" s="51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0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12"/>
      <c r="P248" s="512"/>
      <c r="Q248" s="512"/>
      <c r="R248" s="512"/>
      <c r="S248" s="512"/>
      <c r="T248" s="512"/>
      <c r="U248" s="51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0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12"/>
      <c r="P249" s="512"/>
      <c r="Q249" s="512"/>
      <c r="R249" s="512"/>
      <c r="S249" s="512"/>
      <c r="T249" s="512"/>
      <c r="U249" s="51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0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512"/>
      <c r="P250" s="512"/>
      <c r="Q250" s="512"/>
      <c r="R250" s="512"/>
      <c r="S250" s="512"/>
      <c r="T250" s="512"/>
      <c r="U250" s="51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0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12"/>
      <c r="P251" s="512"/>
      <c r="Q251" s="512"/>
      <c r="R251" s="512"/>
      <c r="S251" s="512"/>
      <c r="T251" s="512"/>
      <c r="U251" s="51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0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12"/>
      <c r="P252" s="512"/>
      <c r="Q252" s="512"/>
      <c r="R252" s="512"/>
      <c r="S252" s="512"/>
      <c r="T252" s="512"/>
      <c r="U252" s="51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0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12"/>
      <c r="P253" s="512"/>
      <c r="Q253" s="512"/>
      <c r="R253" s="512"/>
      <c r="S253" s="512"/>
      <c r="T253" s="512"/>
      <c r="U253" s="51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0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12"/>
      <c r="P254" s="512"/>
      <c r="Q254" s="512"/>
      <c r="R254" s="512"/>
      <c r="S254" s="512"/>
      <c r="T254" s="512"/>
      <c r="U254" s="51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0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12"/>
      <c r="P255" s="512"/>
      <c r="Q255" s="512"/>
      <c r="R255" s="512"/>
      <c r="S255" s="512"/>
      <c r="T255" s="512"/>
      <c r="U255" s="51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0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512"/>
      <c r="P256" s="512"/>
      <c r="Q256" s="512"/>
      <c r="R256" s="512"/>
      <c r="S256" s="512"/>
      <c r="T256" s="512"/>
      <c r="U256" s="512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13" t="s">
        <v>202</v>
      </c>
      <c r="D257" s="143"/>
      <c r="E257" s="143"/>
      <c r="F257" s="144"/>
      <c r="G257" s="145">
        <f>SUM(G200:G256)</f>
        <v>2260</v>
      </c>
      <c r="H257" s="146">
        <f>SUM(H200:H256)</f>
        <v>11397.8</v>
      </c>
      <c r="I257" s="146">
        <f>SUM(I200:I256)</f>
        <v>51.5</v>
      </c>
      <c r="J257" s="130">
        <f t="array" ref="J257">IF(ISERROR(G257/I257),"",G257/I257)</f>
        <v>43.883495145631066</v>
      </c>
      <c r="K257" s="146">
        <f>SUM(K200:K256)</f>
        <v>61.023736263736261</v>
      </c>
      <c r="L257" s="147"/>
      <c r="M257" s="150">
        <f t="shared" ref="M257:V257" si="115">SUM(M200:M256)</f>
        <v>-9.5237362637362661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03" t="s">
        <v>217</v>
      </c>
      <c r="C258" s="126" t="s">
        <v>179</v>
      </c>
      <c r="D258" s="108">
        <v>5.03</v>
      </c>
      <c r="E258" s="108"/>
      <c r="F258" s="127"/>
      <c r="G258" s="128"/>
      <c r="H258" s="50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512"/>
      <c r="P258" s="512"/>
      <c r="Q258" s="512"/>
      <c r="R258" s="512"/>
      <c r="S258" s="512"/>
      <c r="T258" s="512"/>
      <c r="U258" s="51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03" t="s">
        <v>217</v>
      </c>
      <c r="C259" s="126" t="s">
        <v>186</v>
      </c>
      <c r="D259" s="108">
        <v>5.03</v>
      </c>
      <c r="E259" s="108"/>
      <c r="F259" s="127"/>
      <c r="G259" s="128"/>
      <c r="H259" s="50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12"/>
      <c r="P259" s="512"/>
      <c r="Q259" s="512"/>
      <c r="R259" s="512"/>
      <c r="S259" s="512"/>
      <c r="T259" s="512"/>
      <c r="U259" s="51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03" t="s">
        <v>217</v>
      </c>
      <c r="C260" s="126" t="s">
        <v>204</v>
      </c>
      <c r="D260" s="108">
        <v>5.03</v>
      </c>
      <c r="E260" s="108"/>
      <c r="F260" s="127"/>
      <c r="G260" s="128"/>
      <c r="H260" s="50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512"/>
      <c r="P260" s="512"/>
      <c r="Q260" s="512"/>
      <c r="R260" s="512"/>
      <c r="S260" s="512"/>
      <c r="T260" s="512"/>
      <c r="U260" s="51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0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12"/>
      <c r="P261" s="512"/>
      <c r="Q261" s="512"/>
      <c r="R261" s="512"/>
      <c r="S261" s="512"/>
      <c r="T261" s="512"/>
      <c r="U261" s="51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04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12"/>
      <c r="P262" s="512"/>
      <c r="Q262" s="512"/>
      <c r="R262" s="512"/>
      <c r="S262" s="512"/>
      <c r="T262" s="512"/>
      <c r="U262" s="512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0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12"/>
      <c r="P263" s="512"/>
      <c r="Q263" s="512"/>
      <c r="R263" s="512"/>
      <c r="S263" s="512"/>
      <c r="T263" s="512"/>
      <c r="U263" s="51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0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12"/>
      <c r="P264" s="512"/>
      <c r="Q264" s="512"/>
      <c r="R264" s="512"/>
      <c r="S264" s="512"/>
      <c r="T264" s="512"/>
      <c r="U264" s="51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0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512"/>
      <c r="P265" s="512"/>
      <c r="Q265" s="512"/>
      <c r="R265" s="512"/>
      <c r="S265" s="512"/>
      <c r="T265" s="512"/>
      <c r="U265" s="51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0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12"/>
      <c r="P266" s="512"/>
      <c r="Q266" s="512"/>
      <c r="R266" s="512"/>
      <c r="S266" s="512"/>
      <c r="T266" s="512"/>
      <c r="U266" s="51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0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12"/>
      <c r="P267" s="512"/>
      <c r="Q267" s="512"/>
      <c r="R267" s="512"/>
      <c r="S267" s="512"/>
      <c r="T267" s="512"/>
      <c r="U267" s="51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0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12"/>
      <c r="P268" s="512"/>
      <c r="Q268" s="512"/>
      <c r="R268" s="512"/>
      <c r="S268" s="512"/>
      <c r="T268" s="512"/>
      <c r="U268" s="51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0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12"/>
      <c r="P269" s="512"/>
      <c r="Q269" s="512"/>
      <c r="R269" s="512"/>
      <c r="S269" s="512"/>
      <c r="T269" s="512"/>
      <c r="U269" s="51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0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512"/>
      <c r="P270" s="512"/>
      <c r="Q270" s="512"/>
      <c r="R270" s="512"/>
      <c r="S270" s="512"/>
      <c r="T270" s="512"/>
      <c r="U270" s="51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0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12"/>
      <c r="P271" s="512"/>
      <c r="Q271" s="512"/>
      <c r="R271" s="512"/>
      <c r="S271" s="512"/>
      <c r="T271" s="512"/>
      <c r="U271" s="51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0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12"/>
      <c r="P272" s="512"/>
      <c r="Q272" s="512"/>
      <c r="R272" s="512"/>
      <c r="S272" s="512"/>
      <c r="T272" s="512"/>
      <c r="U272" s="51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0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512"/>
      <c r="P273" s="512"/>
      <c r="Q273" s="512"/>
      <c r="R273" s="512"/>
      <c r="S273" s="512"/>
      <c r="T273" s="512"/>
      <c r="U273" s="51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03" t="s">
        <v>222</v>
      </c>
      <c r="C274" s="126" t="s">
        <v>181</v>
      </c>
      <c r="D274" s="108">
        <v>9.36</v>
      </c>
      <c r="E274" s="108"/>
      <c r="F274" s="127"/>
      <c r="G274" s="128"/>
      <c r="H274" s="50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12"/>
      <c r="P274" s="512"/>
      <c r="Q274" s="512"/>
      <c r="R274" s="512"/>
      <c r="S274" s="512"/>
      <c r="T274" s="512"/>
      <c r="U274" s="51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03" t="s">
        <v>222</v>
      </c>
      <c r="C275" s="126" t="s">
        <v>179</v>
      </c>
      <c r="D275" s="108">
        <v>9.36</v>
      </c>
      <c r="E275" s="108"/>
      <c r="F275" s="127"/>
      <c r="G275" s="128"/>
      <c r="H275" s="50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12"/>
      <c r="P275" s="512"/>
      <c r="Q275" s="512"/>
      <c r="R275" s="512"/>
      <c r="S275" s="512"/>
      <c r="T275" s="512"/>
      <c r="U275" s="51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03" t="s">
        <v>222</v>
      </c>
      <c r="C276" s="126" t="s">
        <v>221</v>
      </c>
      <c r="D276" s="108">
        <v>9.36</v>
      </c>
      <c r="E276" s="108"/>
      <c r="F276" s="127"/>
      <c r="G276" s="128"/>
      <c r="H276" s="50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12"/>
      <c r="P276" s="512"/>
      <c r="Q276" s="512"/>
      <c r="R276" s="512"/>
      <c r="S276" s="512"/>
      <c r="T276" s="512"/>
      <c r="U276" s="51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03" t="s">
        <v>222</v>
      </c>
      <c r="C277" s="126" t="s">
        <v>186</v>
      </c>
      <c r="D277" s="108">
        <v>9.36</v>
      </c>
      <c r="E277" s="108"/>
      <c r="F277" s="127"/>
      <c r="G277" s="128"/>
      <c r="H277" s="50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512"/>
      <c r="P277" s="512"/>
      <c r="Q277" s="512"/>
      <c r="R277" s="512"/>
      <c r="S277" s="512"/>
      <c r="T277" s="512"/>
      <c r="U277" s="51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03" t="s">
        <v>393</v>
      </c>
      <c r="C278" s="187" t="s">
        <v>395</v>
      </c>
      <c r="D278" s="108">
        <v>5</v>
      </c>
      <c r="E278" s="108"/>
      <c r="F278" s="127"/>
      <c r="G278" s="128"/>
      <c r="H278" s="50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512"/>
      <c r="P278" s="512"/>
      <c r="Q278" s="512"/>
      <c r="R278" s="512"/>
      <c r="S278" s="512"/>
      <c r="T278" s="512"/>
      <c r="U278" s="51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03" t="s">
        <v>393</v>
      </c>
      <c r="C279" s="187" t="s">
        <v>402</v>
      </c>
      <c r="D279" s="108">
        <v>5</v>
      </c>
      <c r="E279" s="108"/>
      <c r="F279" s="127"/>
      <c r="G279" s="128"/>
      <c r="H279" s="50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512"/>
      <c r="P279" s="512"/>
      <c r="Q279" s="512"/>
      <c r="R279" s="512"/>
      <c r="S279" s="512"/>
      <c r="T279" s="512"/>
      <c r="U279" s="51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03" t="s">
        <v>404</v>
      </c>
      <c r="C280" s="187" t="s">
        <v>405</v>
      </c>
      <c r="D280" s="108">
        <v>5</v>
      </c>
      <c r="E280" s="108"/>
      <c r="F280" s="127"/>
      <c r="G280" s="128"/>
      <c r="H280" s="50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12"/>
      <c r="P280" s="512"/>
      <c r="Q280" s="512"/>
      <c r="R280" s="512"/>
      <c r="S280" s="512"/>
      <c r="T280" s="512"/>
      <c r="U280" s="51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03" t="s">
        <v>342</v>
      </c>
      <c r="C281" s="187" t="s">
        <v>372</v>
      </c>
      <c r="D281" s="108">
        <v>5</v>
      </c>
      <c r="E281" s="108"/>
      <c r="F281" s="127"/>
      <c r="G281" s="128"/>
      <c r="H281" s="50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512"/>
      <c r="P281" s="512"/>
      <c r="Q281" s="512"/>
      <c r="R281" s="512"/>
      <c r="S281" s="512"/>
      <c r="T281" s="512"/>
      <c r="U281" s="51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03" t="s">
        <v>343</v>
      </c>
      <c r="C282" s="126" t="s">
        <v>345</v>
      </c>
      <c r="D282" s="108">
        <v>5</v>
      </c>
      <c r="E282" s="108"/>
      <c r="F282" s="127"/>
      <c r="G282" s="128"/>
      <c r="H282" s="50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12"/>
      <c r="P282" s="512"/>
      <c r="Q282" s="512"/>
      <c r="R282" s="512"/>
      <c r="S282" s="512"/>
      <c r="T282" s="512"/>
      <c r="U282" s="51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03" t="s">
        <v>343</v>
      </c>
      <c r="C283" s="126" t="s">
        <v>347</v>
      </c>
      <c r="D283" s="108">
        <v>5</v>
      </c>
      <c r="E283" s="108"/>
      <c r="F283" s="127"/>
      <c r="G283" s="128"/>
      <c r="H283" s="50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512"/>
      <c r="P283" s="512"/>
      <c r="Q283" s="512"/>
      <c r="R283" s="512"/>
      <c r="S283" s="512"/>
      <c r="T283" s="512"/>
      <c r="U283" s="51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0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12"/>
      <c r="P284" s="512"/>
      <c r="Q284" s="512"/>
      <c r="R284" s="512"/>
      <c r="S284" s="512"/>
      <c r="T284" s="512"/>
      <c r="U284" s="51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0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512"/>
      <c r="P285" s="512"/>
      <c r="Q285" s="512"/>
      <c r="R285" s="512"/>
      <c r="S285" s="512"/>
      <c r="T285" s="512"/>
      <c r="U285" s="51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0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12"/>
      <c r="P286" s="512"/>
      <c r="Q286" s="512"/>
      <c r="R286" s="512"/>
      <c r="S286" s="512"/>
      <c r="T286" s="512"/>
      <c r="U286" s="51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0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12"/>
      <c r="P287" s="512"/>
      <c r="Q287" s="512"/>
      <c r="R287" s="512"/>
      <c r="S287" s="512"/>
      <c r="T287" s="512"/>
      <c r="U287" s="51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0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512"/>
      <c r="P288" s="512"/>
      <c r="Q288" s="512"/>
      <c r="R288" s="512"/>
      <c r="S288" s="512"/>
      <c r="T288" s="512"/>
      <c r="U288" s="51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0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512"/>
      <c r="P289" s="512"/>
      <c r="Q289" s="512"/>
      <c r="R289" s="512"/>
      <c r="S289" s="512"/>
      <c r="T289" s="512"/>
      <c r="U289" s="51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0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12"/>
      <c r="P290" s="512"/>
      <c r="Q290" s="512"/>
      <c r="R290" s="512"/>
      <c r="S290" s="512"/>
      <c r="T290" s="512"/>
      <c r="U290" s="51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100*3+47</f>
        <v>347</v>
      </c>
      <c r="H291" s="504">
        <f t="shared" si="117"/>
        <v>1755.82</v>
      </c>
      <c r="I291" s="129">
        <f>11*5</f>
        <v>55</v>
      </c>
      <c r="J291" s="130">
        <f t="array" ref="J291">IF(ISERROR(G291/I291),"",G291/I291)</f>
        <v>6.3090909090909095</v>
      </c>
      <c r="K291" s="504">
        <f t="array" ref="K291">IF(ISERROR(G291/L291),"",G291/L291)</f>
        <v>38.555555555555557</v>
      </c>
      <c r="L291" s="129">
        <v>9</v>
      </c>
      <c r="M291" s="109">
        <f t="shared" si="128"/>
        <v>16.444444444444443</v>
      </c>
      <c r="N291" s="130">
        <f t="shared" si="129"/>
        <v>0</v>
      </c>
      <c r="O291" s="512"/>
      <c r="P291" s="512"/>
      <c r="Q291" s="512"/>
      <c r="R291" s="512"/>
      <c r="S291" s="512"/>
      <c r="T291" s="512"/>
      <c r="U291" s="512"/>
      <c r="V291" s="132">
        <f t="shared" si="130"/>
        <v>0</v>
      </c>
      <c r="W291" s="133">
        <f t="shared" si="131"/>
        <v>0</v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513" t="s">
        <v>202</v>
      </c>
      <c r="D292" s="143"/>
      <c r="E292" s="143"/>
      <c r="F292" s="144"/>
      <c r="G292" s="145">
        <f>SUM(G258:G291)</f>
        <v>347</v>
      </c>
      <c r="H292" s="146">
        <f>SUM(H258:H291)</f>
        <v>1755.82</v>
      </c>
      <c r="I292" s="146">
        <f>SUM(I258:I291)</f>
        <v>55</v>
      </c>
      <c r="J292" s="130">
        <f t="array" ref="J292">IF(ISERROR(G292/I292),"",G292/I292)</f>
        <v>6.3090909090909095</v>
      </c>
      <c r="K292" s="146">
        <f>SUM(K258:K291)</f>
        <v>38.555555555555557</v>
      </c>
      <c r="L292" s="147"/>
      <c r="M292" s="150">
        <f t="shared" ref="M292:V292" si="132">SUM(M258:M291)</f>
        <v>16.444444444444443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50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512"/>
      <c r="P293" s="512"/>
      <c r="Q293" s="512"/>
      <c r="R293" s="512"/>
      <c r="S293" s="512"/>
      <c r="T293" s="512"/>
      <c r="U293" s="51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50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512"/>
      <c r="P294" s="512"/>
      <c r="Q294" s="512"/>
      <c r="R294" s="512"/>
      <c r="S294" s="512"/>
      <c r="T294" s="512"/>
      <c r="U294" s="51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0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512"/>
      <c r="P295" s="512"/>
      <c r="Q295" s="512"/>
      <c r="R295" s="512"/>
      <c r="S295" s="512"/>
      <c r="T295" s="512"/>
      <c r="U295" s="51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0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12"/>
      <c r="P296" s="512"/>
      <c r="Q296" s="512"/>
      <c r="R296" s="512"/>
      <c r="S296" s="512"/>
      <c r="T296" s="512"/>
      <c r="U296" s="51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509" t="s">
        <v>203</v>
      </c>
      <c r="D297" s="108">
        <v>5.03</v>
      </c>
      <c r="E297" s="108"/>
      <c r="F297" s="127">
        <v>42744</v>
      </c>
      <c r="G297" s="128">
        <v>85</v>
      </c>
      <c r="H297" s="504">
        <f t="shared" si="133"/>
        <v>427.55</v>
      </c>
      <c r="I297" s="129">
        <f>2*3</f>
        <v>6</v>
      </c>
      <c r="J297" s="130">
        <f t="array" ref="J297">IF(ISERROR(G297/I297),"",G297/I297)</f>
        <v>14.166666666666666</v>
      </c>
      <c r="K297" s="131">
        <f t="array" ref="K297">IF(ISERROR(G297/L297),"",G297/L297)</f>
        <v>21.25</v>
      </c>
      <c r="L297" s="129">
        <v>4</v>
      </c>
      <c r="M297" s="109">
        <f t="shared" si="134"/>
        <v>-15.25</v>
      </c>
      <c r="N297" s="130">
        <f t="shared" si="135"/>
        <v>0</v>
      </c>
      <c r="O297" s="512"/>
      <c r="P297" s="512"/>
      <c r="Q297" s="512"/>
      <c r="R297" s="512"/>
      <c r="S297" s="512"/>
      <c r="T297" s="512"/>
      <c r="U297" s="512"/>
      <c r="V297" s="132">
        <f t="shared" si="136"/>
        <v>0</v>
      </c>
      <c r="W297" s="133">
        <f t="shared" si="131"/>
        <v>0</v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0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12"/>
      <c r="P298" s="512"/>
      <c r="Q298" s="512"/>
      <c r="R298" s="512"/>
      <c r="S298" s="512"/>
      <c r="T298" s="512"/>
      <c r="U298" s="51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0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12"/>
      <c r="P299" s="512"/>
      <c r="Q299" s="512"/>
      <c r="R299" s="512"/>
      <c r="S299" s="512"/>
      <c r="T299" s="512"/>
      <c r="U299" s="51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09" t="s">
        <v>228</v>
      </c>
      <c r="D300" s="108">
        <v>5.03</v>
      </c>
      <c r="E300" s="108"/>
      <c r="F300" s="127"/>
      <c r="G300" s="128"/>
      <c r="H300" s="50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512"/>
      <c r="P300" s="512"/>
      <c r="Q300" s="512"/>
      <c r="R300" s="512"/>
      <c r="S300" s="512"/>
      <c r="T300" s="512"/>
      <c r="U300" s="51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09" t="s">
        <v>212</v>
      </c>
      <c r="D301" s="108">
        <v>5.03</v>
      </c>
      <c r="E301" s="108"/>
      <c r="F301" s="127"/>
      <c r="G301" s="128"/>
      <c r="H301" s="50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12"/>
      <c r="P301" s="512"/>
      <c r="Q301" s="512"/>
      <c r="R301" s="512"/>
      <c r="S301" s="512"/>
      <c r="T301" s="512"/>
      <c r="U301" s="51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09" t="s">
        <v>203</v>
      </c>
      <c r="D302" s="108">
        <v>5.03</v>
      </c>
      <c r="E302" s="108"/>
      <c r="F302" s="127"/>
      <c r="G302" s="128"/>
      <c r="H302" s="50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12"/>
      <c r="P302" s="512"/>
      <c r="Q302" s="512"/>
      <c r="R302" s="512"/>
      <c r="S302" s="512"/>
      <c r="T302" s="512"/>
      <c r="U302" s="51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09" t="s">
        <v>186</v>
      </c>
      <c r="D303" s="108">
        <v>5.03</v>
      </c>
      <c r="E303" s="108"/>
      <c r="F303" s="127"/>
      <c r="G303" s="128"/>
      <c r="H303" s="50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12"/>
      <c r="P303" s="512"/>
      <c r="Q303" s="512"/>
      <c r="R303" s="512"/>
      <c r="S303" s="512"/>
      <c r="T303" s="512"/>
      <c r="U303" s="51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09" t="s">
        <v>228</v>
      </c>
      <c r="D304" s="108">
        <v>5.03</v>
      </c>
      <c r="E304" s="108"/>
      <c r="F304" s="127"/>
      <c r="G304" s="128"/>
      <c r="H304" s="50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12"/>
      <c r="P304" s="512"/>
      <c r="Q304" s="512"/>
      <c r="R304" s="512"/>
      <c r="S304" s="512"/>
      <c r="T304" s="512"/>
      <c r="U304" s="51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09" t="s">
        <v>199</v>
      </c>
      <c r="D305" s="108">
        <v>5.03</v>
      </c>
      <c r="E305" s="108"/>
      <c r="F305" s="127"/>
      <c r="G305" s="128"/>
      <c r="H305" s="50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512"/>
      <c r="P305" s="512"/>
      <c r="Q305" s="512"/>
      <c r="R305" s="512"/>
      <c r="S305" s="512"/>
      <c r="T305" s="512"/>
      <c r="U305" s="51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0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512"/>
      <c r="P306" s="512"/>
      <c r="Q306" s="512"/>
      <c r="R306" s="512"/>
      <c r="S306" s="512"/>
      <c r="T306" s="512"/>
      <c r="U306" s="512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42745</v>
      </c>
      <c r="G307" s="128">
        <f>90*5+52-52</f>
        <v>450</v>
      </c>
      <c r="H307" s="504">
        <f t="shared" si="133"/>
        <v>2277</v>
      </c>
      <c r="I307" s="129">
        <f>9.5*3</f>
        <v>28.5</v>
      </c>
      <c r="J307" s="130">
        <f t="array" ref="J307">IF(ISERROR(G307/I307),"",G307/I307)</f>
        <v>15.789473684210526</v>
      </c>
      <c r="K307" s="131">
        <f t="array" ref="K307">IF(ISERROR(G307/L307),"",G307/L307)</f>
        <v>18</v>
      </c>
      <c r="L307" s="129">
        <v>25</v>
      </c>
      <c r="M307" s="109">
        <f t="shared" si="134"/>
        <v>10.5</v>
      </c>
      <c r="N307" s="130">
        <f t="shared" si="135"/>
        <v>0</v>
      </c>
      <c r="O307" s="512"/>
      <c r="P307" s="512"/>
      <c r="Q307" s="512"/>
      <c r="R307" s="512"/>
      <c r="S307" s="512"/>
      <c r="T307" s="512"/>
      <c r="U307" s="51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513" t="s">
        <v>202</v>
      </c>
      <c r="D308" s="143"/>
      <c r="E308" s="143"/>
      <c r="F308" s="144"/>
      <c r="G308" s="145">
        <f>SUM(G293:G307)</f>
        <v>535</v>
      </c>
      <c r="H308" s="146">
        <f>SUM(H293:H307)</f>
        <v>2704.55</v>
      </c>
      <c r="I308" s="146">
        <f>SUM(I293:I307)</f>
        <v>34.5</v>
      </c>
      <c r="J308" s="130">
        <f t="array" ref="J308">IF(ISERROR(G308/I308),"",G308/I308)</f>
        <v>15.507246376811594</v>
      </c>
      <c r="K308" s="146">
        <f>SUM(K293:K307)</f>
        <v>39.25</v>
      </c>
      <c r="L308" s="146"/>
      <c r="M308" s="150">
        <f>SUM(M293:M307)</f>
        <v>-4.75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0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512"/>
      <c r="P309" s="512"/>
      <c r="Q309" s="512"/>
      <c r="R309" s="512"/>
      <c r="S309" s="512"/>
      <c r="T309" s="512"/>
      <c r="U309" s="51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0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12"/>
      <c r="P310" s="512"/>
      <c r="Q310" s="512"/>
      <c r="R310" s="512"/>
      <c r="S310" s="512"/>
      <c r="T310" s="512"/>
      <c r="U310" s="51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0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12"/>
      <c r="P311" s="512"/>
      <c r="Q311" s="512"/>
      <c r="R311" s="512"/>
      <c r="S311" s="512"/>
      <c r="T311" s="512"/>
      <c r="U311" s="51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0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12"/>
      <c r="P312" s="512"/>
      <c r="Q312" s="512"/>
      <c r="R312" s="512"/>
      <c r="S312" s="512"/>
      <c r="T312" s="512"/>
      <c r="U312" s="51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0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512"/>
      <c r="P313" s="512"/>
      <c r="Q313" s="512"/>
      <c r="R313" s="512"/>
      <c r="S313" s="512"/>
      <c r="T313" s="512"/>
      <c r="U313" s="51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04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12"/>
      <c r="P314" s="512"/>
      <c r="Q314" s="512"/>
      <c r="R314" s="512"/>
      <c r="S314" s="512"/>
      <c r="T314" s="512"/>
      <c r="U314" s="51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04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12"/>
      <c r="P315" s="512"/>
      <c r="Q315" s="512"/>
      <c r="R315" s="512"/>
      <c r="S315" s="512"/>
      <c r="T315" s="512"/>
      <c r="U315" s="51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04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512"/>
      <c r="P316" s="512"/>
      <c r="Q316" s="512"/>
      <c r="R316" s="512"/>
      <c r="S316" s="512"/>
      <c r="T316" s="512"/>
      <c r="U316" s="512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04">
        <f t="shared" si="137"/>
        <v>0</v>
      </c>
      <c r="I317" s="129"/>
      <c r="J317" s="130"/>
      <c r="K317" s="131"/>
      <c r="L317" s="129"/>
      <c r="M317" s="109"/>
      <c r="N317" s="130"/>
      <c r="O317" s="512"/>
      <c r="P317" s="512"/>
      <c r="Q317" s="512"/>
      <c r="R317" s="512"/>
      <c r="S317" s="512"/>
      <c r="T317" s="512"/>
      <c r="U317" s="51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0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512"/>
      <c r="P318" s="512"/>
      <c r="Q318" s="512"/>
      <c r="R318" s="512"/>
      <c r="S318" s="512"/>
      <c r="T318" s="512"/>
      <c r="U318" s="512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18" t="s">
        <v>234</v>
      </c>
      <c r="B319" s="619"/>
      <c r="C319" s="513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4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10"/>
      <c r="D320" s="108">
        <v>3.65</v>
      </c>
      <c r="E320" s="108"/>
      <c r="F320" s="153"/>
      <c r="G320" s="128"/>
      <c r="H320" s="504">
        <f t="shared" ref="H320:H333" si="145">D320*G320</f>
        <v>0</v>
      </c>
      <c r="I320" s="129"/>
      <c r="J320" s="130" t="str">
        <f t="array" ref="J320">IF(ISERROR(G320/I320),"",G320/I320)</f>
        <v/>
      </c>
      <c r="K320" s="504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512"/>
      <c r="P320" s="512"/>
      <c r="Q320" s="512"/>
      <c r="R320" s="512"/>
      <c r="S320" s="512"/>
      <c r="T320" s="512"/>
      <c r="U320" s="512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10"/>
      <c r="D321" s="108">
        <v>6.58</v>
      </c>
      <c r="E321" s="108"/>
      <c r="F321" s="127"/>
      <c r="G321" s="128"/>
      <c r="H321" s="50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512"/>
      <c r="P321" s="512"/>
      <c r="Q321" s="512"/>
      <c r="R321" s="512"/>
      <c r="S321" s="512"/>
      <c r="T321" s="512"/>
      <c r="U321" s="512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10"/>
      <c r="D322" s="108">
        <v>7.8</v>
      </c>
      <c r="E322" s="108"/>
      <c r="F322" s="127"/>
      <c r="G322" s="128"/>
      <c r="H322" s="504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512"/>
      <c r="P322" s="512"/>
      <c r="Q322" s="512"/>
      <c r="R322" s="512"/>
      <c r="S322" s="512"/>
      <c r="T322" s="512"/>
      <c r="U322" s="512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10"/>
      <c r="D323" s="108">
        <v>4.4000000000000004</v>
      </c>
      <c r="E323" s="108"/>
      <c r="F323" s="127"/>
      <c r="G323" s="128"/>
      <c r="H323" s="50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512"/>
      <c r="P323" s="512"/>
      <c r="Q323" s="512"/>
      <c r="R323" s="512"/>
      <c r="S323" s="512"/>
      <c r="T323" s="512"/>
      <c r="U323" s="512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10"/>
      <c r="D324" s="108"/>
      <c r="E324" s="108"/>
      <c r="F324" s="127"/>
      <c r="G324" s="128"/>
      <c r="H324" s="504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512"/>
      <c r="P324" s="512"/>
      <c r="Q324" s="512"/>
      <c r="R324" s="512"/>
      <c r="S324" s="512"/>
      <c r="T324" s="512"/>
      <c r="U324" s="51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10" t="s">
        <v>239</v>
      </c>
      <c r="C325" s="510" t="s">
        <v>179</v>
      </c>
      <c r="D325" s="108">
        <v>6.04</v>
      </c>
      <c r="E325" s="108"/>
      <c r="F325" s="127"/>
      <c r="G325" s="128"/>
      <c r="H325" s="504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512"/>
      <c r="P325" s="512"/>
      <c r="Q325" s="512"/>
      <c r="R325" s="512"/>
      <c r="S325" s="512"/>
      <c r="T325" s="512"/>
      <c r="U325" s="512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10" t="s">
        <v>239</v>
      </c>
      <c r="C326" s="510" t="s">
        <v>186</v>
      </c>
      <c r="D326" s="108">
        <v>6.04</v>
      </c>
      <c r="E326" s="108"/>
      <c r="F326" s="127"/>
      <c r="G326" s="128"/>
      <c r="H326" s="504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512"/>
      <c r="P326" s="512"/>
      <c r="Q326" s="512"/>
      <c r="R326" s="512"/>
      <c r="S326" s="512"/>
      <c r="T326" s="512"/>
      <c r="U326" s="512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10" t="s">
        <v>443</v>
      </c>
      <c r="C327" s="510" t="s">
        <v>179</v>
      </c>
      <c r="D327" s="108">
        <v>6</v>
      </c>
      <c r="E327" s="108"/>
      <c r="F327" s="127"/>
      <c r="G327" s="128"/>
      <c r="H327" s="504">
        <f t="shared" si="145"/>
        <v>0</v>
      </c>
      <c r="I327" s="129"/>
      <c r="J327" s="130"/>
      <c r="K327" s="131"/>
      <c r="L327" s="129"/>
      <c r="M327" s="109"/>
      <c r="N327" s="130"/>
      <c r="O327" s="512"/>
      <c r="P327" s="512"/>
      <c r="Q327" s="512"/>
      <c r="R327" s="512"/>
      <c r="S327" s="512"/>
      <c r="T327" s="512"/>
      <c r="U327" s="51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10" t="s">
        <v>443</v>
      </c>
      <c r="C328" s="510" t="s">
        <v>60</v>
      </c>
      <c r="D328" s="108">
        <v>6</v>
      </c>
      <c r="E328" s="108"/>
      <c r="F328" s="127"/>
      <c r="G328" s="128"/>
      <c r="H328" s="50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12"/>
      <c r="P328" s="512"/>
      <c r="Q328" s="512"/>
      <c r="R328" s="512"/>
      <c r="S328" s="512"/>
      <c r="T328" s="512"/>
      <c r="U328" s="51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03" t="s">
        <v>240</v>
      </c>
      <c r="C329" s="126"/>
      <c r="D329" s="108">
        <v>7.3</v>
      </c>
      <c r="E329" s="108"/>
      <c r="F329" s="127"/>
      <c r="G329" s="128"/>
      <c r="H329" s="504">
        <f t="shared" si="145"/>
        <v>0</v>
      </c>
      <c r="I329" s="129"/>
      <c r="J329" s="130"/>
      <c r="K329" s="131"/>
      <c r="L329" s="129"/>
      <c r="M329" s="109"/>
      <c r="N329" s="130"/>
      <c r="O329" s="512"/>
      <c r="P329" s="512"/>
      <c r="Q329" s="512"/>
      <c r="R329" s="512"/>
      <c r="S329" s="512"/>
      <c r="T329" s="512"/>
      <c r="U329" s="51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03" t="s">
        <v>241</v>
      </c>
      <c r="C330" s="126"/>
      <c r="D330" s="108">
        <f>78*120/1000</f>
        <v>9.36</v>
      </c>
      <c r="E330" s="108"/>
      <c r="F330" s="127"/>
      <c r="G330" s="128"/>
      <c r="H330" s="504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512"/>
      <c r="P330" s="512"/>
      <c r="Q330" s="512"/>
      <c r="R330" s="512"/>
      <c r="S330" s="512"/>
      <c r="T330" s="512"/>
      <c r="U330" s="512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03" t="s">
        <v>242</v>
      </c>
      <c r="C331" s="126"/>
      <c r="D331" s="108">
        <v>4.5</v>
      </c>
      <c r="E331" s="108"/>
      <c r="F331" s="127"/>
      <c r="G331" s="128"/>
      <c r="H331" s="50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12"/>
      <c r="P331" s="512"/>
      <c r="Q331" s="512"/>
      <c r="R331" s="512"/>
      <c r="S331" s="512"/>
      <c r="T331" s="512"/>
      <c r="U331" s="51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03" t="s">
        <v>243</v>
      </c>
      <c r="C332" s="126"/>
      <c r="D332" s="108">
        <v>4.5</v>
      </c>
      <c r="E332" s="108"/>
      <c r="F332" s="127"/>
      <c r="G332" s="128"/>
      <c r="H332" s="504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12"/>
      <c r="P332" s="512"/>
      <c r="Q332" s="512"/>
      <c r="R332" s="512"/>
      <c r="S332" s="512"/>
      <c r="T332" s="512"/>
      <c r="U332" s="51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04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12"/>
      <c r="P333" s="512"/>
      <c r="Q333" s="512"/>
      <c r="R333" s="512"/>
      <c r="S333" s="512"/>
      <c r="T333" s="512"/>
      <c r="U333" s="512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18" t="s">
        <v>244</v>
      </c>
      <c r="B334" s="619"/>
      <c r="C334" s="513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5035</v>
      </c>
      <c r="H335" s="154">
        <f>SUM(H199,H257,H292,H308,H319,H334)</f>
        <v>25386.6</v>
      </c>
      <c r="I335" s="154">
        <f>SUM(I199,I257,I292,I308,I319,I334)</f>
        <v>266</v>
      </c>
      <c r="J335" s="155">
        <f t="array" ref="J335">IF(ISERROR(G335/I335),"",G335/I335)</f>
        <v>18.928571428571427</v>
      </c>
      <c r="K335" s="154">
        <f>SUM(K199,K257,K292,K308,K319,K334)</f>
        <v>227.32456193668685</v>
      </c>
      <c r="L335" s="155">
        <f>IF(ISERROR(G335/K335),"",G335/K335)</f>
        <v>22.148948433483927</v>
      </c>
      <c r="M335" s="154">
        <f t="shared" ref="M335:AA335" si="157">SUM(M199,M257,M292,M308,M319,M334)</f>
        <v>38.675438063313152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623" t="s">
        <v>476</v>
      </c>
      <c r="B336" s="506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506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506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506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506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506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506">
        <f>G335</f>
        <v>5035</v>
      </c>
      <c r="C342" s="638" t="s">
        <v>269</v>
      </c>
      <c r="D342" s="639"/>
      <c r="E342" s="631">
        <f>H335</f>
        <v>25386.6</v>
      </c>
      <c r="F342" s="631"/>
      <c r="G342" s="631" t="s">
        <v>270</v>
      </c>
      <c r="H342" s="631"/>
      <c r="I342" s="640">
        <f>L335</f>
        <v>22.148948433483927</v>
      </c>
      <c r="J342" s="640"/>
      <c r="K342" s="628" t="s">
        <v>271</v>
      </c>
      <c r="L342" s="628"/>
      <c r="M342" s="640">
        <f>J335</f>
        <v>18.928571428571427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506">
        <f>I335+C341</f>
        <v>268</v>
      </c>
      <c r="C343" s="641" t="s">
        <v>251</v>
      </c>
      <c r="D343" s="642"/>
      <c r="E343" s="643">
        <f>K335+I341</f>
        <v>257.32456193668685</v>
      </c>
      <c r="F343" s="643"/>
      <c r="G343" s="631" t="s">
        <v>274</v>
      </c>
      <c r="H343" s="631"/>
      <c r="I343" s="640">
        <f>B343-E343</f>
        <v>10.675438063313152</v>
      </c>
      <c r="J343" s="640"/>
      <c r="K343" s="628" t="s">
        <v>275</v>
      </c>
      <c r="L343" s="628"/>
      <c r="M343" s="632">
        <f>IF(ISERROR(I343/E343),"",I343/E343)</f>
        <v>4.148627703071648E-2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506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296</v>
      </c>
      <c r="H348" s="510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503" t="s">
        <v>178</v>
      </c>
      <c r="C349" s="126" t="s">
        <v>179</v>
      </c>
      <c r="D349" s="108">
        <v>5.03</v>
      </c>
      <c r="E349" s="108"/>
      <c r="F349" s="127"/>
      <c r="G349" s="128"/>
      <c r="H349" s="504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512"/>
      <c r="P349" s="512"/>
      <c r="Q349" s="512"/>
      <c r="R349" s="512"/>
      <c r="S349" s="512"/>
      <c r="T349" s="512"/>
      <c r="U349" s="512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0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12"/>
      <c r="P350" s="512"/>
      <c r="Q350" s="512"/>
      <c r="R350" s="512"/>
      <c r="S350" s="512"/>
      <c r="T350" s="512"/>
      <c r="U350" s="512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0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512"/>
      <c r="P351" s="512"/>
      <c r="Q351" s="512"/>
      <c r="R351" s="512"/>
      <c r="S351" s="512"/>
      <c r="T351" s="512"/>
      <c r="U351" s="512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04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12"/>
      <c r="P352" s="512"/>
      <c r="Q352" s="512"/>
      <c r="R352" s="512"/>
      <c r="S352" s="512"/>
      <c r="T352" s="512"/>
      <c r="U352" s="512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04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512"/>
      <c r="P353" s="512"/>
      <c r="Q353" s="512"/>
      <c r="R353" s="512"/>
      <c r="S353" s="512"/>
      <c r="T353" s="512"/>
      <c r="U353" s="512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04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512"/>
      <c r="P354" s="512"/>
      <c r="Q354" s="512"/>
      <c r="R354" s="512"/>
      <c r="S354" s="512"/>
      <c r="T354" s="512"/>
      <c r="U354" s="512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04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512"/>
      <c r="P355" s="512"/>
      <c r="Q355" s="512"/>
      <c r="R355" s="512"/>
      <c r="S355" s="512"/>
      <c r="T355" s="512"/>
      <c r="U355" s="51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04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512"/>
      <c r="P356" s="512"/>
      <c r="Q356" s="512"/>
      <c r="R356" s="512"/>
      <c r="S356" s="512"/>
      <c r="T356" s="512"/>
      <c r="U356" s="51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04">
        <f t="shared" si="158"/>
        <v>0</v>
      </c>
      <c r="I357" s="50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512"/>
      <c r="P357" s="512"/>
      <c r="Q357" s="512"/>
      <c r="R357" s="512"/>
      <c r="S357" s="512"/>
      <c r="T357" s="512"/>
      <c r="U357" s="51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04">
        <f t="shared" si="158"/>
        <v>0</v>
      </c>
      <c r="I358" s="50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512"/>
      <c r="P358" s="512"/>
      <c r="Q358" s="512"/>
      <c r="R358" s="512"/>
      <c r="S358" s="512"/>
      <c r="T358" s="512"/>
      <c r="U358" s="51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04">
        <f t="shared" si="158"/>
        <v>0</v>
      </c>
      <c r="I359" s="504"/>
      <c r="J359" s="130"/>
      <c r="K359" s="131"/>
      <c r="L359" s="129"/>
      <c r="M359" s="109"/>
      <c r="N359" s="130"/>
      <c r="O359" s="512"/>
      <c r="P359" s="512"/>
      <c r="Q359" s="512"/>
      <c r="R359" s="512"/>
      <c r="S359" s="512"/>
      <c r="T359" s="512"/>
      <c r="U359" s="51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04">
        <f t="shared" si="158"/>
        <v>0</v>
      </c>
      <c r="I360" s="504"/>
      <c r="J360" s="130"/>
      <c r="K360" s="131"/>
      <c r="L360" s="129"/>
      <c r="M360" s="109"/>
      <c r="N360" s="130"/>
      <c r="O360" s="512"/>
      <c r="P360" s="512"/>
      <c r="Q360" s="512"/>
      <c r="R360" s="512"/>
      <c r="S360" s="512"/>
      <c r="T360" s="512"/>
      <c r="U360" s="51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0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512"/>
      <c r="P361" s="512"/>
      <c r="Q361" s="512"/>
      <c r="R361" s="512"/>
      <c r="S361" s="512"/>
      <c r="T361" s="512"/>
      <c r="U361" s="512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04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512"/>
      <c r="P362" s="512"/>
      <c r="Q362" s="512"/>
      <c r="R362" s="512"/>
      <c r="S362" s="512"/>
      <c r="T362" s="512"/>
      <c r="U362" s="512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04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512"/>
      <c r="P363" s="512"/>
      <c r="Q363" s="512"/>
      <c r="R363" s="512"/>
      <c r="S363" s="512"/>
      <c r="T363" s="512"/>
      <c r="U363" s="512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10" t="s">
        <v>190</v>
      </c>
      <c r="D364" s="108">
        <v>4.8</v>
      </c>
      <c r="E364" s="108"/>
      <c r="F364" s="127"/>
      <c r="G364" s="128"/>
      <c r="H364" s="50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12"/>
      <c r="P364" s="512"/>
      <c r="Q364" s="512"/>
      <c r="R364" s="512"/>
      <c r="S364" s="512"/>
      <c r="T364" s="512"/>
      <c r="U364" s="51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10" t="s">
        <v>187</v>
      </c>
      <c r="D365" s="108">
        <v>4.8</v>
      </c>
      <c r="E365" s="108"/>
      <c r="F365" s="127"/>
      <c r="G365" s="128"/>
      <c r="H365" s="50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12"/>
      <c r="P365" s="512"/>
      <c r="Q365" s="512"/>
      <c r="R365" s="512"/>
      <c r="S365" s="512"/>
      <c r="T365" s="512"/>
      <c r="U365" s="51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10" t="s">
        <v>179</v>
      </c>
      <c r="D366" s="108">
        <v>4.8</v>
      </c>
      <c r="E366" s="108"/>
      <c r="F366" s="127"/>
      <c r="G366" s="128"/>
      <c r="H366" s="504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512"/>
      <c r="P366" s="512"/>
      <c r="Q366" s="512"/>
      <c r="R366" s="512"/>
      <c r="S366" s="512"/>
      <c r="T366" s="512"/>
      <c r="U366" s="51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10" t="s">
        <v>199</v>
      </c>
      <c r="D367" s="108">
        <v>4.8</v>
      </c>
      <c r="E367" s="108"/>
      <c r="F367" s="127"/>
      <c r="G367" s="128"/>
      <c r="H367" s="504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512"/>
      <c r="P367" s="512"/>
      <c r="Q367" s="512"/>
      <c r="R367" s="512"/>
      <c r="S367" s="512"/>
      <c r="T367" s="512"/>
      <c r="U367" s="51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04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512"/>
      <c r="P368" s="512"/>
      <c r="Q368" s="512"/>
      <c r="R368" s="512"/>
      <c r="S368" s="512"/>
      <c r="T368" s="512"/>
      <c r="U368" s="512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04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512"/>
      <c r="P369" s="512"/>
      <c r="Q369" s="512"/>
      <c r="R369" s="512"/>
      <c r="S369" s="512"/>
      <c r="T369" s="512"/>
      <c r="U369" s="512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51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503" t="s">
        <v>206</v>
      </c>
      <c r="C371" s="126" t="s">
        <v>199</v>
      </c>
      <c r="D371" s="108">
        <v>5.03</v>
      </c>
      <c r="E371" s="108"/>
      <c r="F371" s="127"/>
      <c r="G371" s="128"/>
      <c r="H371" s="504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508"/>
      <c r="P371" s="508"/>
      <c r="Q371" s="508"/>
      <c r="R371" s="508"/>
      <c r="S371" s="508"/>
      <c r="T371" s="508"/>
      <c r="U371" s="50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03" t="s">
        <v>425</v>
      </c>
      <c r="C372" s="187" t="s">
        <v>427</v>
      </c>
      <c r="D372" s="108">
        <v>5.03</v>
      </c>
      <c r="E372" s="108"/>
      <c r="F372" s="127"/>
      <c r="G372" s="128"/>
      <c r="H372" s="504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08"/>
      <c r="P372" s="508"/>
      <c r="Q372" s="508"/>
      <c r="R372" s="508"/>
      <c r="S372" s="508"/>
      <c r="T372" s="508"/>
      <c r="U372" s="50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03" t="s">
        <v>206</v>
      </c>
      <c r="C373" s="126" t="s">
        <v>186</v>
      </c>
      <c r="D373" s="108">
        <v>5.03</v>
      </c>
      <c r="E373" s="108"/>
      <c r="F373" s="127"/>
      <c r="G373" s="128"/>
      <c r="H373" s="50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508"/>
      <c r="P373" s="508"/>
      <c r="Q373" s="508"/>
      <c r="R373" s="508"/>
      <c r="S373" s="508"/>
      <c r="T373" s="508"/>
      <c r="U373" s="50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03" t="s">
        <v>206</v>
      </c>
      <c r="C374" s="126" t="s">
        <v>203</v>
      </c>
      <c r="D374" s="108">
        <v>5.03</v>
      </c>
      <c r="E374" s="108"/>
      <c r="F374" s="127"/>
      <c r="G374" s="128"/>
      <c r="H374" s="504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508"/>
      <c r="P374" s="508"/>
      <c r="Q374" s="508"/>
      <c r="R374" s="508"/>
      <c r="S374" s="508"/>
      <c r="T374" s="508"/>
      <c r="U374" s="50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03" t="s">
        <v>206</v>
      </c>
      <c r="C375" s="126" t="s">
        <v>207</v>
      </c>
      <c r="D375" s="108">
        <v>5.03</v>
      </c>
      <c r="E375" s="108"/>
      <c r="F375" s="127"/>
      <c r="G375" s="128"/>
      <c r="H375" s="504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508"/>
      <c r="P375" s="508"/>
      <c r="Q375" s="508"/>
      <c r="R375" s="508"/>
      <c r="S375" s="508"/>
      <c r="T375" s="508"/>
      <c r="U375" s="50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03" t="s">
        <v>414</v>
      </c>
      <c r="C376" s="187" t="s">
        <v>415</v>
      </c>
      <c r="D376" s="108"/>
      <c r="E376" s="108"/>
      <c r="F376" s="127"/>
      <c r="G376" s="128"/>
      <c r="H376" s="50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08"/>
      <c r="P376" s="508"/>
      <c r="Q376" s="508"/>
      <c r="R376" s="508"/>
      <c r="S376" s="508"/>
      <c r="T376" s="508"/>
      <c r="U376" s="50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03" t="s">
        <v>414</v>
      </c>
      <c r="C377" s="187" t="s">
        <v>416</v>
      </c>
      <c r="D377" s="108"/>
      <c r="E377" s="108"/>
      <c r="F377" s="127"/>
      <c r="G377" s="128"/>
      <c r="H377" s="504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508"/>
      <c r="P377" s="508"/>
      <c r="Q377" s="508"/>
      <c r="R377" s="508"/>
      <c r="S377" s="508"/>
      <c r="T377" s="508"/>
      <c r="U377" s="50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03" t="s">
        <v>414</v>
      </c>
      <c r="C378" s="187" t="s">
        <v>61</v>
      </c>
      <c r="D378" s="108"/>
      <c r="E378" s="108"/>
      <c r="F378" s="127"/>
      <c r="G378" s="128"/>
      <c r="H378" s="504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508"/>
      <c r="P378" s="508"/>
      <c r="Q378" s="508"/>
      <c r="R378" s="508"/>
      <c r="S378" s="508"/>
      <c r="T378" s="508"/>
      <c r="U378" s="50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03" t="s">
        <v>208</v>
      </c>
      <c r="C379" s="126" t="s">
        <v>179</v>
      </c>
      <c r="D379" s="108">
        <v>5.08</v>
      </c>
      <c r="E379" s="108"/>
      <c r="F379" s="127"/>
      <c r="G379" s="128"/>
      <c r="H379" s="50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508"/>
      <c r="P379" s="508"/>
      <c r="Q379" s="508"/>
      <c r="R379" s="508"/>
      <c r="S379" s="508"/>
      <c r="T379" s="508"/>
      <c r="U379" s="50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03" t="s">
        <v>208</v>
      </c>
      <c r="C380" s="126" t="s">
        <v>204</v>
      </c>
      <c r="D380" s="108">
        <v>5.08</v>
      </c>
      <c r="E380" s="108"/>
      <c r="F380" s="127"/>
      <c r="G380" s="128"/>
      <c r="H380" s="50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08"/>
      <c r="P380" s="508"/>
      <c r="Q380" s="508"/>
      <c r="R380" s="508"/>
      <c r="S380" s="508"/>
      <c r="T380" s="508"/>
      <c r="U380" s="50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03" t="s">
        <v>208</v>
      </c>
      <c r="C381" s="126" t="s">
        <v>205</v>
      </c>
      <c r="D381" s="108">
        <v>5.08</v>
      </c>
      <c r="E381" s="108"/>
      <c r="F381" s="127"/>
      <c r="G381" s="128"/>
      <c r="H381" s="50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08"/>
      <c r="P381" s="508"/>
      <c r="Q381" s="508"/>
      <c r="R381" s="508"/>
      <c r="S381" s="508"/>
      <c r="T381" s="508"/>
      <c r="U381" s="50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03" t="s">
        <v>208</v>
      </c>
      <c r="C382" s="126" t="s">
        <v>186</v>
      </c>
      <c r="D382" s="108">
        <v>5.08</v>
      </c>
      <c r="E382" s="108"/>
      <c r="F382" s="127"/>
      <c r="G382" s="128"/>
      <c r="H382" s="50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08"/>
      <c r="P382" s="508"/>
      <c r="Q382" s="508"/>
      <c r="R382" s="508"/>
      <c r="S382" s="508"/>
      <c r="T382" s="508"/>
      <c r="U382" s="50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03" t="s">
        <v>208</v>
      </c>
      <c r="C383" s="126" t="s">
        <v>203</v>
      </c>
      <c r="D383" s="108">
        <v>5.08</v>
      </c>
      <c r="E383" s="108"/>
      <c r="F383" s="127"/>
      <c r="G383" s="128"/>
      <c r="H383" s="50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08"/>
      <c r="P383" s="508"/>
      <c r="Q383" s="508"/>
      <c r="R383" s="508"/>
      <c r="S383" s="508"/>
      <c r="T383" s="508"/>
      <c r="U383" s="50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03" t="s">
        <v>208</v>
      </c>
      <c r="C384" s="126" t="s">
        <v>199</v>
      </c>
      <c r="D384" s="108">
        <v>5.08</v>
      </c>
      <c r="E384" s="108"/>
      <c r="F384" s="127"/>
      <c r="G384" s="128"/>
      <c r="H384" s="50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12"/>
      <c r="P384" s="512"/>
      <c r="Q384" s="512"/>
      <c r="R384" s="512"/>
      <c r="S384" s="512"/>
      <c r="T384" s="512"/>
      <c r="U384" s="512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03" t="s">
        <v>208</v>
      </c>
      <c r="C385" s="126" t="s">
        <v>187</v>
      </c>
      <c r="D385" s="108">
        <v>5.08</v>
      </c>
      <c r="E385" s="108"/>
      <c r="F385" s="127"/>
      <c r="G385" s="128"/>
      <c r="H385" s="50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508"/>
      <c r="P385" s="508"/>
      <c r="Q385" s="508"/>
      <c r="R385" s="508"/>
      <c r="S385" s="508"/>
      <c r="T385" s="508"/>
      <c r="U385" s="50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03" t="s">
        <v>208</v>
      </c>
      <c r="C386" s="126" t="s">
        <v>207</v>
      </c>
      <c r="D386" s="108">
        <v>5.08</v>
      </c>
      <c r="E386" s="108"/>
      <c r="F386" s="127"/>
      <c r="G386" s="128"/>
      <c r="H386" s="50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512"/>
      <c r="P386" s="512"/>
      <c r="Q386" s="512"/>
      <c r="R386" s="512"/>
      <c r="S386" s="512"/>
      <c r="T386" s="512"/>
      <c r="U386" s="512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03" t="s">
        <v>209</v>
      </c>
      <c r="C387" s="126" t="s">
        <v>194</v>
      </c>
      <c r="D387" s="108">
        <v>5.03</v>
      </c>
      <c r="E387" s="108"/>
      <c r="F387" s="127"/>
      <c r="G387" s="128"/>
      <c r="H387" s="50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08"/>
      <c r="P387" s="508"/>
      <c r="Q387" s="508"/>
      <c r="R387" s="508"/>
      <c r="S387" s="508"/>
      <c r="T387" s="508"/>
      <c r="U387" s="50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03" t="s">
        <v>209</v>
      </c>
      <c r="C388" s="126" t="s">
        <v>179</v>
      </c>
      <c r="D388" s="108">
        <v>5.03</v>
      </c>
      <c r="E388" s="108"/>
      <c r="F388" s="127"/>
      <c r="G388" s="128"/>
      <c r="H388" s="50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08"/>
      <c r="P388" s="508"/>
      <c r="Q388" s="508"/>
      <c r="R388" s="508"/>
      <c r="S388" s="508"/>
      <c r="T388" s="508"/>
      <c r="U388" s="50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03" t="s">
        <v>209</v>
      </c>
      <c r="C389" s="126" t="s">
        <v>195</v>
      </c>
      <c r="D389" s="108">
        <v>5.03</v>
      </c>
      <c r="E389" s="108"/>
      <c r="F389" s="127"/>
      <c r="G389" s="128"/>
      <c r="H389" s="504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508"/>
      <c r="P389" s="508"/>
      <c r="Q389" s="508"/>
      <c r="R389" s="508"/>
      <c r="S389" s="508"/>
      <c r="T389" s="508"/>
      <c r="U389" s="50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03" t="s">
        <v>209</v>
      </c>
      <c r="C390" s="126" t="s">
        <v>204</v>
      </c>
      <c r="D390" s="108">
        <v>5.03</v>
      </c>
      <c r="E390" s="108"/>
      <c r="F390" s="127"/>
      <c r="G390" s="128"/>
      <c r="H390" s="504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508"/>
      <c r="P390" s="508"/>
      <c r="Q390" s="508"/>
      <c r="R390" s="508"/>
      <c r="S390" s="508"/>
      <c r="T390" s="508"/>
      <c r="U390" s="50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03" t="s">
        <v>382</v>
      </c>
      <c r="C391" s="187" t="s">
        <v>383</v>
      </c>
      <c r="D391" s="108">
        <v>5.03</v>
      </c>
      <c r="E391" s="108"/>
      <c r="F391" s="127"/>
      <c r="G391" s="128"/>
      <c r="H391" s="50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08"/>
      <c r="P391" s="508"/>
      <c r="Q391" s="508"/>
      <c r="R391" s="508"/>
      <c r="S391" s="508"/>
      <c r="T391" s="508"/>
      <c r="U391" s="50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03" t="s">
        <v>382</v>
      </c>
      <c r="C392" s="187" t="s">
        <v>384</v>
      </c>
      <c r="D392" s="108">
        <v>5.03</v>
      </c>
      <c r="E392" s="108"/>
      <c r="F392" s="127"/>
      <c r="G392" s="128"/>
      <c r="H392" s="50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08"/>
      <c r="P392" s="508"/>
      <c r="Q392" s="508"/>
      <c r="R392" s="508"/>
      <c r="S392" s="508"/>
      <c r="T392" s="508"/>
      <c r="U392" s="50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03" t="s">
        <v>382</v>
      </c>
      <c r="C393" s="187" t="s">
        <v>389</v>
      </c>
      <c r="D393" s="108">
        <v>5.03</v>
      </c>
      <c r="E393" s="108"/>
      <c r="F393" s="127"/>
      <c r="G393" s="128"/>
      <c r="H393" s="50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508"/>
      <c r="P393" s="508"/>
      <c r="Q393" s="508"/>
      <c r="R393" s="508"/>
      <c r="S393" s="508"/>
      <c r="T393" s="508"/>
      <c r="U393" s="50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03" t="s">
        <v>382</v>
      </c>
      <c r="C394" s="187" t="s">
        <v>391</v>
      </c>
      <c r="D394" s="108">
        <v>5.03</v>
      </c>
      <c r="E394" s="108"/>
      <c r="F394" s="127"/>
      <c r="G394" s="128"/>
      <c r="H394" s="50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508"/>
      <c r="P394" s="508"/>
      <c r="Q394" s="508"/>
      <c r="R394" s="508"/>
      <c r="S394" s="508"/>
      <c r="T394" s="508"/>
      <c r="U394" s="50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03" t="s">
        <v>418</v>
      </c>
      <c r="C395" s="187" t="s">
        <v>364</v>
      </c>
      <c r="D395" s="108">
        <v>5.03</v>
      </c>
      <c r="E395" s="108"/>
      <c r="F395" s="127"/>
      <c r="G395" s="128"/>
      <c r="H395" s="50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08"/>
      <c r="P395" s="508"/>
      <c r="Q395" s="508"/>
      <c r="R395" s="508"/>
      <c r="S395" s="508"/>
      <c r="T395" s="508"/>
      <c r="U395" s="50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03" t="s">
        <v>418</v>
      </c>
      <c r="C396" s="187" t="s">
        <v>365</v>
      </c>
      <c r="D396" s="108">
        <v>5.03</v>
      </c>
      <c r="E396" s="108"/>
      <c r="F396" s="127"/>
      <c r="G396" s="128"/>
      <c r="H396" s="50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08"/>
      <c r="P396" s="508"/>
      <c r="Q396" s="508"/>
      <c r="R396" s="508"/>
      <c r="S396" s="508"/>
      <c r="T396" s="508"/>
      <c r="U396" s="50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03" t="s">
        <v>418</v>
      </c>
      <c r="C397" s="187" t="s">
        <v>366</v>
      </c>
      <c r="D397" s="108">
        <v>5.03</v>
      </c>
      <c r="E397" s="108"/>
      <c r="F397" s="127"/>
      <c r="G397" s="128"/>
      <c r="H397" s="504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508"/>
      <c r="P397" s="508"/>
      <c r="Q397" s="508"/>
      <c r="R397" s="508"/>
      <c r="S397" s="508"/>
      <c r="T397" s="508"/>
      <c r="U397" s="50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03" t="s">
        <v>418</v>
      </c>
      <c r="C398" s="187" t="s">
        <v>367</v>
      </c>
      <c r="D398" s="108">
        <v>5.03</v>
      </c>
      <c r="E398" s="108"/>
      <c r="F398" s="127"/>
      <c r="G398" s="128"/>
      <c r="H398" s="504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508"/>
      <c r="P398" s="508"/>
      <c r="Q398" s="508"/>
      <c r="R398" s="508"/>
      <c r="S398" s="508"/>
      <c r="T398" s="508"/>
      <c r="U398" s="50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0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512"/>
      <c r="P399" s="512"/>
      <c r="Q399" s="512"/>
      <c r="R399" s="512"/>
      <c r="S399" s="512"/>
      <c r="T399" s="512"/>
      <c r="U399" s="512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0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512"/>
      <c r="P400" s="512"/>
      <c r="Q400" s="512"/>
      <c r="R400" s="512"/>
      <c r="S400" s="512"/>
      <c r="T400" s="512"/>
      <c r="U400" s="512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0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512"/>
      <c r="P401" s="512"/>
      <c r="Q401" s="512"/>
      <c r="R401" s="512"/>
      <c r="S401" s="512"/>
      <c r="T401" s="512"/>
      <c r="U401" s="512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0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12"/>
      <c r="P402" s="512"/>
      <c r="Q402" s="512"/>
      <c r="R402" s="512"/>
      <c r="S402" s="512"/>
      <c r="T402" s="512"/>
      <c r="U402" s="512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0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12"/>
      <c r="P403" s="512"/>
      <c r="Q403" s="512"/>
      <c r="R403" s="512"/>
      <c r="S403" s="512"/>
      <c r="T403" s="512"/>
      <c r="U403" s="512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0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12"/>
      <c r="P404" s="512"/>
      <c r="Q404" s="512"/>
      <c r="R404" s="512"/>
      <c r="S404" s="512"/>
      <c r="T404" s="512"/>
      <c r="U404" s="512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0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12"/>
      <c r="P405" s="512"/>
      <c r="Q405" s="512"/>
      <c r="R405" s="512"/>
      <c r="S405" s="512"/>
      <c r="T405" s="512"/>
      <c r="U405" s="512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0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12"/>
      <c r="P406" s="512"/>
      <c r="Q406" s="512"/>
      <c r="R406" s="512"/>
      <c r="S406" s="512"/>
      <c r="T406" s="512"/>
      <c r="U406" s="512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04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512"/>
      <c r="P407" s="512"/>
      <c r="Q407" s="512"/>
      <c r="R407" s="512"/>
      <c r="S407" s="512"/>
      <c r="T407" s="512"/>
      <c r="U407" s="512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04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512"/>
      <c r="P408" s="512"/>
      <c r="Q408" s="512"/>
      <c r="R408" s="512"/>
      <c r="S408" s="512"/>
      <c r="T408" s="512"/>
      <c r="U408" s="512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04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12"/>
      <c r="P409" s="512"/>
      <c r="Q409" s="512"/>
      <c r="R409" s="512"/>
      <c r="S409" s="512"/>
      <c r="T409" s="512"/>
      <c r="U409" s="51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04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512"/>
      <c r="P410" s="512"/>
      <c r="Q410" s="512"/>
      <c r="R410" s="512"/>
      <c r="S410" s="512"/>
      <c r="T410" s="512"/>
      <c r="U410" s="51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04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512"/>
      <c r="P411" s="512"/>
      <c r="Q411" s="512"/>
      <c r="R411" s="512"/>
      <c r="S411" s="512"/>
      <c r="T411" s="512"/>
      <c r="U411" s="512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04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512"/>
      <c r="P412" s="512"/>
      <c r="Q412" s="512"/>
      <c r="R412" s="512"/>
      <c r="S412" s="512"/>
      <c r="T412" s="512"/>
      <c r="U412" s="512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04">
        <f t="shared" si="171"/>
        <v>0</v>
      </c>
      <c r="I413" s="129"/>
      <c r="J413" s="130"/>
      <c r="K413" s="131"/>
      <c r="L413" s="129"/>
      <c r="M413" s="109"/>
      <c r="N413" s="130"/>
      <c r="O413" s="512"/>
      <c r="P413" s="512"/>
      <c r="Q413" s="512"/>
      <c r="R413" s="512"/>
      <c r="S413" s="512"/>
      <c r="T413" s="512"/>
      <c r="U413" s="51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0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512"/>
      <c r="P414" s="512"/>
      <c r="Q414" s="512"/>
      <c r="R414" s="512"/>
      <c r="S414" s="512"/>
      <c r="T414" s="512"/>
      <c r="U414" s="512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0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12"/>
      <c r="P415" s="512"/>
      <c r="Q415" s="512"/>
      <c r="R415" s="512"/>
      <c r="S415" s="512"/>
      <c r="T415" s="512"/>
      <c r="U415" s="512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04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512"/>
      <c r="P416" s="512"/>
      <c r="Q416" s="512"/>
      <c r="R416" s="512"/>
      <c r="S416" s="512"/>
      <c r="T416" s="512"/>
      <c r="U416" s="512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04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512"/>
      <c r="P417" s="512"/>
      <c r="Q417" s="512"/>
      <c r="R417" s="512"/>
      <c r="S417" s="512"/>
      <c r="T417" s="512"/>
      <c r="U417" s="512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0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12"/>
      <c r="P418" s="512"/>
      <c r="Q418" s="512"/>
      <c r="R418" s="512"/>
      <c r="S418" s="512"/>
      <c r="T418" s="512"/>
      <c r="U418" s="51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0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12"/>
      <c r="P419" s="512"/>
      <c r="Q419" s="512"/>
      <c r="R419" s="512"/>
      <c r="S419" s="512"/>
      <c r="T419" s="512"/>
      <c r="U419" s="51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0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512"/>
      <c r="P420" s="512"/>
      <c r="Q420" s="512"/>
      <c r="R420" s="512"/>
      <c r="S420" s="512"/>
      <c r="T420" s="512"/>
      <c r="U420" s="51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0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512"/>
      <c r="P421" s="512"/>
      <c r="Q421" s="512"/>
      <c r="R421" s="512"/>
      <c r="S421" s="512"/>
      <c r="T421" s="512"/>
      <c r="U421" s="51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0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12"/>
      <c r="P422" s="512"/>
      <c r="Q422" s="512"/>
      <c r="R422" s="512"/>
      <c r="S422" s="512"/>
      <c r="T422" s="512"/>
      <c r="U422" s="51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0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12"/>
      <c r="P423" s="512"/>
      <c r="Q423" s="512"/>
      <c r="R423" s="512"/>
      <c r="S423" s="512"/>
      <c r="T423" s="512"/>
      <c r="U423" s="51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0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12"/>
      <c r="P424" s="512"/>
      <c r="Q424" s="512"/>
      <c r="R424" s="512"/>
      <c r="S424" s="512"/>
      <c r="T424" s="512"/>
      <c r="U424" s="51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0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12"/>
      <c r="P425" s="512"/>
      <c r="Q425" s="512"/>
      <c r="R425" s="512"/>
      <c r="S425" s="512"/>
      <c r="T425" s="512"/>
      <c r="U425" s="51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04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512"/>
      <c r="P426" s="512"/>
      <c r="Q426" s="512"/>
      <c r="R426" s="512"/>
      <c r="S426" s="512"/>
      <c r="T426" s="512"/>
      <c r="U426" s="51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04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512"/>
      <c r="P427" s="512"/>
      <c r="Q427" s="512"/>
      <c r="R427" s="512"/>
      <c r="S427" s="512"/>
      <c r="T427" s="512"/>
      <c r="U427" s="51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1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03" t="s">
        <v>217</v>
      </c>
      <c r="C429" s="126" t="s">
        <v>179</v>
      </c>
      <c r="D429" s="108">
        <v>5.03</v>
      </c>
      <c r="E429" s="108"/>
      <c r="F429" s="127"/>
      <c r="G429" s="128"/>
      <c r="H429" s="504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512"/>
      <c r="P429" s="512"/>
      <c r="Q429" s="512"/>
      <c r="R429" s="512"/>
      <c r="S429" s="512"/>
      <c r="T429" s="512"/>
      <c r="U429" s="512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03" t="s">
        <v>217</v>
      </c>
      <c r="C430" s="126" t="s">
        <v>186</v>
      </c>
      <c r="D430" s="108">
        <v>5.03</v>
      </c>
      <c r="E430" s="108"/>
      <c r="F430" s="127"/>
      <c r="G430" s="128"/>
      <c r="H430" s="50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512"/>
      <c r="P430" s="512"/>
      <c r="Q430" s="512"/>
      <c r="R430" s="512"/>
      <c r="S430" s="512"/>
      <c r="T430" s="512"/>
      <c r="U430" s="512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03" t="s">
        <v>217</v>
      </c>
      <c r="C431" s="126" t="s">
        <v>204</v>
      </c>
      <c r="D431" s="108">
        <v>5.03</v>
      </c>
      <c r="E431" s="108"/>
      <c r="F431" s="127"/>
      <c r="G431" s="128"/>
      <c r="H431" s="50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512"/>
      <c r="P431" s="512"/>
      <c r="Q431" s="512"/>
      <c r="R431" s="512"/>
      <c r="S431" s="512"/>
      <c r="T431" s="512"/>
      <c r="U431" s="512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0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512"/>
      <c r="P432" s="512"/>
      <c r="Q432" s="512"/>
      <c r="R432" s="512"/>
      <c r="S432" s="512"/>
      <c r="T432" s="512"/>
      <c r="U432" s="512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0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512"/>
      <c r="P433" s="512"/>
      <c r="Q433" s="512"/>
      <c r="R433" s="512"/>
      <c r="S433" s="512"/>
      <c r="T433" s="512"/>
      <c r="U433" s="512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04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512"/>
      <c r="P434" s="512"/>
      <c r="Q434" s="512"/>
      <c r="R434" s="512"/>
      <c r="S434" s="512"/>
      <c r="T434" s="512"/>
      <c r="U434" s="512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0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512"/>
      <c r="P435" s="512"/>
      <c r="Q435" s="512"/>
      <c r="R435" s="512"/>
      <c r="S435" s="512"/>
      <c r="T435" s="512"/>
      <c r="U435" s="512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04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512"/>
      <c r="P436" s="512"/>
      <c r="Q436" s="512"/>
      <c r="R436" s="512"/>
      <c r="S436" s="512"/>
      <c r="T436" s="512"/>
      <c r="U436" s="51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0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12"/>
      <c r="P437" s="512"/>
      <c r="Q437" s="512"/>
      <c r="R437" s="512"/>
      <c r="S437" s="512"/>
      <c r="T437" s="512"/>
      <c r="U437" s="51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0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12"/>
      <c r="P438" s="512"/>
      <c r="Q438" s="512"/>
      <c r="R438" s="512"/>
      <c r="S438" s="512"/>
      <c r="T438" s="512"/>
      <c r="U438" s="51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0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12"/>
      <c r="P439" s="512"/>
      <c r="Q439" s="512"/>
      <c r="R439" s="512"/>
      <c r="S439" s="512"/>
      <c r="T439" s="512"/>
      <c r="U439" s="51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04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12"/>
      <c r="P440" s="512"/>
      <c r="Q440" s="512"/>
      <c r="R440" s="512"/>
      <c r="S440" s="512"/>
      <c r="T440" s="512"/>
      <c r="U440" s="51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04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512"/>
      <c r="P441" s="512"/>
      <c r="Q441" s="512"/>
      <c r="R441" s="512"/>
      <c r="S441" s="512"/>
      <c r="T441" s="512"/>
      <c r="U441" s="512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0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12"/>
      <c r="P442" s="512"/>
      <c r="Q442" s="512"/>
      <c r="R442" s="512"/>
      <c r="S442" s="512"/>
      <c r="T442" s="512"/>
      <c r="U442" s="512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04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512"/>
      <c r="P443" s="512"/>
      <c r="Q443" s="512"/>
      <c r="R443" s="512"/>
      <c r="S443" s="512"/>
      <c r="T443" s="512"/>
      <c r="U443" s="512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04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512"/>
      <c r="P444" s="512"/>
      <c r="Q444" s="512"/>
      <c r="R444" s="512"/>
      <c r="S444" s="512"/>
      <c r="T444" s="512"/>
      <c r="U444" s="512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03" t="s">
        <v>222</v>
      </c>
      <c r="C445" s="126" t="s">
        <v>181</v>
      </c>
      <c r="D445" s="108">
        <v>9.36</v>
      </c>
      <c r="E445" s="108"/>
      <c r="F445" s="127"/>
      <c r="G445" s="128"/>
      <c r="H445" s="50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12"/>
      <c r="P445" s="512"/>
      <c r="Q445" s="512"/>
      <c r="R445" s="512"/>
      <c r="S445" s="512"/>
      <c r="T445" s="512"/>
      <c r="U445" s="512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03" t="s">
        <v>222</v>
      </c>
      <c r="C446" s="126" t="s">
        <v>179</v>
      </c>
      <c r="D446" s="108">
        <v>9.36</v>
      </c>
      <c r="E446" s="108"/>
      <c r="F446" s="127"/>
      <c r="G446" s="128"/>
      <c r="H446" s="50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12"/>
      <c r="P446" s="512"/>
      <c r="Q446" s="512"/>
      <c r="R446" s="512"/>
      <c r="S446" s="512"/>
      <c r="T446" s="512"/>
      <c r="U446" s="512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03" t="s">
        <v>222</v>
      </c>
      <c r="C447" s="126" t="s">
        <v>221</v>
      </c>
      <c r="D447" s="108">
        <v>9.36</v>
      </c>
      <c r="E447" s="108"/>
      <c r="F447" s="127"/>
      <c r="G447" s="128"/>
      <c r="H447" s="504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512"/>
      <c r="P447" s="512"/>
      <c r="Q447" s="512"/>
      <c r="R447" s="512"/>
      <c r="S447" s="512"/>
      <c r="T447" s="512"/>
      <c r="U447" s="512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03" t="s">
        <v>222</v>
      </c>
      <c r="C448" s="126" t="s">
        <v>186</v>
      </c>
      <c r="D448" s="108">
        <v>9.36</v>
      </c>
      <c r="E448" s="108"/>
      <c r="F448" s="127"/>
      <c r="G448" s="128"/>
      <c r="H448" s="504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512"/>
      <c r="P448" s="512"/>
      <c r="Q448" s="512"/>
      <c r="R448" s="512"/>
      <c r="S448" s="512"/>
      <c r="T448" s="512"/>
      <c r="U448" s="512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03" t="s">
        <v>393</v>
      </c>
      <c r="C449" s="187" t="s">
        <v>395</v>
      </c>
      <c r="D449" s="108">
        <v>5</v>
      </c>
      <c r="E449" s="108"/>
      <c r="F449" s="127"/>
      <c r="G449" s="128"/>
      <c r="H449" s="50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512"/>
      <c r="P449" s="512"/>
      <c r="Q449" s="512"/>
      <c r="R449" s="512"/>
      <c r="S449" s="512"/>
      <c r="T449" s="512"/>
      <c r="U449" s="51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03" t="s">
        <v>393</v>
      </c>
      <c r="C450" s="187" t="s">
        <v>402</v>
      </c>
      <c r="D450" s="108">
        <v>5</v>
      </c>
      <c r="E450" s="108"/>
      <c r="F450" s="127"/>
      <c r="G450" s="128"/>
      <c r="H450" s="50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12"/>
      <c r="P450" s="512"/>
      <c r="Q450" s="512"/>
      <c r="R450" s="512"/>
      <c r="S450" s="512"/>
      <c r="T450" s="512"/>
      <c r="U450" s="51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03" t="s">
        <v>404</v>
      </c>
      <c r="C451" s="187" t="s">
        <v>405</v>
      </c>
      <c r="D451" s="108">
        <v>5</v>
      </c>
      <c r="E451" s="108"/>
      <c r="F451" s="127"/>
      <c r="G451" s="128"/>
      <c r="H451" s="50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12"/>
      <c r="P451" s="512"/>
      <c r="Q451" s="512"/>
      <c r="R451" s="512"/>
      <c r="S451" s="512"/>
      <c r="T451" s="512"/>
      <c r="U451" s="51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03" t="s">
        <v>342</v>
      </c>
      <c r="C452" s="187" t="s">
        <v>372</v>
      </c>
      <c r="D452" s="108">
        <v>5</v>
      </c>
      <c r="E452" s="108"/>
      <c r="F452" s="127"/>
      <c r="G452" s="128"/>
      <c r="H452" s="50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12"/>
      <c r="P452" s="512"/>
      <c r="Q452" s="512"/>
      <c r="R452" s="512"/>
      <c r="S452" s="512"/>
      <c r="T452" s="512"/>
      <c r="U452" s="51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03" t="s">
        <v>343</v>
      </c>
      <c r="C453" s="126" t="s">
        <v>345</v>
      </c>
      <c r="D453" s="108">
        <v>5</v>
      </c>
      <c r="E453" s="108"/>
      <c r="F453" s="127"/>
      <c r="G453" s="128"/>
      <c r="H453" s="504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512"/>
      <c r="P453" s="512"/>
      <c r="Q453" s="512"/>
      <c r="R453" s="512"/>
      <c r="S453" s="512"/>
      <c r="T453" s="512"/>
      <c r="U453" s="51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03" t="s">
        <v>343</v>
      </c>
      <c r="C454" s="126" t="s">
        <v>347</v>
      </c>
      <c r="D454" s="108">
        <v>5</v>
      </c>
      <c r="E454" s="108"/>
      <c r="F454" s="127"/>
      <c r="G454" s="128"/>
      <c r="H454" s="504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512"/>
      <c r="P454" s="512"/>
      <c r="Q454" s="512"/>
      <c r="R454" s="512"/>
      <c r="S454" s="512"/>
      <c r="T454" s="512"/>
      <c r="U454" s="51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04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512"/>
      <c r="P455" s="512"/>
      <c r="Q455" s="512"/>
      <c r="R455" s="512"/>
      <c r="S455" s="512"/>
      <c r="T455" s="512"/>
      <c r="U455" s="512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04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512"/>
      <c r="P456" s="512"/>
      <c r="Q456" s="512"/>
      <c r="R456" s="512"/>
      <c r="S456" s="512"/>
      <c r="T456" s="512"/>
      <c r="U456" s="512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0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12"/>
      <c r="P457" s="512"/>
      <c r="Q457" s="512"/>
      <c r="R457" s="512"/>
      <c r="S457" s="512"/>
      <c r="T457" s="512"/>
      <c r="U457" s="51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04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512"/>
      <c r="P458" s="512"/>
      <c r="Q458" s="512"/>
      <c r="R458" s="512"/>
      <c r="S458" s="512"/>
      <c r="T458" s="512"/>
      <c r="U458" s="51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04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512"/>
      <c r="P459" s="512"/>
      <c r="Q459" s="512"/>
      <c r="R459" s="512"/>
      <c r="S459" s="512"/>
      <c r="T459" s="512"/>
      <c r="U459" s="51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04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512"/>
      <c r="P460" s="512"/>
      <c r="Q460" s="512"/>
      <c r="R460" s="512"/>
      <c r="S460" s="512"/>
      <c r="T460" s="512"/>
      <c r="U460" s="512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04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512"/>
      <c r="P461" s="512"/>
      <c r="Q461" s="512"/>
      <c r="R461" s="512"/>
      <c r="S461" s="512"/>
      <c r="T461" s="512"/>
      <c r="U461" s="512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04">
        <f t="shared" si="196"/>
        <v>0</v>
      </c>
      <c r="I462" s="129"/>
      <c r="J462" s="130" t="str">
        <f t="array" ref="J462">IF(ISERROR(G462/I462),"",G462/I462)</f>
        <v/>
      </c>
      <c r="K462" s="504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512"/>
      <c r="P462" s="512"/>
      <c r="Q462" s="512"/>
      <c r="R462" s="512"/>
      <c r="S462" s="512"/>
      <c r="T462" s="512"/>
      <c r="U462" s="512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618" t="s">
        <v>224</v>
      </c>
      <c r="B463" s="619"/>
      <c r="C463" s="513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04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512"/>
      <c r="P464" s="512"/>
      <c r="Q464" s="512"/>
      <c r="R464" s="512"/>
      <c r="S464" s="512"/>
      <c r="T464" s="512"/>
      <c r="U464" s="512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0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512"/>
      <c r="P465" s="512"/>
      <c r="Q465" s="512"/>
      <c r="R465" s="512"/>
      <c r="S465" s="512"/>
      <c r="T465" s="512"/>
      <c r="U465" s="512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0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512"/>
      <c r="P466" s="512"/>
      <c r="Q466" s="512"/>
      <c r="R466" s="512"/>
      <c r="S466" s="512"/>
      <c r="T466" s="512"/>
      <c r="U466" s="512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0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12"/>
      <c r="P467" s="512"/>
      <c r="Q467" s="512"/>
      <c r="R467" s="512"/>
      <c r="S467" s="512"/>
      <c r="T467" s="512"/>
      <c r="U467" s="512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09" t="s">
        <v>203</v>
      </c>
      <c r="D468" s="108">
        <v>5.03</v>
      </c>
      <c r="E468" s="108"/>
      <c r="F468" s="127"/>
      <c r="G468" s="128"/>
      <c r="H468" s="50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12"/>
      <c r="P468" s="512"/>
      <c r="Q468" s="512"/>
      <c r="R468" s="512"/>
      <c r="S468" s="512"/>
      <c r="T468" s="512"/>
      <c r="U468" s="512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0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12"/>
      <c r="P469" s="512"/>
      <c r="Q469" s="512"/>
      <c r="R469" s="512"/>
      <c r="S469" s="512"/>
      <c r="T469" s="512"/>
      <c r="U469" s="512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04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512"/>
      <c r="P470" s="512"/>
      <c r="Q470" s="512"/>
      <c r="R470" s="512"/>
      <c r="S470" s="512"/>
      <c r="T470" s="512"/>
      <c r="U470" s="512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09" t="s">
        <v>228</v>
      </c>
      <c r="D471" s="108">
        <v>5.03</v>
      </c>
      <c r="E471" s="108"/>
      <c r="F471" s="127"/>
      <c r="G471" s="128"/>
      <c r="H471" s="504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512"/>
      <c r="P471" s="512"/>
      <c r="Q471" s="512"/>
      <c r="R471" s="512"/>
      <c r="S471" s="512"/>
      <c r="T471" s="512"/>
      <c r="U471" s="512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09" t="s">
        <v>212</v>
      </c>
      <c r="D472" s="108">
        <v>5.03</v>
      </c>
      <c r="E472" s="108"/>
      <c r="F472" s="127"/>
      <c r="G472" s="128"/>
      <c r="H472" s="50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12"/>
      <c r="P472" s="512"/>
      <c r="Q472" s="512"/>
      <c r="R472" s="512"/>
      <c r="S472" s="512"/>
      <c r="T472" s="512"/>
      <c r="U472" s="512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09" t="s">
        <v>203</v>
      </c>
      <c r="D473" s="108">
        <v>5.03</v>
      </c>
      <c r="E473" s="108"/>
      <c r="F473" s="127"/>
      <c r="G473" s="128"/>
      <c r="H473" s="50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12"/>
      <c r="P473" s="512"/>
      <c r="Q473" s="512"/>
      <c r="R473" s="512"/>
      <c r="S473" s="512"/>
      <c r="T473" s="512"/>
      <c r="U473" s="512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09" t="s">
        <v>186</v>
      </c>
      <c r="D474" s="108">
        <v>5.03</v>
      </c>
      <c r="E474" s="108"/>
      <c r="F474" s="127"/>
      <c r="G474" s="128"/>
      <c r="H474" s="50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12"/>
      <c r="P474" s="512"/>
      <c r="Q474" s="512"/>
      <c r="R474" s="512"/>
      <c r="S474" s="512"/>
      <c r="T474" s="512"/>
      <c r="U474" s="512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09" t="s">
        <v>228</v>
      </c>
      <c r="D475" s="108">
        <v>5.03</v>
      </c>
      <c r="E475" s="108"/>
      <c r="F475" s="127"/>
      <c r="G475" s="128"/>
      <c r="H475" s="504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512"/>
      <c r="P475" s="512"/>
      <c r="Q475" s="512"/>
      <c r="R475" s="512"/>
      <c r="S475" s="512"/>
      <c r="T475" s="512"/>
      <c r="U475" s="512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09" t="s">
        <v>199</v>
      </c>
      <c r="D476" s="108">
        <v>5.03</v>
      </c>
      <c r="E476" s="108"/>
      <c r="F476" s="127"/>
      <c r="G476" s="128"/>
      <c r="H476" s="504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512"/>
      <c r="P476" s="512"/>
      <c r="Q476" s="512"/>
      <c r="R476" s="512"/>
      <c r="S476" s="512"/>
      <c r="T476" s="512"/>
      <c r="U476" s="512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04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512"/>
      <c r="P477" s="512"/>
      <c r="Q477" s="512"/>
      <c r="R477" s="512"/>
      <c r="S477" s="512"/>
      <c r="T477" s="512"/>
      <c r="U477" s="512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04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512"/>
      <c r="P478" s="512"/>
      <c r="Q478" s="512"/>
      <c r="R478" s="512"/>
      <c r="S478" s="512"/>
      <c r="T478" s="512"/>
      <c r="U478" s="512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51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04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512"/>
      <c r="P480" s="512"/>
      <c r="Q480" s="512"/>
      <c r="R480" s="512"/>
      <c r="S480" s="512"/>
      <c r="T480" s="512"/>
      <c r="U480" s="512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0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12"/>
      <c r="P481" s="512"/>
      <c r="Q481" s="512"/>
      <c r="R481" s="512"/>
      <c r="S481" s="512"/>
      <c r="T481" s="512"/>
      <c r="U481" s="512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0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12"/>
      <c r="P482" s="512"/>
      <c r="Q482" s="512"/>
      <c r="R482" s="512"/>
      <c r="S482" s="512"/>
      <c r="T482" s="512"/>
      <c r="U482" s="512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04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512"/>
      <c r="P483" s="512"/>
      <c r="Q483" s="512"/>
      <c r="R483" s="512"/>
      <c r="S483" s="512"/>
      <c r="T483" s="512"/>
      <c r="U483" s="512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04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512"/>
      <c r="P484" s="512"/>
      <c r="Q484" s="512"/>
      <c r="R484" s="512"/>
      <c r="S484" s="512"/>
      <c r="T484" s="512"/>
      <c r="U484" s="512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04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12"/>
      <c r="P485" s="512"/>
      <c r="Q485" s="512"/>
      <c r="R485" s="512"/>
      <c r="S485" s="512"/>
      <c r="T485" s="512"/>
      <c r="U485" s="51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04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512"/>
      <c r="P486" s="512"/>
      <c r="Q486" s="512"/>
      <c r="R486" s="512"/>
      <c r="S486" s="512"/>
      <c r="T486" s="512"/>
      <c r="U486" s="51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04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512"/>
      <c r="P487" s="512"/>
      <c r="Q487" s="512"/>
      <c r="R487" s="512"/>
      <c r="S487" s="512"/>
      <c r="T487" s="512"/>
      <c r="U487" s="51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04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512"/>
      <c r="P488" s="512"/>
      <c r="Q488" s="512"/>
      <c r="R488" s="512"/>
      <c r="S488" s="512"/>
      <c r="T488" s="512"/>
      <c r="U488" s="51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04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512"/>
      <c r="P489" s="512"/>
      <c r="Q489" s="512"/>
      <c r="R489" s="512"/>
      <c r="S489" s="512"/>
      <c r="T489" s="512"/>
      <c r="U489" s="512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51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10"/>
      <c r="D491" s="108">
        <v>3.65</v>
      </c>
      <c r="E491" s="108"/>
      <c r="F491" s="153"/>
      <c r="G491" s="128"/>
      <c r="H491" s="504">
        <f t="shared" ref="H491:H505" si="223">D491*G491</f>
        <v>0</v>
      </c>
      <c r="I491" s="129"/>
      <c r="J491" s="130" t="str">
        <f t="array" ref="J491">IF(ISERROR(G491/I491),"",G491/I491)</f>
        <v/>
      </c>
      <c r="K491" s="504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512"/>
      <c r="P491" s="512"/>
      <c r="Q491" s="512"/>
      <c r="R491" s="512"/>
      <c r="S491" s="512"/>
      <c r="T491" s="512"/>
      <c r="U491" s="512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10"/>
      <c r="D492" s="108">
        <v>6.58</v>
      </c>
      <c r="E492" s="108"/>
      <c r="F492" s="127"/>
      <c r="G492" s="128"/>
      <c r="H492" s="504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512"/>
      <c r="P492" s="512"/>
      <c r="Q492" s="512"/>
      <c r="R492" s="512"/>
      <c r="S492" s="512"/>
      <c r="T492" s="512"/>
      <c r="U492" s="512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10"/>
      <c r="D493" s="108">
        <v>7.8</v>
      </c>
      <c r="E493" s="108"/>
      <c r="F493" s="127"/>
      <c r="G493" s="128"/>
      <c r="H493" s="504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512"/>
      <c r="P493" s="512"/>
      <c r="Q493" s="512"/>
      <c r="R493" s="512"/>
      <c r="S493" s="512"/>
      <c r="T493" s="512"/>
      <c r="U493" s="512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10"/>
      <c r="D494" s="108">
        <v>4.4000000000000004</v>
      </c>
      <c r="E494" s="108"/>
      <c r="F494" s="127"/>
      <c r="G494" s="128"/>
      <c r="H494" s="50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512"/>
      <c r="P494" s="512"/>
      <c r="Q494" s="512"/>
      <c r="R494" s="512"/>
      <c r="S494" s="512"/>
      <c r="T494" s="512"/>
      <c r="U494" s="512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04">
        <f t="shared" si="223"/>
        <v>0</v>
      </c>
      <c r="I495" s="129"/>
      <c r="J495" s="130"/>
      <c r="K495" s="131"/>
      <c r="L495" s="129"/>
      <c r="M495" s="109"/>
      <c r="N495" s="130"/>
      <c r="O495" s="512"/>
      <c r="P495" s="512"/>
      <c r="Q495" s="512"/>
      <c r="R495" s="512"/>
      <c r="S495" s="512"/>
      <c r="T495" s="512"/>
      <c r="U495" s="51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10"/>
      <c r="D496" s="108"/>
      <c r="E496" s="108"/>
      <c r="F496" s="127"/>
      <c r="G496" s="128"/>
      <c r="H496" s="504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512"/>
      <c r="P496" s="512"/>
      <c r="Q496" s="512"/>
      <c r="R496" s="512"/>
      <c r="S496" s="512"/>
      <c r="T496" s="512"/>
      <c r="U496" s="51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10" t="s">
        <v>239</v>
      </c>
      <c r="C497" s="510" t="s">
        <v>179</v>
      </c>
      <c r="D497" s="108">
        <v>6.04</v>
      </c>
      <c r="E497" s="108"/>
      <c r="F497" s="127"/>
      <c r="G497" s="128"/>
      <c r="H497" s="504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512"/>
      <c r="P497" s="512"/>
      <c r="Q497" s="512"/>
      <c r="R497" s="512"/>
      <c r="S497" s="512"/>
      <c r="T497" s="512"/>
      <c r="U497" s="512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10" t="s">
        <v>239</v>
      </c>
      <c r="C498" s="510" t="s">
        <v>186</v>
      </c>
      <c r="D498" s="108">
        <v>6.04</v>
      </c>
      <c r="E498" s="108"/>
      <c r="F498" s="127"/>
      <c r="G498" s="128"/>
      <c r="H498" s="50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512"/>
      <c r="P498" s="512"/>
      <c r="Q498" s="512"/>
      <c r="R498" s="512"/>
      <c r="S498" s="512"/>
      <c r="T498" s="512"/>
      <c r="U498" s="512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10" t="s">
        <v>443</v>
      </c>
      <c r="C499" s="510" t="s">
        <v>179</v>
      </c>
      <c r="D499" s="108"/>
      <c r="E499" s="108"/>
      <c r="F499" s="127"/>
      <c r="G499" s="128"/>
      <c r="H499" s="504">
        <f t="shared" si="223"/>
        <v>0</v>
      </c>
      <c r="I499" s="129"/>
      <c r="J499" s="130"/>
      <c r="K499" s="131"/>
      <c r="L499" s="129"/>
      <c r="M499" s="109"/>
      <c r="N499" s="130"/>
      <c r="O499" s="512"/>
      <c r="P499" s="512"/>
      <c r="Q499" s="512"/>
      <c r="R499" s="512"/>
      <c r="S499" s="512"/>
      <c r="T499" s="512"/>
      <c r="U499" s="51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10" t="s">
        <v>443</v>
      </c>
      <c r="C500" s="510" t="s">
        <v>186</v>
      </c>
      <c r="D500" s="108"/>
      <c r="E500" s="108"/>
      <c r="F500" s="127"/>
      <c r="G500" s="128"/>
      <c r="H500" s="504">
        <f t="shared" si="223"/>
        <v>0</v>
      </c>
      <c r="I500" s="129"/>
      <c r="J500" s="130"/>
      <c r="K500" s="131"/>
      <c r="L500" s="129"/>
      <c r="M500" s="109"/>
      <c r="N500" s="130"/>
      <c r="O500" s="512"/>
      <c r="P500" s="512"/>
      <c r="Q500" s="512"/>
      <c r="R500" s="512"/>
      <c r="S500" s="512"/>
      <c r="T500" s="512"/>
      <c r="U500" s="51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03" t="s">
        <v>240</v>
      </c>
      <c r="C501" s="126"/>
      <c r="D501" s="108">
        <v>7.3</v>
      </c>
      <c r="E501" s="108"/>
      <c r="F501" s="127"/>
      <c r="G501" s="128"/>
      <c r="H501" s="504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512"/>
      <c r="P501" s="512"/>
      <c r="Q501" s="512"/>
      <c r="R501" s="512"/>
      <c r="S501" s="512"/>
      <c r="T501" s="512"/>
      <c r="U501" s="512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03" t="s">
        <v>241</v>
      </c>
      <c r="C502" s="126"/>
      <c r="D502" s="108">
        <f>78*120/1000</f>
        <v>9.36</v>
      </c>
      <c r="E502" s="108"/>
      <c r="F502" s="127"/>
      <c r="G502" s="128"/>
      <c r="H502" s="504">
        <f t="shared" si="223"/>
        <v>0</v>
      </c>
      <c r="I502" s="129"/>
      <c r="J502" s="130"/>
      <c r="K502" s="131"/>
      <c r="L502" s="129"/>
      <c r="M502" s="109"/>
      <c r="N502" s="130"/>
      <c r="O502" s="512"/>
      <c r="P502" s="512"/>
      <c r="Q502" s="512"/>
      <c r="R502" s="512"/>
      <c r="S502" s="512"/>
      <c r="T502" s="512"/>
      <c r="U502" s="51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03" t="s">
        <v>242</v>
      </c>
      <c r="C503" s="126"/>
      <c r="D503" s="108">
        <v>4.5</v>
      </c>
      <c r="E503" s="108"/>
      <c r="F503" s="127"/>
      <c r="G503" s="128"/>
      <c r="H503" s="504">
        <f t="shared" si="223"/>
        <v>0</v>
      </c>
      <c r="I503" s="129"/>
      <c r="J503" s="130"/>
      <c r="K503" s="131"/>
      <c r="L503" s="129"/>
      <c r="M503" s="109"/>
      <c r="N503" s="130"/>
      <c r="O503" s="512"/>
      <c r="P503" s="512"/>
      <c r="Q503" s="512"/>
      <c r="R503" s="512"/>
      <c r="S503" s="512"/>
      <c r="T503" s="512"/>
      <c r="U503" s="51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03" t="s">
        <v>243</v>
      </c>
      <c r="C504" s="126"/>
      <c r="D504" s="108">
        <v>4.5</v>
      </c>
      <c r="E504" s="108"/>
      <c r="F504" s="127"/>
      <c r="G504" s="128"/>
      <c r="H504" s="504">
        <f t="shared" si="223"/>
        <v>0</v>
      </c>
      <c r="I504" s="129"/>
      <c r="J504" s="130"/>
      <c r="K504" s="131"/>
      <c r="L504" s="129"/>
      <c r="M504" s="109"/>
      <c r="N504" s="130"/>
      <c r="O504" s="512"/>
      <c r="P504" s="512"/>
      <c r="Q504" s="512"/>
      <c r="R504" s="512"/>
      <c r="S504" s="512"/>
      <c r="T504" s="512"/>
      <c r="U504" s="51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03"/>
      <c r="C505" s="126"/>
      <c r="D505" s="108"/>
      <c r="E505" s="108"/>
      <c r="F505" s="127"/>
      <c r="G505" s="128"/>
      <c r="H505" s="504">
        <f t="shared" si="223"/>
        <v>0</v>
      </c>
      <c r="I505" s="129"/>
      <c r="J505" s="130"/>
      <c r="K505" s="131"/>
      <c r="L505" s="129"/>
      <c r="M505" s="109"/>
      <c r="N505" s="130"/>
      <c r="O505" s="512"/>
      <c r="P505" s="512"/>
      <c r="Q505" s="512"/>
      <c r="R505" s="512"/>
      <c r="S505" s="512"/>
      <c r="T505" s="512"/>
      <c r="U505" s="51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51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506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506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506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506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506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506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506">
        <f>G507</f>
        <v>0</v>
      </c>
      <c r="C514" s="638" t="s">
        <v>269</v>
      </c>
      <c r="D514" s="639"/>
      <c r="E514" s="631">
        <f>H507</f>
        <v>0</v>
      </c>
      <c r="F514" s="631"/>
      <c r="G514" s="631" t="s">
        <v>270</v>
      </c>
      <c r="H514" s="631"/>
      <c r="I514" s="640" t="str">
        <f>L507</f>
        <v/>
      </c>
      <c r="J514" s="640"/>
      <c r="K514" s="628" t="s">
        <v>271</v>
      </c>
      <c r="L514" s="628"/>
      <c r="M514" s="640" t="str">
        <f>J507</f>
        <v/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506">
        <f>I507+C513</f>
        <v>1</v>
      </c>
      <c r="C515" s="641" t="s">
        <v>251</v>
      </c>
      <c r="D515" s="642"/>
      <c r="E515" s="643">
        <f>K507+I513</f>
        <v>11</v>
      </c>
      <c r="F515" s="643"/>
      <c r="G515" s="631" t="s">
        <v>274</v>
      </c>
      <c r="H515" s="631"/>
      <c r="I515" s="640">
        <f>B515-E515</f>
        <v>-10</v>
      </c>
      <c r="J515" s="640"/>
      <c r="K515" s="628" t="s">
        <v>275</v>
      </c>
      <c r="L515" s="628"/>
      <c r="M515" s="632">
        <f>IF(ISERROR(I515/E515),"",I515/E515)</f>
        <v>-0.90909090909090906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506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 t="str">
        <f t="array" ref="M516">IF(ISERROR(I516/B514),"",I516/B514)</f>
        <v/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50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10944</v>
      </c>
      <c r="D519" s="627"/>
      <c r="E519" s="673" t="s">
        <v>269</v>
      </c>
      <c r="F519" s="673"/>
      <c r="G519" s="643">
        <f>SUM(E171,E342,E514)</f>
        <v>55183.61</v>
      </c>
      <c r="H519" s="643"/>
      <c r="I519" s="631" t="s">
        <v>270</v>
      </c>
      <c r="J519" s="673"/>
      <c r="K519" s="626">
        <f>IF(ISERROR(C519/G520),"",C519/G520)</f>
        <v>14.42827689287334</v>
      </c>
      <c r="L519" s="627"/>
      <c r="M519" s="631" t="s">
        <v>271</v>
      </c>
      <c r="N519" s="631"/>
      <c r="O519" s="668">
        <f t="array" ref="O519">IF(ISERROR(C519/C520),"",C519/C520)</f>
        <v>19.016507384882711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575.5</v>
      </c>
      <c r="D520" s="627"/>
      <c r="E520" s="631" t="s">
        <v>251</v>
      </c>
      <c r="F520" s="631"/>
      <c r="G520" s="643">
        <f>SUM(E172,E343,E515)</f>
        <v>758.51053325748455</v>
      </c>
      <c r="H520" s="643"/>
      <c r="I520" s="641" t="s">
        <v>274</v>
      </c>
      <c r="J520" s="642"/>
      <c r="K520" s="638">
        <f>C520-G520</f>
        <v>-183.01053325748455</v>
      </c>
      <c r="L520" s="639"/>
      <c r="M520" s="638" t="s">
        <v>275</v>
      </c>
      <c r="N520" s="639"/>
      <c r="O520" s="671">
        <f>IF(ISERROR(K520/C520),"",K520/C520)</f>
        <v>-0.31800266421804441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0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3222</v>
      </c>
      <c r="D524" s="642"/>
      <c r="E524" s="681">
        <f>IF(ISERROR(C524/C530),"",C524/C530)</f>
        <v>0.29440789473684209</v>
      </c>
      <c r="F524" s="682"/>
      <c r="G524" s="676"/>
      <c r="H524" s="677"/>
      <c r="I524" s="683" t="s">
        <v>301</v>
      </c>
      <c r="J524" s="684"/>
      <c r="K524" s="638">
        <f t="shared" ref="K524:K529" si="238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9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5319</v>
      </c>
      <c r="D525" s="642"/>
      <c r="E525" s="681">
        <f>IF(ISERROR(C525/C530),"",C525/C530)</f>
        <v>0.48601973684210525</v>
      </c>
      <c r="F525" s="682"/>
      <c r="G525" s="676"/>
      <c r="H525" s="677"/>
      <c r="I525" s="683" t="s">
        <v>302</v>
      </c>
      <c r="J525" s="684"/>
      <c r="K525" s="638">
        <f t="shared" si="238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9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1178</v>
      </c>
      <c r="D526" s="642"/>
      <c r="E526" s="681">
        <f>IF(ISERROR(C526/C530),"",C526/C530)</f>
        <v>0.1076388888888889</v>
      </c>
      <c r="F526" s="682"/>
      <c r="G526" s="676"/>
      <c r="H526" s="677"/>
      <c r="I526" s="683" t="s">
        <v>303</v>
      </c>
      <c r="J526" s="684"/>
      <c r="K526" s="638">
        <f t="shared" si="238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9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1083</v>
      </c>
      <c r="D527" s="642"/>
      <c r="E527" s="681">
        <f>IF(ISERROR(C527/C530),"",C527/C530)</f>
        <v>9.8958333333333329E-2</v>
      </c>
      <c r="F527" s="682"/>
      <c r="G527" s="676"/>
      <c r="H527" s="677"/>
      <c r="I527" s="683" t="s">
        <v>304</v>
      </c>
      <c r="J527" s="684"/>
      <c r="K527" s="638">
        <f t="shared" si="238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9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142</v>
      </c>
      <c r="D528" s="642"/>
      <c r="E528" s="681">
        <f>IF(ISERROR(C528/C530),"",C528/C530)</f>
        <v>1.2975146198830409E-2</v>
      </c>
      <c r="F528" s="682"/>
      <c r="G528" s="676"/>
      <c r="H528" s="677"/>
      <c r="I528" s="683" t="s">
        <v>306</v>
      </c>
      <c r="J528" s="684"/>
      <c r="K528" s="638">
        <f t="shared" si="238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9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0</v>
      </c>
      <c r="D529" s="642"/>
      <c r="E529" s="681">
        <f>IF(ISERROR(C529/C530),"",C529/C530)</f>
        <v>0</v>
      </c>
      <c r="F529" s="682"/>
      <c r="G529" s="676"/>
      <c r="H529" s="677"/>
      <c r="I529" s="683" t="s">
        <v>307</v>
      </c>
      <c r="J529" s="684"/>
      <c r="K529" s="638">
        <f t="shared" si="238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9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10944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510" t="s">
        <v>309</v>
      </c>
      <c r="D532" s="510" t="s">
        <v>310</v>
      </c>
      <c r="E532" s="510" t="s">
        <v>311</v>
      </c>
      <c r="F532" s="51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1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04" t="s">
        <v>322</v>
      </c>
      <c r="Q532" s="129" t="s">
        <v>323</v>
      </c>
      <c r="R532" s="109" t="s">
        <v>324</v>
      </c>
      <c r="S532" s="510" t="s">
        <v>325</v>
      </c>
      <c r="T532" s="51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+'9'!C533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11">
        <f t="array" ref="S533">IF(ISERROR(Q533/J533),"",Q533/J533)</f>
        <v>1</v>
      </c>
      <c r="T533" s="51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44</v>
      </c>
      <c r="D534" s="106">
        <f>+'9'!C534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511">
        <f t="array" ref="S534">IF(ISERROR(Q534/J534),"",Q534/J534)</f>
        <v>0.97727272727272729</v>
      </c>
      <c r="T534" s="51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+'9'!C535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11">
        <f t="array" ref="S535">IF(ISERROR(Q535/J535),"",Q535/J535)</f>
        <v>1</v>
      </c>
      <c r="T535" s="51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100</v>
      </c>
      <c r="D536" s="112">
        <f t="shared" ref="D536:N536" si="240">SUM(D533:D535)</f>
        <v>100</v>
      </c>
      <c r="E536" s="112">
        <f t="shared" si="240"/>
        <v>0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100</v>
      </c>
      <c r="K536" s="112">
        <f t="shared" si="240"/>
        <v>1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98" activePane="bottomRight" state="frozen"/>
      <selection activeCell="E487" sqref="E487"/>
      <selection pane="topRight" activeCell="E487" sqref="E487"/>
      <selection pane="bottomLeft" activeCell="E487" sqref="E487"/>
      <selection pane="bottomRight" activeCell="E40" sqref="E4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526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515" t="s">
        <v>178</v>
      </c>
      <c r="C7" s="126" t="s">
        <v>179</v>
      </c>
      <c r="D7" s="108">
        <v>5.03</v>
      </c>
      <c r="E7" s="108"/>
      <c r="F7" s="127"/>
      <c r="G7" s="128"/>
      <c r="H7" s="51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24"/>
      <c r="P7" s="524"/>
      <c r="Q7" s="524"/>
      <c r="R7" s="524"/>
      <c r="S7" s="524"/>
      <c r="T7" s="524"/>
      <c r="U7" s="52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1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24"/>
      <c r="Q8" s="524"/>
      <c r="R8" s="524"/>
      <c r="S8" s="524"/>
      <c r="T8" s="524"/>
      <c r="U8" s="52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1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24"/>
      <c r="P9" s="524"/>
      <c r="Q9" s="524"/>
      <c r="R9" s="524"/>
      <c r="S9" s="524"/>
      <c r="T9" s="524"/>
      <c r="U9" s="52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1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24"/>
      <c r="P10" s="524"/>
      <c r="Q10" s="524"/>
      <c r="R10" s="524"/>
      <c r="S10" s="524"/>
      <c r="T10" s="524"/>
      <c r="U10" s="52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1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24"/>
      <c r="P11" s="524"/>
      <c r="Q11" s="524"/>
      <c r="R11" s="524"/>
      <c r="S11" s="524"/>
      <c r="T11" s="524"/>
      <c r="U11" s="52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1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24"/>
      <c r="P12" s="524"/>
      <c r="Q12" s="524"/>
      <c r="R12" s="524"/>
      <c r="S12" s="524"/>
      <c r="T12" s="524"/>
      <c r="U12" s="52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1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24"/>
      <c r="P13" s="524"/>
      <c r="Q13" s="524"/>
      <c r="R13" s="524"/>
      <c r="S13" s="524"/>
      <c r="T13" s="524"/>
      <c r="U13" s="52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1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24"/>
      <c r="P14" s="524"/>
      <c r="Q14" s="524"/>
      <c r="R14" s="524"/>
      <c r="S14" s="524"/>
      <c r="T14" s="524"/>
      <c r="U14" s="52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16">
        <f t="shared" si="0"/>
        <v>0</v>
      </c>
      <c r="I15" s="51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24"/>
      <c r="P15" s="524"/>
      <c r="Q15" s="524"/>
      <c r="R15" s="524"/>
      <c r="S15" s="524"/>
      <c r="T15" s="524"/>
      <c r="U15" s="52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16">
        <f t="shared" si="0"/>
        <v>0</v>
      </c>
      <c r="I16" s="51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24"/>
      <c r="P16" s="524"/>
      <c r="Q16" s="524"/>
      <c r="R16" s="524"/>
      <c r="S16" s="524"/>
      <c r="T16" s="524"/>
      <c r="U16" s="52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1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24"/>
      <c r="P17" s="524"/>
      <c r="Q17" s="524"/>
      <c r="R17" s="524"/>
      <c r="S17" s="524"/>
      <c r="T17" s="524"/>
      <c r="U17" s="52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1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24"/>
      <c r="P18" s="524"/>
      <c r="Q18" s="524"/>
      <c r="R18" s="524"/>
      <c r="S18" s="524"/>
      <c r="T18" s="524"/>
      <c r="U18" s="524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42744</v>
      </c>
      <c r="G19" s="128">
        <f>58+37+90</f>
        <v>185</v>
      </c>
      <c r="H19" s="516">
        <f t="shared" si="0"/>
        <v>936.09999999999991</v>
      </c>
      <c r="I19" s="129">
        <f>3.5*5</f>
        <v>17.5</v>
      </c>
      <c r="J19" s="129">
        <f t="array" ref="J19">IF(ISERROR(G19/I19),"",G19/I19)</f>
        <v>10.571428571428571</v>
      </c>
      <c r="K19" s="131">
        <f t="array" ref="K19">IF(ISERROR(G19/L19),"",G19/L19)</f>
        <v>9.7368421052631575</v>
      </c>
      <c r="L19" s="129">
        <v>19</v>
      </c>
      <c r="M19" s="109">
        <f t="shared" si="1"/>
        <v>7.7631578947368425</v>
      </c>
      <c r="N19" s="129">
        <f t="shared" si="4"/>
        <v>0</v>
      </c>
      <c r="O19" s="524"/>
      <c r="P19" s="524"/>
      <c r="Q19" s="524"/>
      <c r="R19" s="524"/>
      <c r="S19" s="524"/>
      <c r="T19" s="524"/>
      <c r="U19" s="524"/>
      <c r="V19" s="132">
        <f t="shared" ref="V19:V21" si="5">SUM(X19:AA19)</f>
        <v>0</v>
      </c>
      <c r="W19" s="517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51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24"/>
      <c r="P20" s="524"/>
      <c r="Q20" s="524"/>
      <c r="R20" s="524"/>
      <c r="S20" s="524"/>
      <c r="T20" s="524"/>
      <c r="U20" s="52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1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24"/>
      <c r="P21" s="524"/>
      <c r="Q21" s="524"/>
      <c r="R21" s="524"/>
      <c r="S21" s="524"/>
      <c r="T21" s="524"/>
      <c r="U21" s="52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2" t="s">
        <v>190</v>
      </c>
      <c r="D22" s="108">
        <v>4.8</v>
      </c>
      <c r="E22" s="108"/>
      <c r="F22" s="127"/>
      <c r="G22" s="128"/>
      <c r="H22" s="51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24"/>
      <c r="P22" s="524"/>
      <c r="Q22" s="524"/>
      <c r="R22" s="524"/>
      <c r="S22" s="524"/>
      <c r="T22" s="524"/>
      <c r="U22" s="52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2" t="s">
        <v>187</v>
      </c>
      <c r="D23" s="108">
        <v>4.8</v>
      </c>
      <c r="E23" s="108"/>
      <c r="F23" s="127"/>
      <c r="G23" s="128"/>
      <c r="H23" s="51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24"/>
      <c r="P23" s="524"/>
      <c r="Q23" s="524"/>
      <c r="R23" s="524"/>
      <c r="S23" s="524"/>
      <c r="T23" s="524"/>
      <c r="U23" s="52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2" t="s">
        <v>179</v>
      </c>
      <c r="D24" s="108">
        <v>4.8</v>
      </c>
      <c r="E24" s="108"/>
      <c r="F24" s="127"/>
      <c r="G24" s="128"/>
      <c r="H24" s="51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24"/>
      <c r="P24" s="524"/>
      <c r="Q24" s="524"/>
      <c r="R24" s="524"/>
      <c r="S24" s="524"/>
      <c r="T24" s="524"/>
      <c r="U24" s="52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2" t="s">
        <v>199</v>
      </c>
      <c r="D25" s="108">
        <v>4.8</v>
      </c>
      <c r="E25" s="108"/>
      <c r="F25" s="127"/>
      <c r="G25" s="128"/>
      <c r="H25" s="51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24"/>
      <c r="P25" s="524"/>
      <c r="Q25" s="524"/>
      <c r="R25" s="524"/>
      <c r="S25" s="524"/>
      <c r="T25" s="524"/>
      <c r="U25" s="52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1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24"/>
      <c r="P26" s="524"/>
      <c r="Q26" s="524"/>
      <c r="R26" s="524"/>
      <c r="S26" s="524"/>
      <c r="T26" s="524"/>
      <c r="U26" s="52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42745</v>
      </c>
      <c r="G27" s="128">
        <f>100+100</f>
        <v>200</v>
      </c>
      <c r="H27" s="516">
        <f t="shared" si="0"/>
        <v>998</v>
      </c>
      <c r="I27" s="129">
        <f>1*5</f>
        <v>5</v>
      </c>
      <c r="J27" s="130">
        <f t="array" ref="J27">IF(ISERROR(G27/I27),"",G27/I27)</f>
        <v>40</v>
      </c>
      <c r="K27" s="131">
        <f t="array" ref="K27">IF(ISERROR(G27/L27),"",G27/L27)</f>
        <v>8.5106382978723403</v>
      </c>
      <c r="L27" s="129">
        <v>23.5</v>
      </c>
      <c r="M27" s="109">
        <f t="shared" si="1"/>
        <v>-3.5106382978723403</v>
      </c>
      <c r="N27" s="130">
        <f t="shared" si="7"/>
        <v>0</v>
      </c>
      <c r="O27" s="524"/>
      <c r="P27" s="524"/>
      <c r="Q27" s="524"/>
      <c r="R27" s="524"/>
      <c r="S27" s="524"/>
      <c r="T27" s="524"/>
      <c r="U27" s="524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525" t="s">
        <v>202</v>
      </c>
      <c r="D28" s="143"/>
      <c r="E28" s="143"/>
      <c r="F28" s="144"/>
      <c r="G28" s="145">
        <f>SUM(G7:G27)</f>
        <v>385</v>
      </c>
      <c r="H28" s="146">
        <f>SUM(H7:H27)</f>
        <v>1934.1</v>
      </c>
      <c r="I28" s="146">
        <f>SUM(I7:I27)</f>
        <v>22.5</v>
      </c>
      <c r="J28" s="130">
        <f t="array" ref="J28">IF(ISERROR(G28/I28),"",G28/I28)</f>
        <v>17.111111111111111</v>
      </c>
      <c r="K28" s="146">
        <f>SUM(K7:K27)</f>
        <v>18.247480403135498</v>
      </c>
      <c r="L28" s="147"/>
      <c r="M28" s="146">
        <f t="shared" ref="M28:V28" si="10">SUM(M7:M27)</f>
        <v>4.2525195968645022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15" t="s">
        <v>206</v>
      </c>
      <c r="C29" s="126" t="s">
        <v>199</v>
      </c>
      <c r="D29" s="108">
        <v>5.03</v>
      </c>
      <c r="E29" s="108"/>
      <c r="F29" s="127">
        <v>42746</v>
      </c>
      <c r="G29" s="128">
        <f>108+72</f>
        <v>180</v>
      </c>
      <c r="H29" s="516">
        <f t="shared" ref="H29:H85" si="11">D29*G29</f>
        <v>905.40000000000009</v>
      </c>
      <c r="I29" s="129">
        <f>1.5+0.5</f>
        <v>2</v>
      </c>
      <c r="J29" s="130">
        <f t="array" ref="J29">IF(ISERROR(G29/I29),"",G29/I29)</f>
        <v>90</v>
      </c>
      <c r="K29" s="131">
        <f t="array" ref="K29">IF(ISERROR(G29/L29),"",G29/L29)</f>
        <v>3.4615384615384617</v>
      </c>
      <c r="L29" s="129">
        <v>52</v>
      </c>
      <c r="M29" s="109">
        <f t="shared" ref="M29" si="12">IF(ISERROR(I29-K29),"",I29-K29)</f>
        <v>-1.4615384615384617</v>
      </c>
      <c r="N29" s="130">
        <f t="shared" ref="N29" si="13">SUM(O29:U29)</f>
        <v>0</v>
      </c>
      <c r="O29" s="520"/>
      <c r="P29" s="520"/>
      <c r="Q29" s="520"/>
      <c r="R29" s="520"/>
      <c r="S29" s="520"/>
      <c r="T29" s="520"/>
      <c r="U29" s="520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15" t="s">
        <v>425</v>
      </c>
      <c r="C30" s="187" t="s">
        <v>427</v>
      </c>
      <c r="D30" s="108">
        <v>5.03</v>
      </c>
      <c r="E30" s="108"/>
      <c r="F30" s="127"/>
      <c r="G30" s="128"/>
      <c r="H30" s="51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20"/>
      <c r="P30" s="520"/>
      <c r="Q30" s="520"/>
      <c r="R30" s="520"/>
      <c r="S30" s="520"/>
      <c r="T30" s="520"/>
      <c r="U30" s="52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15" t="s">
        <v>206</v>
      </c>
      <c r="C31" s="126" t="s">
        <v>186</v>
      </c>
      <c r="D31" s="108">
        <v>5.03</v>
      </c>
      <c r="E31" s="108"/>
      <c r="F31" s="127"/>
      <c r="G31" s="128"/>
      <c r="H31" s="51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20"/>
      <c r="P31" s="520"/>
      <c r="Q31" s="520"/>
      <c r="R31" s="520"/>
      <c r="S31" s="520"/>
      <c r="T31" s="520"/>
      <c r="U31" s="52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15" t="s">
        <v>206</v>
      </c>
      <c r="C32" s="126" t="s">
        <v>203</v>
      </c>
      <c r="D32" s="108">
        <v>5.03</v>
      </c>
      <c r="E32" s="108"/>
      <c r="F32" s="127"/>
      <c r="G32" s="128"/>
      <c r="H32" s="51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20"/>
      <c r="P32" s="520"/>
      <c r="Q32" s="520"/>
      <c r="R32" s="520"/>
      <c r="S32" s="520"/>
      <c r="T32" s="520"/>
      <c r="U32" s="52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15" t="s">
        <v>206</v>
      </c>
      <c r="C33" s="126" t="s">
        <v>207</v>
      </c>
      <c r="D33" s="108">
        <v>5.03</v>
      </c>
      <c r="E33" s="108"/>
      <c r="F33" s="127"/>
      <c r="G33" s="128"/>
      <c r="H33" s="51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20"/>
      <c r="P33" s="520"/>
      <c r="Q33" s="520"/>
      <c r="R33" s="520"/>
      <c r="S33" s="520"/>
      <c r="T33" s="520"/>
      <c r="U33" s="52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15" t="s">
        <v>414</v>
      </c>
      <c r="C34" s="187" t="s">
        <v>415</v>
      </c>
      <c r="D34" s="108">
        <v>5.03</v>
      </c>
      <c r="E34" s="108"/>
      <c r="F34" s="127"/>
      <c r="G34" s="128"/>
      <c r="H34" s="516">
        <f t="shared" si="11"/>
        <v>0</v>
      </c>
      <c r="I34" s="129"/>
      <c r="J34" s="130"/>
      <c r="K34" s="131"/>
      <c r="L34" s="129">
        <v>52</v>
      </c>
      <c r="M34" s="109"/>
      <c r="N34" s="130"/>
      <c r="O34" s="520"/>
      <c r="P34" s="520"/>
      <c r="Q34" s="520"/>
      <c r="R34" s="520"/>
      <c r="S34" s="520"/>
      <c r="T34" s="520"/>
      <c r="U34" s="52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15" t="s">
        <v>414</v>
      </c>
      <c r="C35" s="187" t="s">
        <v>416</v>
      </c>
      <c r="D35" s="108">
        <v>5.03</v>
      </c>
      <c r="E35" s="108"/>
      <c r="F35" s="127"/>
      <c r="G35" s="128"/>
      <c r="H35" s="516">
        <f t="shared" si="11"/>
        <v>0</v>
      </c>
      <c r="I35" s="129"/>
      <c r="J35" s="130"/>
      <c r="K35" s="131"/>
      <c r="L35" s="129">
        <v>52</v>
      </c>
      <c r="M35" s="109"/>
      <c r="N35" s="130"/>
      <c r="O35" s="520"/>
      <c r="P35" s="520"/>
      <c r="Q35" s="520"/>
      <c r="R35" s="520"/>
      <c r="S35" s="520"/>
      <c r="T35" s="520"/>
      <c r="U35" s="52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15" t="s">
        <v>414</v>
      </c>
      <c r="C36" s="187" t="s">
        <v>61</v>
      </c>
      <c r="D36" s="108">
        <v>5.03</v>
      </c>
      <c r="E36" s="108"/>
      <c r="F36" s="127"/>
      <c r="G36" s="128"/>
      <c r="H36" s="516">
        <f t="shared" si="11"/>
        <v>0</v>
      </c>
      <c r="I36" s="129"/>
      <c r="J36" s="130"/>
      <c r="K36" s="131"/>
      <c r="L36" s="129">
        <v>52</v>
      </c>
      <c r="M36" s="109"/>
      <c r="N36" s="130"/>
      <c r="O36" s="520"/>
      <c r="P36" s="520"/>
      <c r="Q36" s="520"/>
      <c r="R36" s="520"/>
      <c r="S36" s="520"/>
      <c r="T36" s="520"/>
      <c r="U36" s="52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15" t="s">
        <v>208</v>
      </c>
      <c r="C37" s="126" t="s">
        <v>179</v>
      </c>
      <c r="D37" s="108">
        <v>5.08</v>
      </c>
      <c r="E37" s="108"/>
      <c r="F37" s="127"/>
      <c r="G37" s="128"/>
      <c r="H37" s="51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20"/>
      <c r="P37" s="520"/>
      <c r="Q37" s="520"/>
      <c r="R37" s="520"/>
      <c r="S37" s="520"/>
      <c r="T37" s="520"/>
      <c r="U37" s="52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15" t="s">
        <v>208</v>
      </c>
      <c r="C38" s="126" t="s">
        <v>204</v>
      </c>
      <c r="D38" s="108">
        <v>5.08</v>
      </c>
      <c r="E38" s="108"/>
      <c r="F38" s="127"/>
      <c r="G38" s="128"/>
      <c r="H38" s="51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20"/>
      <c r="P38" s="520"/>
      <c r="Q38" s="520"/>
      <c r="R38" s="520"/>
      <c r="S38" s="520"/>
      <c r="T38" s="520"/>
      <c r="U38" s="52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15" t="s">
        <v>208</v>
      </c>
      <c r="C39" s="126" t="s">
        <v>205</v>
      </c>
      <c r="D39" s="108">
        <v>5.08</v>
      </c>
      <c r="E39" s="108"/>
      <c r="F39" s="127"/>
      <c r="G39" s="128"/>
      <c r="H39" s="51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20"/>
      <c r="P39" s="520"/>
      <c r="Q39" s="520"/>
      <c r="R39" s="520"/>
      <c r="S39" s="520"/>
      <c r="T39" s="520"/>
      <c r="U39" s="52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515" t="s">
        <v>208</v>
      </c>
      <c r="C40" s="126" t="s">
        <v>186</v>
      </c>
      <c r="D40" s="108">
        <v>5.08</v>
      </c>
      <c r="E40" s="108"/>
      <c r="F40" s="127">
        <v>42745</v>
      </c>
      <c r="G40" s="128">
        <f>108*2+72</f>
        <v>288</v>
      </c>
      <c r="H40" s="516">
        <f t="shared" si="11"/>
        <v>1463.04</v>
      </c>
      <c r="I40" s="129">
        <f>3.5*3</f>
        <v>10.5</v>
      </c>
      <c r="J40" s="130">
        <f t="array" ref="J40">IF(ISERROR(G40/I40),"",G40/I40)</f>
        <v>27.428571428571427</v>
      </c>
      <c r="K40" s="131">
        <f t="array" ref="K40">IF(ISERROR(G40/L40),"",G40/L40)</f>
        <v>13.714285714285714</v>
      </c>
      <c r="L40" s="129">
        <v>21</v>
      </c>
      <c r="M40" s="109">
        <f t="shared" si="19"/>
        <v>-3.2142857142857135</v>
      </c>
      <c r="N40" s="130">
        <f t="shared" si="20"/>
        <v>0</v>
      </c>
      <c r="O40" s="520"/>
      <c r="P40" s="520"/>
      <c r="Q40" s="520"/>
      <c r="R40" s="520"/>
      <c r="S40" s="520"/>
      <c r="T40" s="520"/>
      <c r="U40" s="520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15" t="s">
        <v>208</v>
      </c>
      <c r="C41" s="126" t="s">
        <v>203</v>
      </c>
      <c r="D41" s="108">
        <v>5.08</v>
      </c>
      <c r="E41" s="108"/>
      <c r="F41" s="127"/>
      <c r="G41" s="128"/>
      <c r="H41" s="51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20"/>
      <c r="P41" s="520"/>
      <c r="Q41" s="520"/>
      <c r="R41" s="520"/>
      <c r="S41" s="520"/>
      <c r="T41" s="520"/>
      <c r="U41" s="52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15" t="s">
        <v>208</v>
      </c>
      <c r="C42" s="126" t="s">
        <v>199</v>
      </c>
      <c r="D42" s="108">
        <v>5.08</v>
      </c>
      <c r="E42" s="108"/>
      <c r="F42" s="127"/>
      <c r="G42" s="128"/>
      <c r="H42" s="51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24"/>
      <c r="P42" s="524"/>
      <c r="Q42" s="524"/>
      <c r="R42" s="524"/>
      <c r="S42" s="524"/>
      <c r="T42" s="524"/>
      <c r="U42" s="52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15" t="s">
        <v>208</v>
      </c>
      <c r="C43" s="126" t="s">
        <v>187</v>
      </c>
      <c r="D43" s="108">
        <v>5.08</v>
      </c>
      <c r="E43" s="108"/>
      <c r="F43" s="127"/>
      <c r="G43" s="128"/>
      <c r="H43" s="51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20"/>
      <c r="P43" s="520"/>
      <c r="Q43" s="520"/>
      <c r="R43" s="520"/>
      <c r="S43" s="520"/>
      <c r="T43" s="520"/>
      <c r="U43" s="52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15" t="s">
        <v>208</v>
      </c>
      <c r="C44" s="126" t="s">
        <v>207</v>
      </c>
      <c r="D44" s="108">
        <v>5.08</v>
      </c>
      <c r="E44" s="108"/>
      <c r="F44" s="127"/>
      <c r="G44" s="128"/>
      <c r="H44" s="51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24"/>
      <c r="P44" s="524"/>
      <c r="Q44" s="524"/>
      <c r="R44" s="524"/>
      <c r="S44" s="524"/>
      <c r="T44" s="524"/>
      <c r="U44" s="52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15" t="s">
        <v>209</v>
      </c>
      <c r="C45" s="126" t="s">
        <v>194</v>
      </c>
      <c r="D45" s="108">
        <v>5.03</v>
      </c>
      <c r="E45" s="108"/>
      <c r="F45" s="127"/>
      <c r="G45" s="128"/>
      <c r="H45" s="51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20"/>
      <c r="P45" s="520"/>
      <c r="Q45" s="520"/>
      <c r="R45" s="520"/>
      <c r="S45" s="520"/>
      <c r="T45" s="520"/>
      <c r="U45" s="52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15" t="s">
        <v>209</v>
      </c>
      <c r="C46" s="126" t="s">
        <v>179</v>
      </c>
      <c r="D46" s="108">
        <v>5.03</v>
      </c>
      <c r="E46" s="108"/>
      <c r="F46" s="127"/>
      <c r="G46" s="128"/>
      <c r="H46" s="51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20"/>
      <c r="P46" s="520"/>
      <c r="Q46" s="520"/>
      <c r="R46" s="520"/>
      <c r="S46" s="520"/>
      <c r="T46" s="520"/>
      <c r="U46" s="52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15" t="s">
        <v>209</v>
      </c>
      <c r="C47" s="126" t="s">
        <v>195</v>
      </c>
      <c r="D47" s="108">
        <v>5.03</v>
      </c>
      <c r="E47" s="108"/>
      <c r="F47" s="127"/>
      <c r="G47" s="128"/>
      <c r="H47" s="51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20"/>
      <c r="P47" s="520"/>
      <c r="Q47" s="520"/>
      <c r="R47" s="520"/>
      <c r="S47" s="520"/>
      <c r="T47" s="520"/>
      <c r="U47" s="52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15" t="s">
        <v>209</v>
      </c>
      <c r="C48" s="126" t="s">
        <v>204</v>
      </c>
      <c r="D48" s="108">
        <v>5.03</v>
      </c>
      <c r="E48" s="108"/>
      <c r="F48" s="127"/>
      <c r="G48" s="128"/>
      <c r="H48" s="51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20"/>
      <c r="P48" s="520"/>
      <c r="Q48" s="520"/>
      <c r="R48" s="520"/>
      <c r="S48" s="520"/>
      <c r="T48" s="520"/>
      <c r="U48" s="52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15" t="s">
        <v>382</v>
      </c>
      <c r="C49" s="187" t="s">
        <v>383</v>
      </c>
      <c r="D49" s="108">
        <v>5.03</v>
      </c>
      <c r="E49" s="108"/>
      <c r="F49" s="127"/>
      <c r="G49" s="128"/>
      <c r="H49" s="51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20"/>
      <c r="P49" s="520"/>
      <c r="Q49" s="520"/>
      <c r="R49" s="520"/>
      <c r="S49" s="520"/>
      <c r="T49" s="520"/>
      <c r="U49" s="52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15" t="s">
        <v>382</v>
      </c>
      <c r="C50" s="187" t="s">
        <v>384</v>
      </c>
      <c r="D50" s="108">
        <v>5.03</v>
      </c>
      <c r="E50" s="108"/>
      <c r="F50" s="127"/>
      <c r="G50" s="128"/>
      <c r="H50" s="51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20"/>
      <c r="P50" s="520"/>
      <c r="Q50" s="520"/>
      <c r="R50" s="520"/>
      <c r="S50" s="520"/>
      <c r="T50" s="520"/>
      <c r="U50" s="52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15" t="s">
        <v>382</v>
      </c>
      <c r="C51" s="187" t="s">
        <v>389</v>
      </c>
      <c r="D51" s="108">
        <v>5.03</v>
      </c>
      <c r="E51" s="108"/>
      <c r="F51" s="127"/>
      <c r="G51" s="128"/>
      <c r="H51" s="51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20"/>
      <c r="P51" s="520"/>
      <c r="Q51" s="520"/>
      <c r="R51" s="520"/>
      <c r="S51" s="520"/>
      <c r="T51" s="520"/>
      <c r="U51" s="52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15" t="s">
        <v>382</v>
      </c>
      <c r="C52" s="187" t="s">
        <v>391</v>
      </c>
      <c r="D52" s="108">
        <v>5.03</v>
      </c>
      <c r="E52" s="108"/>
      <c r="F52" s="127"/>
      <c r="G52" s="128"/>
      <c r="H52" s="51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20"/>
      <c r="P52" s="520"/>
      <c r="Q52" s="520"/>
      <c r="R52" s="520"/>
      <c r="S52" s="520"/>
      <c r="T52" s="520"/>
      <c r="U52" s="52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15" t="s">
        <v>418</v>
      </c>
      <c r="C53" s="187" t="s">
        <v>364</v>
      </c>
      <c r="D53" s="108">
        <v>5.03</v>
      </c>
      <c r="E53" s="108"/>
      <c r="F53" s="127"/>
      <c r="G53" s="128"/>
      <c r="H53" s="51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20"/>
      <c r="P53" s="520"/>
      <c r="Q53" s="520"/>
      <c r="R53" s="520"/>
      <c r="S53" s="520"/>
      <c r="T53" s="520"/>
      <c r="U53" s="52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15" t="s">
        <v>418</v>
      </c>
      <c r="C54" s="187" t="s">
        <v>365</v>
      </c>
      <c r="D54" s="108">
        <v>5.03</v>
      </c>
      <c r="E54" s="108"/>
      <c r="F54" s="127"/>
      <c r="G54" s="128"/>
      <c r="H54" s="51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20"/>
      <c r="P54" s="520"/>
      <c r="Q54" s="520"/>
      <c r="R54" s="520"/>
      <c r="S54" s="520"/>
      <c r="T54" s="520"/>
      <c r="U54" s="52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15" t="s">
        <v>418</v>
      </c>
      <c r="C55" s="187" t="s">
        <v>366</v>
      </c>
      <c r="D55" s="108">
        <v>5.03</v>
      </c>
      <c r="E55" s="108"/>
      <c r="F55" s="127"/>
      <c r="G55" s="128"/>
      <c r="H55" s="51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20"/>
      <c r="P55" s="520"/>
      <c r="Q55" s="520"/>
      <c r="R55" s="520"/>
      <c r="S55" s="520"/>
      <c r="T55" s="520"/>
      <c r="U55" s="52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15" t="s">
        <v>418</v>
      </c>
      <c r="C56" s="187" t="s">
        <v>367</v>
      </c>
      <c r="D56" s="108">
        <v>5.03</v>
      </c>
      <c r="E56" s="108"/>
      <c r="F56" s="127"/>
      <c r="G56" s="128"/>
      <c r="H56" s="51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20"/>
      <c r="P56" s="520"/>
      <c r="Q56" s="520"/>
      <c r="R56" s="520"/>
      <c r="S56" s="520"/>
      <c r="T56" s="520"/>
      <c r="U56" s="52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1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24"/>
      <c r="P57" s="524"/>
      <c r="Q57" s="524"/>
      <c r="R57" s="524"/>
      <c r="S57" s="524"/>
      <c r="T57" s="524"/>
      <c r="U57" s="52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1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24"/>
      <c r="P58" s="524"/>
      <c r="Q58" s="524"/>
      <c r="R58" s="524"/>
      <c r="S58" s="524"/>
      <c r="T58" s="524"/>
      <c r="U58" s="52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1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24"/>
      <c r="P59" s="524"/>
      <c r="Q59" s="524"/>
      <c r="R59" s="524"/>
      <c r="S59" s="524"/>
      <c r="T59" s="524"/>
      <c r="U59" s="52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1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24"/>
      <c r="P60" s="524"/>
      <c r="Q60" s="524"/>
      <c r="R60" s="524"/>
      <c r="S60" s="524"/>
      <c r="T60" s="524"/>
      <c r="U60" s="52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1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24"/>
      <c r="P61" s="524"/>
      <c r="Q61" s="524"/>
      <c r="R61" s="524"/>
      <c r="S61" s="524"/>
      <c r="T61" s="524"/>
      <c r="U61" s="52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1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24"/>
      <c r="P62" s="524"/>
      <c r="Q62" s="524"/>
      <c r="R62" s="524"/>
      <c r="S62" s="524"/>
      <c r="T62" s="524"/>
      <c r="U62" s="52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1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24"/>
      <c r="P63" s="524"/>
      <c r="Q63" s="524"/>
      <c r="R63" s="524"/>
      <c r="S63" s="524"/>
      <c r="T63" s="524"/>
      <c r="U63" s="52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1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24"/>
      <c r="P64" s="524"/>
      <c r="Q64" s="524"/>
      <c r="R64" s="524"/>
      <c r="S64" s="524"/>
      <c r="T64" s="524"/>
      <c r="U64" s="52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42744</v>
      </c>
      <c r="G65" s="527">
        <f>90</f>
        <v>90</v>
      </c>
      <c r="H65" s="516">
        <f t="shared" si="11"/>
        <v>452.70000000000005</v>
      </c>
      <c r="I65" s="129">
        <v>2</v>
      </c>
      <c r="J65" s="130">
        <f t="array" ref="J65">IF(ISERROR(G65/I65),"",G65/I65)</f>
        <v>45</v>
      </c>
      <c r="K65" s="131">
        <f t="array" ref="K65">IF(ISERROR(G65/L65),"",G65/L65)</f>
        <v>1.8</v>
      </c>
      <c r="L65" s="129">
        <v>50</v>
      </c>
      <c r="M65" s="109">
        <f t="shared" si="19"/>
        <v>0.19999999999999996</v>
      </c>
      <c r="N65" s="130">
        <f t="shared" si="23"/>
        <v>0</v>
      </c>
      <c r="O65" s="524"/>
      <c r="P65" s="524"/>
      <c r="Q65" s="524"/>
      <c r="R65" s="524"/>
      <c r="S65" s="524"/>
      <c r="T65" s="524"/>
      <c r="U65" s="524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1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24"/>
      <c r="P66" s="524"/>
      <c r="Q66" s="524"/>
      <c r="R66" s="524"/>
      <c r="S66" s="524"/>
      <c r="T66" s="524"/>
      <c r="U66" s="52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42744</v>
      </c>
      <c r="G67" s="128">
        <f>90*2+30+90</f>
        <v>300</v>
      </c>
      <c r="H67" s="516">
        <f t="shared" si="11"/>
        <v>1509</v>
      </c>
      <c r="I67" s="129">
        <v>3.5</v>
      </c>
      <c r="J67" s="130">
        <f t="array" ref="J67">IF(ISERROR(G67/I67),"",G67/I67)</f>
        <v>85.714285714285708</v>
      </c>
      <c r="K67" s="131">
        <f t="array" ref="K67">IF(ISERROR(G67/L67),"",G67/L67)</f>
        <v>6</v>
      </c>
      <c r="L67" s="129">
        <v>50</v>
      </c>
      <c r="M67" s="109">
        <f t="shared" si="19"/>
        <v>-2.5</v>
      </c>
      <c r="N67" s="130"/>
      <c r="O67" s="524"/>
      <c r="P67" s="524"/>
      <c r="Q67" s="524"/>
      <c r="R67" s="524"/>
      <c r="S67" s="524"/>
      <c r="T67" s="524"/>
      <c r="U67" s="52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1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24"/>
      <c r="P68" s="524"/>
      <c r="Q68" s="524"/>
      <c r="R68" s="524"/>
      <c r="S68" s="524"/>
      <c r="T68" s="524"/>
      <c r="U68" s="52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1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24"/>
      <c r="P69" s="524"/>
      <c r="Q69" s="524"/>
      <c r="R69" s="524"/>
      <c r="S69" s="524"/>
      <c r="T69" s="524"/>
      <c r="U69" s="52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1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24"/>
      <c r="P70" s="524"/>
      <c r="Q70" s="524"/>
      <c r="R70" s="524"/>
      <c r="S70" s="524"/>
      <c r="T70" s="524"/>
      <c r="U70" s="52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16">
        <f t="shared" si="11"/>
        <v>0</v>
      </c>
      <c r="I71" s="129"/>
      <c r="J71" s="130"/>
      <c r="K71" s="131"/>
      <c r="L71" s="129"/>
      <c r="M71" s="109"/>
      <c r="N71" s="130"/>
      <c r="O71" s="524"/>
      <c r="P71" s="524"/>
      <c r="Q71" s="524"/>
      <c r="R71" s="524"/>
      <c r="S71" s="524"/>
      <c r="T71" s="524"/>
      <c r="U71" s="52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1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24"/>
      <c r="P72" s="524"/>
      <c r="Q72" s="524"/>
      <c r="R72" s="524"/>
      <c r="S72" s="524"/>
      <c r="T72" s="524"/>
      <c r="U72" s="52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1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24"/>
      <c r="P73" s="524"/>
      <c r="Q73" s="524"/>
      <c r="R73" s="524"/>
      <c r="S73" s="524"/>
      <c r="T73" s="524"/>
      <c r="U73" s="52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1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24"/>
      <c r="P74" s="524"/>
      <c r="Q74" s="524"/>
      <c r="R74" s="524"/>
      <c r="S74" s="524"/>
      <c r="T74" s="524"/>
      <c r="U74" s="52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1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24"/>
      <c r="P75" s="524"/>
      <c r="Q75" s="524"/>
      <c r="R75" s="524"/>
      <c r="S75" s="524"/>
      <c r="T75" s="524"/>
      <c r="U75" s="52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1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24"/>
      <c r="P76" s="524"/>
      <c r="Q76" s="524"/>
      <c r="R76" s="524"/>
      <c r="S76" s="524"/>
      <c r="T76" s="524"/>
      <c r="U76" s="52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1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24"/>
      <c r="P77" s="524"/>
      <c r="Q77" s="524"/>
      <c r="R77" s="524"/>
      <c r="S77" s="524"/>
      <c r="T77" s="524"/>
      <c r="U77" s="52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1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24"/>
      <c r="P78" s="524"/>
      <c r="Q78" s="524"/>
      <c r="R78" s="524"/>
      <c r="S78" s="524"/>
      <c r="T78" s="524"/>
      <c r="U78" s="52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1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24"/>
      <c r="P79" s="524"/>
      <c r="Q79" s="524"/>
      <c r="R79" s="524"/>
      <c r="S79" s="524"/>
      <c r="T79" s="524"/>
      <c r="U79" s="52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1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24"/>
      <c r="P80" s="524"/>
      <c r="Q80" s="524"/>
      <c r="R80" s="524"/>
      <c r="S80" s="524"/>
      <c r="T80" s="524"/>
      <c r="U80" s="52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1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24"/>
      <c r="P81" s="524"/>
      <c r="Q81" s="524"/>
      <c r="R81" s="524"/>
      <c r="S81" s="524"/>
      <c r="T81" s="524"/>
      <c r="U81" s="52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1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24"/>
      <c r="P82" s="524"/>
      <c r="Q82" s="524"/>
      <c r="R82" s="524"/>
      <c r="S82" s="524"/>
      <c r="T82" s="524"/>
      <c r="U82" s="52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1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24"/>
      <c r="P83" s="524"/>
      <c r="Q83" s="524"/>
      <c r="R83" s="524"/>
      <c r="S83" s="524"/>
      <c r="T83" s="524"/>
      <c r="U83" s="52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1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24"/>
      <c r="P84" s="524"/>
      <c r="Q84" s="524"/>
      <c r="R84" s="524"/>
      <c r="S84" s="524"/>
      <c r="T84" s="524"/>
      <c r="U84" s="52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1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24"/>
      <c r="P85" s="524"/>
      <c r="Q85" s="524"/>
      <c r="R85" s="524"/>
      <c r="S85" s="524"/>
      <c r="T85" s="524"/>
      <c r="U85" s="524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25" t="s">
        <v>202</v>
      </c>
      <c r="D86" s="143"/>
      <c r="E86" s="143"/>
      <c r="F86" s="144"/>
      <c r="G86" s="145">
        <f>SUM(G29:G85)</f>
        <v>858</v>
      </c>
      <c r="H86" s="146">
        <f>SUM(H29:H85)</f>
        <v>4330.1400000000003</v>
      </c>
      <c r="I86" s="146">
        <f>SUM(I29:I85)</f>
        <v>18</v>
      </c>
      <c r="J86" s="130">
        <f t="array" ref="J86">IF(ISERROR(G86/I86),"",G86/I86)</f>
        <v>47.666666666666664</v>
      </c>
      <c r="K86" s="146">
        <f>SUM(K29:K85)</f>
        <v>24.975824175824176</v>
      </c>
      <c r="L86" s="147"/>
      <c r="M86" s="150">
        <f t="shared" ref="M86:V86" si="34">SUM(M29:M85)</f>
        <v>-6.975824175824175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15" t="s">
        <v>217</v>
      </c>
      <c r="C87" s="126" t="s">
        <v>179</v>
      </c>
      <c r="D87" s="108">
        <v>5.03</v>
      </c>
      <c r="E87" s="108"/>
      <c r="F87" s="127"/>
      <c r="G87" s="128"/>
      <c r="H87" s="51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24"/>
      <c r="P87" s="524"/>
      <c r="Q87" s="524"/>
      <c r="R87" s="524"/>
      <c r="S87" s="524"/>
      <c r="T87" s="524"/>
      <c r="U87" s="52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15" t="s">
        <v>217</v>
      </c>
      <c r="C88" s="126" t="s">
        <v>186</v>
      </c>
      <c r="D88" s="108">
        <v>5.03</v>
      </c>
      <c r="E88" s="108"/>
      <c r="F88" s="127"/>
      <c r="G88" s="128"/>
      <c r="H88" s="51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24"/>
      <c r="P88" s="524"/>
      <c r="Q88" s="524"/>
      <c r="R88" s="524"/>
      <c r="S88" s="524"/>
      <c r="T88" s="524"/>
      <c r="U88" s="52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15" t="s">
        <v>217</v>
      </c>
      <c r="C89" s="126" t="s">
        <v>204</v>
      </c>
      <c r="D89" s="108">
        <v>5.03</v>
      </c>
      <c r="E89" s="108"/>
      <c r="F89" s="127"/>
      <c r="G89" s="128"/>
      <c r="H89" s="51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24"/>
      <c r="P89" s="524"/>
      <c r="Q89" s="524"/>
      <c r="R89" s="524"/>
      <c r="S89" s="524"/>
      <c r="T89" s="524"/>
      <c r="U89" s="52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1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24"/>
      <c r="P90" s="524"/>
      <c r="Q90" s="524"/>
      <c r="R90" s="524"/>
      <c r="S90" s="524"/>
      <c r="T90" s="524"/>
      <c r="U90" s="52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1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24"/>
      <c r="P91" s="524"/>
      <c r="Q91" s="524"/>
      <c r="R91" s="524"/>
      <c r="S91" s="524"/>
      <c r="T91" s="524"/>
      <c r="U91" s="52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1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24"/>
      <c r="P92" s="524"/>
      <c r="Q92" s="524"/>
      <c r="R92" s="524"/>
      <c r="S92" s="524"/>
      <c r="T92" s="524"/>
      <c r="U92" s="52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1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24"/>
      <c r="P93" s="524"/>
      <c r="Q93" s="524"/>
      <c r="R93" s="524"/>
      <c r="S93" s="524"/>
      <c r="T93" s="524"/>
      <c r="U93" s="52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1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24"/>
      <c r="P94" s="524"/>
      <c r="Q94" s="524"/>
      <c r="R94" s="524"/>
      <c r="S94" s="524"/>
      <c r="T94" s="524"/>
      <c r="U94" s="52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1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24"/>
      <c r="P95" s="524"/>
      <c r="Q95" s="524"/>
      <c r="R95" s="524"/>
      <c r="S95" s="524"/>
      <c r="T95" s="524"/>
      <c r="U95" s="52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1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24"/>
      <c r="P96" s="524"/>
      <c r="Q96" s="524"/>
      <c r="R96" s="524"/>
      <c r="S96" s="524"/>
      <c r="T96" s="524"/>
      <c r="U96" s="52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1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24"/>
      <c r="P97" s="524"/>
      <c r="Q97" s="524"/>
      <c r="R97" s="524"/>
      <c r="S97" s="524"/>
      <c r="T97" s="524"/>
      <c r="U97" s="52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1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24"/>
      <c r="P98" s="524"/>
      <c r="Q98" s="524"/>
      <c r="R98" s="524"/>
      <c r="S98" s="524"/>
      <c r="T98" s="524"/>
      <c r="U98" s="52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1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24"/>
      <c r="P99" s="524"/>
      <c r="Q99" s="524"/>
      <c r="R99" s="524"/>
      <c r="S99" s="524"/>
      <c r="T99" s="524"/>
      <c r="U99" s="52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1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24"/>
      <c r="P100" s="524"/>
      <c r="Q100" s="524"/>
      <c r="R100" s="524"/>
      <c r="S100" s="524"/>
      <c r="T100" s="524"/>
      <c r="U100" s="52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1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24"/>
      <c r="P101" s="524"/>
      <c r="Q101" s="524"/>
      <c r="R101" s="524"/>
      <c r="S101" s="524"/>
      <c r="T101" s="524"/>
      <c r="U101" s="52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1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24"/>
      <c r="P102" s="524"/>
      <c r="Q102" s="524"/>
      <c r="R102" s="524"/>
      <c r="S102" s="524"/>
      <c r="T102" s="524"/>
      <c r="U102" s="52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1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1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24"/>
      <c r="P103" s="524"/>
      <c r="Q103" s="524"/>
      <c r="R103" s="524"/>
      <c r="S103" s="524"/>
      <c r="T103" s="524"/>
      <c r="U103" s="52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1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1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24"/>
      <c r="P104" s="524"/>
      <c r="Q104" s="524"/>
      <c r="R104" s="524"/>
      <c r="S104" s="524"/>
      <c r="T104" s="524"/>
      <c r="U104" s="52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1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1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24"/>
      <c r="P105" s="524"/>
      <c r="Q105" s="524"/>
      <c r="R105" s="524"/>
      <c r="S105" s="524"/>
      <c r="T105" s="524"/>
      <c r="U105" s="52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1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1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24"/>
      <c r="P106" s="524"/>
      <c r="Q106" s="524"/>
      <c r="R106" s="524"/>
      <c r="S106" s="524"/>
      <c r="T106" s="524"/>
      <c r="U106" s="52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15" t="s">
        <v>393</v>
      </c>
      <c r="C107" s="187" t="s">
        <v>395</v>
      </c>
      <c r="D107" s="108">
        <v>5</v>
      </c>
      <c r="E107" s="108"/>
      <c r="F107" s="127"/>
      <c r="G107" s="128"/>
      <c r="H107" s="51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24"/>
      <c r="P107" s="524"/>
      <c r="Q107" s="524"/>
      <c r="R107" s="524"/>
      <c r="S107" s="524"/>
      <c r="T107" s="524"/>
      <c r="U107" s="524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15" t="s">
        <v>393</v>
      </c>
      <c r="C108" s="187" t="s">
        <v>402</v>
      </c>
      <c r="D108" s="108">
        <v>5</v>
      </c>
      <c r="E108" s="108"/>
      <c r="F108" s="127">
        <v>42745</v>
      </c>
      <c r="G108" s="128">
        <f>78+90*2+61+90+44+71+49+76</f>
        <v>649</v>
      </c>
      <c r="H108" s="516">
        <f t="shared" si="36"/>
        <v>3245</v>
      </c>
      <c r="I108" s="129">
        <f>2.5*5+3.5*3+3*5+2*4+1.5*4+2*2</f>
        <v>56</v>
      </c>
      <c r="J108" s="130">
        <f t="array" ref="J108">IF(ISERROR(G108/I108),"",G108/I108)</f>
        <v>11.589285714285714</v>
      </c>
      <c r="K108" s="131">
        <f t="array" ref="K108">IF(ISERROR(G108/L108),"",G108/L108)</f>
        <v>129.80000000000001</v>
      </c>
      <c r="L108" s="129">
        <v>5</v>
      </c>
      <c r="M108" s="109">
        <f t="shared" si="37"/>
        <v>-73.800000000000011</v>
      </c>
      <c r="N108" s="130">
        <f t="shared" si="40"/>
        <v>0</v>
      </c>
      <c r="O108" s="524"/>
      <c r="P108" s="524"/>
      <c r="Q108" s="524"/>
      <c r="R108" s="524"/>
      <c r="S108" s="524"/>
      <c r="T108" s="524"/>
      <c r="U108" s="52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15" t="s">
        <v>404</v>
      </c>
      <c r="C109" s="187" t="s">
        <v>405</v>
      </c>
      <c r="D109" s="108">
        <v>5</v>
      </c>
      <c r="E109" s="108"/>
      <c r="F109" s="127"/>
      <c r="G109" s="128"/>
      <c r="H109" s="516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24"/>
      <c r="P109" s="524"/>
      <c r="Q109" s="524"/>
      <c r="R109" s="524"/>
      <c r="S109" s="524"/>
      <c r="T109" s="524"/>
      <c r="U109" s="52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15" t="s">
        <v>492</v>
      </c>
      <c r="C110" s="187" t="s">
        <v>372</v>
      </c>
      <c r="D110" s="108">
        <v>5</v>
      </c>
      <c r="E110" s="108"/>
      <c r="F110" s="127"/>
      <c r="G110" s="128"/>
      <c r="H110" s="516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24"/>
      <c r="P110" s="524"/>
      <c r="Q110" s="524"/>
      <c r="R110" s="524"/>
      <c r="S110" s="524"/>
      <c r="T110" s="524"/>
      <c r="U110" s="52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15" t="s">
        <v>343</v>
      </c>
      <c r="C111" s="126" t="s">
        <v>345</v>
      </c>
      <c r="D111" s="108">
        <v>5</v>
      </c>
      <c r="E111" s="108"/>
      <c r="F111" s="127"/>
      <c r="G111" s="128"/>
      <c r="H111" s="516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24"/>
      <c r="P111" s="524"/>
      <c r="Q111" s="524"/>
      <c r="R111" s="524"/>
      <c r="S111" s="524"/>
      <c r="T111" s="524"/>
      <c r="U111" s="524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15" t="s">
        <v>343</v>
      </c>
      <c r="C112" s="126" t="s">
        <v>347</v>
      </c>
      <c r="D112" s="108">
        <v>5</v>
      </c>
      <c r="E112" s="108"/>
      <c r="F112" s="127">
        <v>42737</v>
      </c>
      <c r="G112" s="452">
        <v>75</v>
      </c>
      <c r="H112" s="516">
        <f t="shared" si="36"/>
        <v>375</v>
      </c>
      <c r="I112" s="129">
        <v>15</v>
      </c>
      <c r="J112" s="130">
        <f t="array" ref="J112">IF(ISERROR(G112/I112),"",G112/I112)</f>
        <v>5</v>
      </c>
      <c r="K112" s="131">
        <f t="array" ref="K112">IF(ISERROR(G112/L112),"",G112/L112)</f>
        <v>15</v>
      </c>
      <c r="L112" s="129">
        <v>5</v>
      </c>
      <c r="M112" s="109">
        <f t="shared" si="37"/>
        <v>0</v>
      </c>
      <c r="N112" s="130">
        <f t="shared" si="40"/>
        <v>0</v>
      </c>
      <c r="O112" s="524"/>
      <c r="P112" s="524"/>
      <c r="Q112" s="524"/>
      <c r="R112" s="524"/>
      <c r="S112" s="524"/>
      <c r="T112" s="524"/>
      <c r="U112" s="52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1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24"/>
      <c r="P113" s="524"/>
      <c r="Q113" s="524"/>
      <c r="R113" s="524"/>
      <c r="S113" s="524"/>
      <c r="T113" s="524"/>
      <c r="U113" s="52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1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24"/>
      <c r="P114" s="524"/>
      <c r="Q114" s="524"/>
      <c r="R114" s="524"/>
      <c r="S114" s="524"/>
      <c r="T114" s="524"/>
      <c r="U114" s="52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1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24"/>
      <c r="P115" s="524"/>
      <c r="Q115" s="524"/>
      <c r="R115" s="524"/>
      <c r="S115" s="524"/>
      <c r="T115" s="524"/>
      <c r="U115" s="52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1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24"/>
      <c r="P116" s="524"/>
      <c r="Q116" s="524"/>
      <c r="R116" s="524"/>
      <c r="S116" s="524"/>
      <c r="T116" s="524"/>
      <c r="U116" s="52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1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24"/>
      <c r="P117" s="524"/>
      <c r="Q117" s="524"/>
      <c r="R117" s="524"/>
      <c r="S117" s="524"/>
      <c r="T117" s="524"/>
      <c r="U117" s="52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1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24"/>
      <c r="P118" s="524"/>
      <c r="Q118" s="524"/>
      <c r="R118" s="524"/>
      <c r="S118" s="524"/>
      <c r="T118" s="524"/>
      <c r="U118" s="52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1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24"/>
      <c r="P119" s="524"/>
      <c r="Q119" s="524"/>
      <c r="R119" s="524"/>
      <c r="S119" s="524"/>
      <c r="T119" s="524"/>
      <c r="U119" s="52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28">
        <f>63+100+100</f>
        <v>263</v>
      </c>
      <c r="H120" s="516">
        <f t="shared" si="36"/>
        <v>1330.78</v>
      </c>
      <c r="I120" s="129">
        <f>2*4</f>
        <v>8</v>
      </c>
      <c r="J120" s="130">
        <f t="array" ref="J120">IF(ISERROR(G120/I120),"",G120/I120)</f>
        <v>32.875</v>
      </c>
      <c r="K120" s="516">
        <f t="array" ref="K120">IF(ISERROR(G120/L120),"",G120/L120)</f>
        <v>29.222222222222221</v>
      </c>
      <c r="L120" s="129">
        <v>9</v>
      </c>
      <c r="M120" s="109">
        <f t="shared" si="46"/>
        <v>-21.222222222222221</v>
      </c>
      <c r="N120" s="130">
        <f t="shared" si="47"/>
        <v>0</v>
      </c>
      <c r="O120" s="524"/>
      <c r="P120" s="524"/>
      <c r="Q120" s="524"/>
      <c r="R120" s="524"/>
      <c r="S120" s="524"/>
      <c r="T120" s="524"/>
      <c r="U120" s="524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525" t="s">
        <v>202</v>
      </c>
      <c r="D121" s="143"/>
      <c r="E121" s="143"/>
      <c r="F121" s="144"/>
      <c r="G121" s="145">
        <f>SUM(G87:G120)</f>
        <v>987</v>
      </c>
      <c r="H121" s="146">
        <f>SUM(H87:H120)</f>
        <v>4950.78</v>
      </c>
      <c r="I121" s="146">
        <f>SUM(I87:I120)</f>
        <v>79</v>
      </c>
      <c r="J121" s="130">
        <f t="array" ref="J121">IF(ISERROR(G121/I121),"",G121/I121)</f>
        <v>12.49367088607595</v>
      </c>
      <c r="K121" s="146">
        <f>SUM(K87:K120)</f>
        <v>174.02222222222224</v>
      </c>
      <c r="L121" s="147"/>
      <c r="M121" s="150">
        <f t="shared" ref="M121:V121" si="50">SUM(M87:M120)</f>
        <v>-95.02222222222224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1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24"/>
      <c r="P122" s="524"/>
      <c r="Q122" s="524"/>
      <c r="R122" s="524"/>
      <c r="S122" s="524"/>
      <c r="T122" s="524"/>
      <c r="U122" s="52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28">
        <f>90+53</f>
        <v>143</v>
      </c>
      <c r="H123" s="516">
        <f t="shared" si="51"/>
        <v>719.29000000000008</v>
      </c>
      <c r="I123" s="129">
        <f>3.5*2</f>
        <v>7</v>
      </c>
      <c r="J123" s="130">
        <f t="array" ref="J123">IF(ISERROR(G123/I123),"",G123/I123)</f>
        <v>20.428571428571427</v>
      </c>
      <c r="K123" s="131">
        <f t="array" ref="K123">IF(ISERROR(G123/L123),"",G123/L123)</f>
        <v>5.72</v>
      </c>
      <c r="L123" s="129">
        <v>25</v>
      </c>
      <c r="M123" s="109">
        <f t="shared" si="52"/>
        <v>1.2800000000000002</v>
      </c>
      <c r="N123" s="130">
        <f t="shared" si="53"/>
        <v>0</v>
      </c>
      <c r="O123" s="524"/>
      <c r="P123" s="524"/>
      <c r="Q123" s="524"/>
      <c r="R123" s="524"/>
      <c r="S123" s="524"/>
      <c r="T123" s="524"/>
      <c r="U123" s="52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1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24"/>
      <c r="P124" s="524"/>
      <c r="Q124" s="524"/>
      <c r="R124" s="524"/>
      <c r="S124" s="524"/>
      <c r="T124" s="524"/>
      <c r="U124" s="52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1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24"/>
      <c r="P125" s="524"/>
      <c r="Q125" s="524"/>
      <c r="R125" s="524"/>
      <c r="S125" s="524"/>
      <c r="T125" s="524"/>
      <c r="U125" s="52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21" t="s">
        <v>203</v>
      </c>
      <c r="D126" s="108">
        <v>5.03</v>
      </c>
      <c r="E126" s="108"/>
      <c r="F126" s="127"/>
      <c r="G126" s="128"/>
      <c r="H126" s="51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24"/>
      <c r="P126" s="524"/>
      <c r="Q126" s="524"/>
      <c r="R126" s="524"/>
      <c r="S126" s="524"/>
      <c r="T126" s="524"/>
      <c r="U126" s="52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1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24"/>
      <c r="P127" s="524"/>
      <c r="Q127" s="524"/>
      <c r="R127" s="524"/>
      <c r="S127" s="524"/>
      <c r="T127" s="524"/>
      <c r="U127" s="52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1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24"/>
      <c r="P128" s="524"/>
      <c r="Q128" s="524"/>
      <c r="R128" s="524"/>
      <c r="S128" s="524"/>
      <c r="T128" s="524"/>
      <c r="U128" s="52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21" t="s">
        <v>228</v>
      </c>
      <c r="D129" s="108">
        <v>5.03</v>
      </c>
      <c r="E129" s="108"/>
      <c r="F129" s="127"/>
      <c r="G129" s="128"/>
      <c r="H129" s="51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24"/>
      <c r="P129" s="524"/>
      <c r="Q129" s="524"/>
      <c r="R129" s="524"/>
      <c r="S129" s="524"/>
      <c r="T129" s="524"/>
      <c r="U129" s="52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21" t="s">
        <v>212</v>
      </c>
      <c r="D130" s="108">
        <v>5.03</v>
      </c>
      <c r="E130" s="108"/>
      <c r="F130" s="127"/>
      <c r="G130" s="128"/>
      <c r="H130" s="51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24"/>
      <c r="P130" s="524"/>
      <c r="Q130" s="524"/>
      <c r="R130" s="524"/>
      <c r="S130" s="524"/>
      <c r="T130" s="524"/>
      <c r="U130" s="52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21" t="s">
        <v>203</v>
      </c>
      <c r="D131" s="108">
        <v>5.03</v>
      </c>
      <c r="E131" s="108"/>
      <c r="F131" s="127"/>
      <c r="G131" s="128"/>
      <c r="H131" s="51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24"/>
      <c r="P131" s="524"/>
      <c r="Q131" s="524"/>
      <c r="R131" s="524"/>
      <c r="S131" s="524"/>
      <c r="T131" s="524"/>
      <c r="U131" s="52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21" t="s">
        <v>186</v>
      </c>
      <c r="D132" s="108">
        <v>5.03</v>
      </c>
      <c r="E132" s="108"/>
      <c r="F132" s="127"/>
      <c r="G132" s="128"/>
      <c r="H132" s="51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24"/>
      <c r="P132" s="524"/>
      <c r="Q132" s="524"/>
      <c r="R132" s="524"/>
      <c r="S132" s="524"/>
      <c r="T132" s="524"/>
      <c r="U132" s="52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21" t="s">
        <v>228</v>
      </c>
      <c r="D133" s="108">
        <v>5.03</v>
      </c>
      <c r="E133" s="108"/>
      <c r="F133" s="127"/>
      <c r="G133" s="128"/>
      <c r="H133" s="51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24"/>
      <c r="P133" s="524"/>
      <c r="Q133" s="524"/>
      <c r="R133" s="524"/>
      <c r="S133" s="524"/>
      <c r="T133" s="524"/>
      <c r="U133" s="52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21" t="s">
        <v>199</v>
      </c>
      <c r="D134" s="108">
        <v>5.03</v>
      </c>
      <c r="E134" s="108"/>
      <c r="F134" s="127"/>
      <c r="G134" s="128"/>
      <c r="H134" s="51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24"/>
      <c r="P134" s="524"/>
      <c r="Q134" s="524"/>
      <c r="R134" s="524"/>
      <c r="S134" s="524"/>
      <c r="T134" s="524"/>
      <c r="U134" s="52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1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24"/>
      <c r="P135" s="524"/>
      <c r="Q135" s="524"/>
      <c r="R135" s="524"/>
      <c r="S135" s="524"/>
      <c r="T135" s="524"/>
      <c r="U135" s="52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42745</v>
      </c>
      <c r="G136" s="128">
        <v>52</v>
      </c>
      <c r="H136" s="516">
        <f t="shared" si="51"/>
        <v>263.12</v>
      </c>
      <c r="I136" s="129">
        <v>3</v>
      </c>
      <c r="J136" s="130">
        <f t="array" ref="J136">IF(ISERROR(G136/I136),"",G136/I136)</f>
        <v>17.333333333333332</v>
      </c>
      <c r="K136" s="131">
        <f t="array" ref="K136">IF(ISERROR(G136/L136),"",G136/L136)</f>
        <v>2.2608695652173911</v>
      </c>
      <c r="L136" s="129">
        <v>23</v>
      </c>
      <c r="M136" s="109">
        <f t="shared" si="52"/>
        <v>0.73913043478260887</v>
      </c>
      <c r="N136" s="130">
        <f t="shared" si="53"/>
        <v>0</v>
      </c>
      <c r="O136" s="524"/>
      <c r="P136" s="524"/>
      <c r="Q136" s="524"/>
      <c r="R136" s="524"/>
      <c r="S136" s="524"/>
      <c r="T136" s="524"/>
      <c r="U136" s="52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525" t="s">
        <v>202</v>
      </c>
      <c r="D137" s="143"/>
      <c r="E137" s="143"/>
      <c r="F137" s="144"/>
      <c r="G137" s="145">
        <f>SUM(G122:G136)</f>
        <v>195</v>
      </c>
      <c r="H137" s="146">
        <f>SUM(H122:H136)</f>
        <v>982.41000000000008</v>
      </c>
      <c r="I137" s="146">
        <f>SUM(I122:I136)</f>
        <v>10</v>
      </c>
      <c r="J137" s="130">
        <f t="array" ref="J137">IF(ISERROR(G137/I137),"",G137/I137)</f>
        <v>19.5</v>
      </c>
      <c r="K137" s="146">
        <f>SUM(K122:K136)</f>
        <v>7.9808695652173913</v>
      </c>
      <c r="L137" s="147"/>
      <c r="M137" s="150">
        <f>SUM(M122:M136)</f>
        <v>2.0191304347826091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1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24"/>
      <c r="P138" s="524"/>
      <c r="Q138" s="524"/>
      <c r="R138" s="524"/>
      <c r="S138" s="524"/>
      <c r="T138" s="524"/>
      <c r="U138" s="52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1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24"/>
      <c r="P139" s="524"/>
      <c r="Q139" s="524"/>
      <c r="R139" s="524"/>
      <c r="S139" s="524"/>
      <c r="T139" s="524"/>
      <c r="U139" s="52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1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24"/>
      <c r="P140" s="524"/>
      <c r="Q140" s="524"/>
      <c r="R140" s="524"/>
      <c r="S140" s="524"/>
      <c r="T140" s="524"/>
      <c r="U140" s="52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1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24"/>
      <c r="P141" s="524"/>
      <c r="Q141" s="524"/>
      <c r="R141" s="524"/>
      <c r="S141" s="524"/>
      <c r="T141" s="524"/>
      <c r="U141" s="52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1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24"/>
      <c r="P142" s="524"/>
      <c r="Q142" s="524"/>
      <c r="R142" s="524"/>
      <c r="S142" s="524"/>
      <c r="T142" s="524"/>
      <c r="U142" s="52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16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24"/>
      <c r="P143" s="524"/>
      <c r="Q143" s="524"/>
      <c r="R143" s="524"/>
      <c r="S143" s="524"/>
      <c r="T143" s="524"/>
      <c r="U143" s="52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1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24"/>
      <c r="P144" s="524"/>
      <c r="Q144" s="524"/>
      <c r="R144" s="524"/>
      <c r="S144" s="524"/>
      <c r="T144" s="524"/>
      <c r="U144" s="52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1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24"/>
      <c r="P145" s="524"/>
      <c r="Q145" s="524"/>
      <c r="R145" s="524"/>
      <c r="S145" s="524"/>
      <c r="T145" s="524"/>
      <c r="U145" s="52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1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24"/>
      <c r="P146" s="524"/>
      <c r="Q146" s="524"/>
      <c r="R146" s="524"/>
      <c r="S146" s="524"/>
      <c r="T146" s="524"/>
      <c r="U146" s="52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1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24"/>
      <c r="P147" s="524"/>
      <c r="Q147" s="524"/>
      <c r="R147" s="524"/>
      <c r="S147" s="524"/>
      <c r="T147" s="524"/>
      <c r="U147" s="52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18" t="s">
        <v>234</v>
      </c>
      <c r="B148" s="619"/>
      <c r="C148" s="525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22"/>
      <c r="D149" s="108">
        <v>3.65</v>
      </c>
      <c r="E149" s="108"/>
      <c r="F149" s="153"/>
      <c r="G149" s="128"/>
      <c r="H149" s="516">
        <f t="shared" ref="H149:H162" si="63">D149*G149</f>
        <v>0</v>
      </c>
      <c r="I149" s="129"/>
      <c r="J149" s="130" t="str">
        <f t="array" ref="J149">IF(ISERROR(G149/I149),"",G149/I149)</f>
        <v/>
      </c>
      <c r="K149" s="51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24"/>
      <c r="P149" s="524"/>
      <c r="Q149" s="524"/>
      <c r="R149" s="524"/>
      <c r="S149" s="524"/>
      <c r="T149" s="524"/>
      <c r="U149" s="52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522"/>
      <c r="D150" s="108">
        <v>6.58</v>
      </c>
      <c r="E150" s="108"/>
      <c r="F150" s="127">
        <v>42738</v>
      </c>
      <c r="G150" s="128">
        <f>35+36*4</f>
        <v>179</v>
      </c>
      <c r="H150" s="516">
        <f t="shared" si="63"/>
        <v>1177.82</v>
      </c>
      <c r="I150" s="129">
        <v>36</v>
      </c>
      <c r="J150" s="130">
        <f t="array" ref="J150">IF(ISERROR(G150/I150),"",G150/I150)</f>
        <v>4.9722222222222223</v>
      </c>
      <c r="K150" s="131">
        <f t="array" ref="K150">IF(ISERROR(G150/L150),"",G150/L150)</f>
        <v>35.799999999999997</v>
      </c>
      <c r="L150" s="129">
        <v>5</v>
      </c>
      <c r="M150" s="109">
        <f t="shared" si="64"/>
        <v>0.20000000000000284</v>
      </c>
      <c r="N150" s="130">
        <f t="shared" si="65"/>
        <v>0</v>
      </c>
      <c r="O150" s="524"/>
      <c r="P150" s="524"/>
      <c r="Q150" s="524"/>
      <c r="R150" s="524"/>
      <c r="S150" s="524"/>
      <c r="T150" s="524"/>
      <c r="U150" s="52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522"/>
      <c r="D151" s="108">
        <v>7.8</v>
      </c>
      <c r="E151" s="108"/>
      <c r="F151" s="127">
        <v>42738</v>
      </c>
      <c r="G151" s="128">
        <v>4</v>
      </c>
      <c r="H151" s="516">
        <f t="shared" si="63"/>
        <v>31.2</v>
      </c>
      <c r="I151" s="129">
        <v>1</v>
      </c>
      <c r="J151" s="130">
        <f t="array" ref="J151">IF(ISERROR(G151/I151),"",G151/I151)</f>
        <v>4</v>
      </c>
      <c r="K151" s="131">
        <f t="array" ref="K151">IF(ISERROR(G151/L151),"",G151/L151)</f>
        <v>0.86956521739130443</v>
      </c>
      <c r="L151" s="129">
        <v>4.5999999999999996</v>
      </c>
      <c r="M151" s="109">
        <f t="shared" si="64"/>
        <v>0.13043478260869557</v>
      </c>
      <c r="N151" s="130">
        <f t="shared" si="65"/>
        <v>0</v>
      </c>
      <c r="O151" s="524"/>
      <c r="P151" s="524"/>
      <c r="Q151" s="524"/>
      <c r="R151" s="524"/>
      <c r="S151" s="524"/>
      <c r="T151" s="524"/>
      <c r="U151" s="52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522"/>
      <c r="D152" s="108">
        <v>4.4000000000000004</v>
      </c>
      <c r="E152" s="108"/>
      <c r="F152" s="127">
        <v>42745</v>
      </c>
      <c r="G152" s="128">
        <v>57</v>
      </c>
      <c r="H152" s="516">
        <f t="shared" si="63"/>
        <v>250.8</v>
      </c>
      <c r="I152" s="129">
        <v>10</v>
      </c>
      <c r="J152" s="130">
        <f t="array" ref="J152">IF(ISERROR(G152/I152),"",G152/I152)</f>
        <v>5.7</v>
      </c>
      <c r="K152" s="131">
        <f t="array" ref="K152">IF(ISERROR(G152/L152),"",G152/L152)</f>
        <v>9.8275862068965516</v>
      </c>
      <c r="L152" s="129">
        <v>5.8</v>
      </c>
      <c r="M152" s="109">
        <f t="shared" si="64"/>
        <v>0.1724137931034484</v>
      </c>
      <c r="N152" s="130">
        <f t="shared" si="65"/>
        <v>0</v>
      </c>
      <c r="O152" s="524"/>
      <c r="P152" s="524"/>
      <c r="Q152" s="524"/>
      <c r="R152" s="524"/>
      <c r="S152" s="524"/>
      <c r="T152" s="524"/>
      <c r="U152" s="52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1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24"/>
      <c r="P153" s="524"/>
      <c r="Q153" s="524"/>
      <c r="R153" s="524"/>
      <c r="S153" s="524"/>
      <c r="T153" s="524"/>
      <c r="U153" s="52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22" t="s">
        <v>239</v>
      </c>
      <c r="C154" s="522" t="s">
        <v>179</v>
      </c>
      <c r="D154" s="108">
        <v>6.04</v>
      </c>
      <c r="E154" s="108"/>
      <c r="F154" s="127"/>
      <c r="G154" s="128"/>
      <c r="H154" s="51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6" si="67">IF(ISERROR(I154-K154),"",I154-K154)</f>
        <v>0</v>
      </c>
      <c r="N154" s="130">
        <f t="shared" ref="N154:N155" si="68">SUM(O154:U154)</f>
        <v>0</v>
      </c>
      <c r="O154" s="524"/>
      <c r="P154" s="524"/>
      <c r="Q154" s="524"/>
      <c r="R154" s="524"/>
      <c r="S154" s="524"/>
      <c r="T154" s="524"/>
      <c r="U154" s="52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22" t="s">
        <v>239</v>
      </c>
      <c r="C155" s="522" t="s">
        <v>186</v>
      </c>
      <c r="D155" s="108">
        <v>6.04</v>
      </c>
      <c r="E155" s="108"/>
      <c r="F155" s="127"/>
      <c r="G155" s="128"/>
      <c r="H155" s="51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24"/>
      <c r="P155" s="524"/>
      <c r="Q155" s="524"/>
      <c r="R155" s="524"/>
      <c r="S155" s="524"/>
      <c r="T155" s="524"/>
      <c r="U155" s="52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22" t="s">
        <v>443</v>
      </c>
      <c r="C156" s="522" t="s">
        <v>179</v>
      </c>
      <c r="D156" s="108">
        <v>6</v>
      </c>
      <c r="E156" s="108"/>
      <c r="F156" s="127">
        <v>42746</v>
      </c>
      <c r="G156" s="128">
        <f>38+42-38</f>
        <v>42</v>
      </c>
      <c r="H156" s="516">
        <f t="shared" si="63"/>
        <v>252</v>
      </c>
      <c r="I156" s="129">
        <f>11*5</f>
        <v>55</v>
      </c>
      <c r="J156" s="130">
        <f t="array" ref="J156">IF(ISERROR(G156/I156),"",G156/I156)</f>
        <v>0.76363636363636367</v>
      </c>
      <c r="K156" s="131">
        <f t="array" ref="K156">IF(ISERROR(G156/L156),"",G156/L156)</f>
        <v>7.2413793103448274</v>
      </c>
      <c r="L156" s="129">
        <v>5.8</v>
      </c>
      <c r="M156" s="109">
        <f t="shared" si="67"/>
        <v>47.758620689655174</v>
      </c>
      <c r="N156" s="130"/>
      <c r="O156" s="524"/>
      <c r="P156" s="524"/>
      <c r="Q156" s="524"/>
      <c r="R156" s="524"/>
      <c r="S156" s="524"/>
      <c r="T156" s="524"/>
      <c r="U156" s="52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22" t="s">
        <v>443</v>
      </c>
      <c r="C157" s="522" t="s">
        <v>60</v>
      </c>
      <c r="D157" s="108">
        <v>6</v>
      </c>
      <c r="E157" s="108"/>
      <c r="F157" s="127"/>
      <c r="G157" s="128"/>
      <c r="H157" s="51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24"/>
      <c r="P157" s="524"/>
      <c r="Q157" s="524"/>
      <c r="R157" s="524"/>
      <c r="S157" s="524"/>
      <c r="T157" s="524"/>
      <c r="U157" s="52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15" t="s">
        <v>240</v>
      </c>
      <c r="C158" s="126"/>
      <c r="D158" s="108">
        <v>7.3</v>
      </c>
      <c r="E158" s="108"/>
      <c r="F158" s="127"/>
      <c r="G158" s="128"/>
      <c r="H158" s="51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24"/>
      <c r="P158" s="524"/>
      <c r="Q158" s="524"/>
      <c r="R158" s="524"/>
      <c r="S158" s="524"/>
      <c r="T158" s="524"/>
      <c r="U158" s="52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15" t="s">
        <v>241</v>
      </c>
      <c r="C159" s="126"/>
      <c r="D159" s="108">
        <f>78*120/1000</f>
        <v>9.36</v>
      </c>
      <c r="E159" s="108"/>
      <c r="F159" s="127"/>
      <c r="G159" s="128"/>
      <c r="H159" s="51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24"/>
      <c r="P159" s="524"/>
      <c r="Q159" s="524"/>
      <c r="R159" s="524"/>
      <c r="S159" s="524"/>
      <c r="T159" s="524"/>
      <c r="U159" s="52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15" t="s">
        <v>242</v>
      </c>
      <c r="C160" s="126"/>
      <c r="D160" s="108">
        <v>4.5</v>
      </c>
      <c r="E160" s="108"/>
      <c r="F160" s="127"/>
      <c r="G160" s="128"/>
      <c r="H160" s="516">
        <f t="shared" si="63"/>
        <v>0</v>
      </c>
      <c r="I160" s="129"/>
      <c r="J160" s="130"/>
      <c r="K160" s="131"/>
      <c r="L160" s="129"/>
      <c r="M160" s="109"/>
      <c r="N160" s="130"/>
      <c r="O160" s="524"/>
      <c r="P160" s="524"/>
      <c r="Q160" s="524"/>
      <c r="R160" s="524"/>
      <c r="S160" s="524"/>
      <c r="T160" s="524"/>
      <c r="U160" s="52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15" t="s">
        <v>243</v>
      </c>
      <c r="C161" s="126"/>
      <c r="D161" s="108">
        <v>4.5</v>
      </c>
      <c r="E161" s="108"/>
      <c r="F161" s="127"/>
      <c r="G161" s="128"/>
      <c r="H161" s="516">
        <f t="shared" si="63"/>
        <v>0</v>
      </c>
      <c r="I161" s="129"/>
      <c r="J161" s="130"/>
      <c r="K161" s="131"/>
      <c r="L161" s="129"/>
      <c r="M161" s="109"/>
      <c r="N161" s="130"/>
      <c r="O161" s="524"/>
      <c r="P161" s="524"/>
      <c r="Q161" s="524"/>
      <c r="R161" s="524"/>
      <c r="S161" s="524"/>
      <c r="T161" s="524"/>
      <c r="U161" s="52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16">
        <f t="shared" si="63"/>
        <v>0</v>
      </c>
      <c r="I162" s="129"/>
      <c r="J162" s="130"/>
      <c r="K162" s="131"/>
      <c r="L162" s="129"/>
      <c r="M162" s="109"/>
      <c r="N162" s="130"/>
      <c r="O162" s="524"/>
      <c r="P162" s="524"/>
      <c r="Q162" s="524"/>
      <c r="R162" s="524"/>
      <c r="S162" s="524"/>
      <c r="T162" s="524"/>
      <c r="U162" s="524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525" t="s">
        <v>202</v>
      </c>
      <c r="D163" s="143"/>
      <c r="E163" s="143"/>
      <c r="F163" s="144"/>
      <c r="G163" s="145">
        <f>SUM(G149:G161)</f>
        <v>282</v>
      </c>
      <c r="H163" s="146">
        <f>SUM(H149:H159)</f>
        <v>1711.82</v>
      </c>
      <c r="I163" s="146">
        <f>SUM(I149:I161)</f>
        <v>102</v>
      </c>
      <c r="J163" s="130">
        <f t="array" ref="J163">IF(ISERROR(G163/I163),"",G163/I163)</f>
        <v>2.7647058823529411</v>
      </c>
      <c r="K163" s="146">
        <f>SUM(K149:K159)</f>
        <v>53.738530734632675</v>
      </c>
      <c r="L163" s="147"/>
      <c r="M163" s="150">
        <f t="shared" ref="M163:V163" si="75">SUM(M149:M159)</f>
        <v>48.261469265367325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2707</v>
      </c>
      <c r="H164" s="154">
        <f>SUM(H28,H86,H121,H137,H148,H163)</f>
        <v>13909.25</v>
      </c>
      <c r="I164" s="154">
        <f>SUM(I28,I86,I121,I137,I148,I163)</f>
        <v>231.5</v>
      </c>
      <c r="J164" s="155">
        <f t="array" ref="J164">IF(ISERROR(G164/I164),"",G164/I164)</f>
        <v>11.693304535637148</v>
      </c>
      <c r="K164" s="154">
        <f>SUM(K28,K86,K121,K137,K148,K163)</f>
        <v>278.964927101032</v>
      </c>
      <c r="L164" s="155">
        <f>IF(ISERROR(G164/K164),"",G164/K164)</f>
        <v>9.7037288096779744</v>
      </c>
      <c r="M164" s="154">
        <f t="shared" ref="M164:AA164" si="76">SUM(M28,M86,M121,M137,M148,M163)</f>
        <v>-47.464927101031975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518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518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518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518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518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518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518">
        <f>G164</f>
        <v>2707</v>
      </c>
      <c r="C171" s="638" t="s">
        <v>269</v>
      </c>
      <c r="D171" s="639"/>
      <c r="E171" s="631">
        <f>H164</f>
        <v>13909.25</v>
      </c>
      <c r="F171" s="631"/>
      <c r="G171" s="631" t="s">
        <v>270</v>
      </c>
      <c r="H171" s="631"/>
      <c r="I171" s="640">
        <f>L164</f>
        <v>9.7037288096779744</v>
      </c>
      <c r="J171" s="640"/>
      <c r="K171" s="628" t="s">
        <v>271</v>
      </c>
      <c r="L171" s="628"/>
      <c r="M171" s="640">
        <f>J164</f>
        <v>11.693304535637148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518">
        <f>I164+C170</f>
        <v>235.5</v>
      </c>
      <c r="C172" s="641" t="s">
        <v>251</v>
      </c>
      <c r="D172" s="642"/>
      <c r="E172" s="643">
        <f>K164+I170</f>
        <v>319.964927101032</v>
      </c>
      <c r="F172" s="643"/>
      <c r="G172" s="631" t="s">
        <v>274</v>
      </c>
      <c r="H172" s="631"/>
      <c r="I172" s="640">
        <f>B172-E172</f>
        <v>-84.464927101032004</v>
      </c>
      <c r="J172" s="640"/>
      <c r="K172" s="628" t="s">
        <v>275</v>
      </c>
      <c r="L172" s="628"/>
      <c r="M172" s="632">
        <f>IF(ISERROR(I172/E172),"",I172/E172)</f>
        <v>-0.26398183034092793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518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548</v>
      </c>
      <c r="H177" s="522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515" t="s">
        <v>178</v>
      </c>
      <c r="C178" s="126" t="s">
        <v>179</v>
      </c>
      <c r="D178" s="108">
        <v>5.03</v>
      </c>
      <c r="E178" s="108"/>
      <c r="F178" s="127"/>
      <c r="G178" s="128"/>
      <c r="H178" s="51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24"/>
      <c r="P178" s="524"/>
      <c r="Q178" s="524"/>
      <c r="R178" s="524"/>
      <c r="S178" s="524"/>
      <c r="T178" s="524"/>
      <c r="U178" s="52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1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24"/>
      <c r="P179" s="524"/>
      <c r="Q179" s="524"/>
      <c r="R179" s="524"/>
      <c r="S179" s="524"/>
      <c r="T179" s="524"/>
      <c r="U179" s="52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1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24"/>
      <c r="P180" s="524"/>
      <c r="Q180" s="524"/>
      <c r="R180" s="524"/>
      <c r="S180" s="524"/>
      <c r="T180" s="524"/>
      <c r="U180" s="52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1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24"/>
      <c r="P181" s="524"/>
      <c r="Q181" s="524"/>
      <c r="R181" s="524"/>
      <c r="S181" s="524"/>
      <c r="T181" s="524"/>
      <c r="U181" s="52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1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24"/>
      <c r="P182" s="524"/>
      <c r="Q182" s="524"/>
      <c r="R182" s="524"/>
      <c r="S182" s="524"/>
      <c r="T182" s="524"/>
      <c r="U182" s="52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1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24"/>
      <c r="P183" s="524"/>
      <c r="Q183" s="524"/>
      <c r="R183" s="524"/>
      <c r="S183" s="524"/>
      <c r="T183" s="524"/>
      <c r="U183" s="524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>
        <v>42745</v>
      </c>
      <c r="G184" s="128">
        <f>108*5</f>
        <v>540</v>
      </c>
      <c r="H184" s="516">
        <f t="shared" si="77"/>
        <v>2716.2000000000003</v>
      </c>
      <c r="I184" s="129">
        <f>11.5*3</f>
        <v>34.5</v>
      </c>
      <c r="J184" s="130">
        <f t="array" ref="J184">IF(ISERROR(G184/I184),"",G184/I184)</f>
        <v>15.652173913043478</v>
      </c>
      <c r="K184" s="131">
        <f t="array" ref="K184">IF(ISERROR(G184/L184),"",G184/L184)</f>
        <v>180</v>
      </c>
      <c r="L184" s="129">
        <v>3</v>
      </c>
      <c r="M184" s="109">
        <f t="shared" si="78"/>
        <v>-145.5</v>
      </c>
      <c r="N184" s="130">
        <f t="shared" si="81"/>
        <v>0</v>
      </c>
      <c r="O184" s="524"/>
      <c r="P184" s="524"/>
      <c r="Q184" s="524"/>
      <c r="R184" s="524"/>
      <c r="S184" s="524"/>
      <c r="T184" s="524"/>
      <c r="U184" s="52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1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24"/>
      <c r="P185" s="524"/>
      <c r="Q185" s="524"/>
      <c r="R185" s="524"/>
      <c r="S185" s="524"/>
      <c r="T185" s="524"/>
      <c r="U185" s="52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516">
        <f t="shared" si="77"/>
        <v>0</v>
      </c>
      <c r="I186" s="51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24"/>
      <c r="P186" s="524"/>
      <c r="Q186" s="524"/>
      <c r="R186" s="524"/>
      <c r="S186" s="524"/>
      <c r="T186" s="524"/>
      <c r="U186" s="52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42744</v>
      </c>
      <c r="G187" s="527">
        <f>100</f>
        <v>100</v>
      </c>
      <c r="H187" s="516">
        <f t="shared" si="77"/>
        <v>504</v>
      </c>
      <c r="I187" s="516">
        <v>6</v>
      </c>
      <c r="J187" s="130">
        <f t="array" ref="J187">IF(ISERROR(G187/I187),"",G187/I187)</f>
        <v>16.666666666666668</v>
      </c>
      <c r="K187" s="131">
        <f t="array" ref="K187">IF(ISERROR(G187/L187),"",G187/L187)</f>
        <v>5.882352941176471</v>
      </c>
      <c r="L187" s="129">
        <v>17</v>
      </c>
      <c r="M187" s="109">
        <f t="shared" si="78"/>
        <v>0.11764705882352899</v>
      </c>
      <c r="N187" s="130">
        <f t="shared" si="81"/>
        <v>0</v>
      </c>
      <c r="O187" s="524"/>
      <c r="P187" s="524"/>
      <c r="Q187" s="524"/>
      <c r="R187" s="524"/>
      <c r="S187" s="524"/>
      <c r="T187" s="524"/>
      <c r="U187" s="52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1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24"/>
      <c r="P188" s="524"/>
      <c r="Q188" s="524"/>
      <c r="R188" s="524"/>
      <c r="S188" s="524"/>
      <c r="T188" s="524"/>
      <c r="U188" s="52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1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24"/>
      <c r="P189" s="524"/>
      <c r="Q189" s="524"/>
      <c r="R189" s="524"/>
      <c r="S189" s="524"/>
      <c r="T189" s="524"/>
      <c r="U189" s="524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51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24"/>
      <c r="P190" s="524"/>
      <c r="Q190" s="524"/>
      <c r="R190" s="524"/>
      <c r="S190" s="524"/>
      <c r="T190" s="524"/>
      <c r="U190" s="524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28">
        <f>100*10+31</f>
        <v>1031</v>
      </c>
      <c r="H191" s="516">
        <f t="shared" si="82"/>
        <v>5247.79</v>
      </c>
      <c r="I191" s="129">
        <f>1*4+9*5</f>
        <v>49</v>
      </c>
      <c r="J191" s="130">
        <f t="array" ref="J191">IF(ISERROR(G191/I191),"",G191/I191)</f>
        <v>21.040816326530614</v>
      </c>
      <c r="K191" s="131">
        <f t="array" ref="K191">IF(ISERROR(G191/L191),"",G191/L191)</f>
        <v>44.826086956521742</v>
      </c>
      <c r="L191" s="129">
        <v>23</v>
      </c>
      <c r="M191" s="109">
        <f t="shared" si="83"/>
        <v>4.1739130434782581</v>
      </c>
      <c r="N191" s="130">
        <f t="shared" si="84"/>
        <v>0</v>
      </c>
      <c r="O191" s="524"/>
      <c r="P191" s="524"/>
      <c r="Q191" s="524"/>
      <c r="R191" s="524"/>
      <c r="S191" s="524"/>
      <c r="T191" s="524"/>
      <c r="U191" s="524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1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24"/>
      <c r="P192" s="524"/>
      <c r="Q192" s="524"/>
      <c r="R192" s="524"/>
      <c r="S192" s="524"/>
      <c r="T192" s="524"/>
      <c r="U192" s="52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22" t="s">
        <v>190</v>
      </c>
      <c r="D193" s="108">
        <v>4.8</v>
      </c>
      <c r="E193" s="108"/>
      <c r="F193" s="127"/>
      <c r="G193" s="128"/>
      <c r="H193" s="51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24"/>
      <c r="P193" s="524"/>
      <c r="Q193" s="524"/>
      <c r="R193" s="524"/>
      <c r="S193" s="524"/>
      <c r="T193" s="524"/>
      <c r="U193" s="52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22" t="s">
        <v>187</v>
      </c>
      <c r="D194" s="108">
        <v>4.8</v>
      </c>
      <c r="E194" s="108"/>
      <c r="F194" s="127"/>
      <c r="G194" s="128"/>
      <c r="H194" s="51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24"/>
      <c r="P194" s="524"/>
      <c r="Q194" s="524"/>
      <c r="R194" s="524"/>
      <c r="S194" s="524"/>
      <c r="T194" s="524"/>
      <c r="U194" s="52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22" t="s">
        <v>179</v>
      </c>
      <c r="D195" s="108">
        <v>4.8</v>
      </c>
      <c r="E195" s="108"/>
      <c r="F195" s="127"/>
      <c r="G195" s="128"/>
      <c r="H195" s="51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24"/>
      <c r="P195" s="524"/>
      <c r="Q195" s="524"/>
      <c r="R195" s="524"/>
      <c r="S195" s="524"/>
      <c r="T195" s="524"/>
      <c r="U195" s="52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22" t="s">
        <v>199</v>
      </c>
      <c r="D196" s="108">
        <v>4.8</v>
      </c>
      <c r="E196" s="108"/>
      <c r="F196" s="127"/>
      <c r="G196" s="128"/>
      <c r="H196" s="51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24"/>
      <c r="P196" s="524"/>
      <c r="Q196" s="524"/>
      <c r="R196" s="524"/>
      <c r="S196" s="524"/>
      <c r="T196" s="524"/>
      <c r="U196" s="52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1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24"/>
      <c r="P197" s="524"/>
      <c r="Q197" s="524"/>
      <c r="R197" s="524"/>
      <c r="S197" s="524"/>
      <c r="T197" s="524"/>
      <c r="U197" s="52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42745</v>
      </c>
      <c r="G198" s="128">
        <v>34</v>
      </c>
      <c r="H198" s="516">
        <f t="shared" si="82"/>
        <v>169.66</v>
      </c>
      <c r="I198" s="129">
        <f>1.5*4</f>
        <v>6</v>
      </c>
      <c r="J198" s="130">
        <f t="array" ref="J198">IF(ISERROR(G198/I198),"",G198/I198)</f>
        <v>5.666666666666667</v>
      </c>
      <c r="K198" s="131">
        <f t="array" ref="K198">IF(ISERROR(G198/L198),"",G198/L198)</f>
        <v>1.446808510638298</v>
      </c>
      <c r="L198" s="129">
        <v>23.5</v>
      </c>
      <c r="M198" s="109">
        <f t="shared" si="83"/>
        <v>4.5531914893617023</v>
      </c>
      <c r="N198" s="130">
        <f t="shared" si="87"/>
        <v>0</v>
      </c>
      <c r="O198" s="524"/>
      <c r="P198" s="524"/>
      <c r="Q198" s="524"/>
      <c r="R198" s="524"/>
      <c r="S198" s="524"/>
      <c r="T198" s="524"/>
      <c r="U198" s="524"/>
      <c r="V198" s="132">
        <f t="shared" si="88"/>
        <v>0</v>
      </c>
      <c r="W198" s="133">
        <f t="shared" si="89"/>
        <v>0</v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525" t="s">
        <v>202</v>
      </c>
      <c r="D199" s="143"/>
      <c r="E199" s="143"/>
      <c r="F199" s="144"/>
      <c r="G199" s="145">
        <f>SUM(G178:G198)</f>
        <v>1705</v>
      </c>
      <c r="H199" s="146">
        <f>SUM(H178:H198)</f>
        <v>8637.65</v>
      </c>
      <c r="I199" s="146">
        <f>SUM(I178:I198)</f>
        <v>95.5</v>
      </c>
      <c r="J199" s="130">
        <f t="array" ref="J199">IF(ISERROR(G199/I199),"",G199/I199)</f>
        <v>17.853403141361255</v>
      </c>
      <c r="K199" s="146">
        <f>SUM(K178:K198)</f>
        <v>232.15524840833652</v>
      </c>
      <c r="L199" s="147"/>
      <c r="M199" s="150">
        <f t="shared" ref="M199:AA199" si="90">SUM(M178:M198)</f>
        <v>-136.65524840833652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15" t="s">
        <v>206</v>
      </c>
      <c r="C200" s="126" t="s">
        <v>199</v>
      </c>
      <c r="D200" s="108">
        <v>5.03</v>
      </c>
      <c r="E200" s="108"/>
      <c r="F200" s="127">
        <v>42746</v>
      </c>
      <c r="G200" s="128">
        <f>108*7+33</f>
        <v>789</v>
      </c>
      <c r="H200" s="516">
        <f t="shared" ref="H200:H256" si="91">D200*G200</f>
        <v>3968.67</v>
      </c>
      <c r="I200" s="129">
        <v>8</v>
      </c>
      <c r="J200" s="130">
        <f t="array" ref="J200">IF(ISERROR(G200/I200),"",G200/I200)</f>
        <v>98.625</v>
      </c>
      <c r="K200" s="131">
        <f t="array" ref="K200">IF(ISERROR(G200/L200),"",G200/L200)</f>
        <v>15.173076923076923</v>
      </c>
      <c r="L200" s="129">
        <v>52</v>
      </c>
      <c r="M200" s="109">
        <f t="shared" ref="M200" si="92">IF(ISERROR(I200-K200),"",I200-K200)</f>
        <v>-7.1730769230769234</v>
      </c>
      <c r="N200" s="130">
        <f t="shared" ref="N200" si="93">SUM(O200:U200)</f>
        <v>0</v>
      </c>
      <c r="O200" s="520"/>
      <c r="P200" s="520"/>
      <c r="Q200" s="520"/>
      <c r="R200" s="520"/>
      <c r="S200" s="520"/>
      <c r="T200" s="520"/>
      <c r="U200" s="520"/>
      <c r="V200" s="132">
        <f t="shared" ref="V200" si="94">SUM(X200:AA200)</f>
        <v>0</v>
      </c>
      <c r="W200" s="133">
        <f t="shared" ref="W200" si="95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15" t="s">
        <v>425</v>
      </c>
      <c r="C201" s="187" t="s">
        <v>427</v>
      </c>
      <c r="D201" s="108">
        <v>5.03</v>
      </c>
      <c r="E201" s="108"/>
      <c r="F201" s="127"/>
      <c r="G201" s="128"/>
      <c r="H201" s="51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20"/>
      <c r="P201" s="520"/>
      <c r="Q201" s="520"/>
      <c r="R201" s="520"/>
      <c r="S201" s="520"/>
      <c r="T201" s="520"/>
      <c r="U201" s="520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15" t="s">
        <v>206</v>
      </c>
      <c r="C202" s="126" t="s">
        <v>186</v>
      </c>
      <c r="D202" s="108">
        <v>5.03</v>
      </c>
      <c r="E202" s="108"/>
      <c r="F202" s="127"/>
      <c r="G202" s="128"/>
      <c r="H202" s="51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20"/>
      <c r="P202" s="520"/>
      <c r="Q202" s="520"/>
      <c r="R202" s="520"/>
      <c r="S202" s="520"/>
      <c r="T202" s="520"/>
      <c r="U202" s="520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15" t="s">
        <v>206</v>
      </c>
      <c r="C203" s="126" t="s">
        <v>203</v>
      </c>
      <c r="D203" s="108">
        <v>5.03</v>
      </c>
      <c r="E203" s="108"/>
      <c r="F203" s="127"/>
      <c r="G203" s="128"/>
      <c r="H203" s="51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20"/>
      <c r="P203" s="520"/>
      <c r="Q203" s="520"/>
      <c r="R203" s="520"/>
      <c r="S203" s="520"/>
      <c r="T203" s="520"/>
      <c r="U203" s="52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15" t="s">
        <v>206</v>
      </c>
      <c r="C204" s="126" t="s">
        <v>207</v>
      </c>
      <c r="D204" s="108">
        <v>5.03</v>
      </c>
      <c r="E204" s="108"/>
      <c r="F204" s="127"/>
      <c r="G204" s="128"/>
      <c r="H204" s="51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20"/>
      <c r="P204" s="520"/>
      <c r="Q204" s="520"/>
      <c r="R204" s="520"/>
      <c r="S204" s="520"/>
      <c r="T204" s="520"/>
      <c r="U204" s="52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15" t="s">
        <v>414</v>
      </c>
      <c r="C205" s="187" t="s">
        <v>415</v>
      </c>
      <c r="D205" s="108">
        <v>5.03</v>
      </c>
      <c r="E205" s="108"/>
      <c r="F205" s="127"/>
      <c r="G205" s="128"/>
      <c r="H205" s="51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20"/>
      <c r="P205" s="520"/>
      <c r="Q205" s="520"/>
      <c r="R205" s="520"/>
      <c r="S205" s="520"/>
      <c r="T205" s="520"/>
      <c r="U205" s="520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15" t="s">
        <v>414</v>
      </c>
      <c r="C206" s="187" t="s">
        <v>416</v>
      </c>
      <c r="D206" s="108">
        <v>5.03</v>
      </c>
      <c r="E206" s="108"/>
      <c r="F206" s="127"/>
      <c r="G206" s="128"/>
      <c r="H206" s="516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20"/>
      <c r="P206" s="520"/>
      <c r="Q206" s="520"/>
      <c r="R206" s="520"/>
      <c r="S206" s="520"/>
      <c r="T206" s="520"/>
      <c r="U206" s="52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15" t="s">
        <v>414</v>
      </c>
      <c r="C207" s="187" t="s">
        <v>61</v>
      </c>
      <c r="D207" s="108">
        <v>5.03</v>
      </c>
      <c r="E207" s="108"/>
      <c r="F207" s="127"/>
      <c r="G207" s="128"/>
      <c r="H207" s="51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20"/>
      <c r="P207" s="520"/>
      <c r="Q207" s="520"/>
      <c r="R207" s="520"/>
      <c r="S207" s="520"/>
      <c r="T207" s="520"/>
      <c r="U207" s="52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15" t="s">
        <v>208</v>
      </c>
      <c r="C208" s="126" t="s">
        <v>179</v>
      </c>
      <c r="D208" s="108">
        <v>5.08</v>
      </c>
      <c r="E208" s="108"/>
      <c r="F208" s="127"/>
      <c r="G208" s="128"/>
      <c r="H208" s="51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8" si="101">IF(ISERROR(I208-K208),"",I208-K208)</f>
        <v>0</v>
      </c>
      <c r="N208" s="130">
        <f t="shared" ref="N208:N237" si="102">SUM(O208:U208)</f>
        <v>0</v>
      </c>
      <c r="O208" s="520"/>
      <c r="P208" s="520"/>
      <c r="Q208" s="520"/>
      <c r="R208" s="520"/>
      <c r="S208" s="520"/>
      <c r="T208" s="520"/>
      <c r="U208" s="52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15" t="s">
        <v>208</v>
      </c>
      <c r="C209" s="126" t="s">
        <v>204</v>
      </c>
      <c r="D209" s="108">
        <v>5.08</v>
      </c>
      <c r="E209" s="108"/>
      <c r="F209" s="127"/>
      <c r="G209" s="128"/>
      <c r="H209" s="51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20"/>
      <c r="P209" s="520"/>
      <c r="Q209" s="520"/>
      <c r="R209" s="520"/>
      <c r="S209" s="520"/>
      <c r="T209" s="520"/>
      <c r="U209" s="52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15" t="s">
        <v>208</v>
      </c>
      <c r="C210" s="126" t="s">
        <v>205</v>
      </c>
      <c r="D210" s="108">
        <v>5.08</v>
      </c>
      <c r="E210" s="108"/>
      <c r="F210" s="127"/>
      <c r="G210" s="128"/>
      <c r="H210" s="51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20"/>
      <c r="P210" s="520"/>
      <c r="Q210" s="520"/>
      <c r="R210" s="520"/>
      <c r="S210" s="520"/>
      <c r="T210" s="520"/>
      <c r="U210" s="52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15" t="s">
        <v>208</v>
      </c>
      <c r="C211" s="126" t="s">
        <v>186</v>
      </c>
      <c r="D211" s="108">
        <v>5.08</v>
      </c>
      <c r="E211" s="108"/>
      <c r="F211" s="127"/>
      <c r="G211" s="128"/>
      <c r="H211" s="51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20"/>
      <c r="P211" s="520"/>
      <c r="Q211" s="520"/>
      <c r="R211" s="520"/>
      <c r="S211" s="520"/>
      <c r="T211" s="520"/>
      <c r="U211" s="52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515" t="s">
        <v>208</v>
      </c>
      <c r="C212" s="126" t="s">
        <v>203</v>
      </c>
      <c r="D212" s="108">
        <v>5.08</v>
      </c>
      <c r="E212" s="108"/>
      <c r="F212" s="127">
        <v>42746</v>
      </c>
      <c r="G212" s="128">
        <f>108*6+72</f>
        <v>720</v>
      </c>
      <c r="H212" s="516">
        <f t="shared" si="91"/>
        <v>3657.6</v>
      </c>
      <c r="I212" s="129">
        <f>11.5*4</f>
        <v>46</v>
      </c>
      <c r="J212" s="130">
        <f t="array" ref="J212">IF(ISERROR(G212/I212),"",G212/I212)</f>
        <v>15.652173913043478</v>
      </c>
      <c r="K212" s="131">
        <f t="array" ref="K212">IF(ISERROR(G212/L212),"",G212/L212)</f>
        <v>34.285714285714285</v>
      </c>
      <c r="L212" s="129">
        <v>21</v>
      </c>
      <c r="M212" s="109">
        <f t="shared" si="101"/>
        <v>11.714285714285715</v>
      </c>
      <c r="N212" s="130">
        <f t="shared" si="102"/>
        <v>0</v>
      </c>
      <c r="O212" s="520"/>
      <c r="P212" s="520"/>
      <c r="Q212" s="520"/>
      <c r="R212" s="520"/>
      <c r="S212" s="520"/>
      <c r="T212" s="520"/>
      <c r="U212" s="520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15" t="s">
        <v>208</v>
      </c>
      <c r="C213" s="126" t="s">
        <v>199</v>
      </c>
      <c r="D213" s="108">
        <v>5.08</v>
      </c>
      <c r="E213" s="108"/>
      <c r="F213" s="127"/>
      <c r="G213" s="128"/>
      <c r="H213" s="51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24"/>
      <c r="P213" s="524"/>
      <c r="Q213" s="524"/>
      <c r="R213" s="524"/>
      <c r="S213" s="524"/>
      <c r="T213" s="524"/>
      <c r="U213" s="52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15" t="s">
        <v>208</v>
      </c>
      <c r="C214" s="126" t="s">
        <v>187</v>
      </c>
      <c r="D214" s="108">
        <v>5.08</v>
      </c>
      <c r="E214" s="108"/>
      <c r="F214" s="127"/>
      <c r="G214" s="128"/>
      <c r="H214" s="51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20"/>
      <c r="P214" s="520"/>
      <c r="Q214" s="520"/>
      <c r="R214" s="520"/>
      <c r="S214" s="520"/>
      <c r="T214" s="520"/>
      <c r="U214" s="52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15" t="s">
        <v>208</v>
      </c>
      <c r="C215" s="126" t="s">
        <v>207</v>
      </c>
      <c r="D215" s="108">
        <v>5.08</v>
      </c>
      <c r="E215" s="108"/>
      <c r="F215" s="127"/>
      <c r="G215" s="128"/>
      <c r="H215" s="51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24"/>
      <c r="P215" s="524"/>
      <c r="Q215" s="524"/>
      <c r="R215" s="524"/>
      <c r="S215" s="524"/>
      <c r="T215" s="524"/>
      <c r="U215" s="524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15" t="s">
        <v>209</v>
      </c>
      <c r="C216" s="126" t="s">
        <v>194</v>
      </c>
      <c r="D216" s="108">
        <v>5.03</v>
      </c>
      <c r="E216" s="108"/>
      <c r="F216" s="127"/>
      <c r="G216" s="128"/>
      <c r="H216" s="51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20"/>
      <c r="P216" s="520"/>
      <c r="Q216" s="520"/>
      <c r="R216" s="520"/>
      <c r="S216" s="520"/>
      <c r="T216" s="520"/>
      <c r="U216" s="52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15" t="s">
        <v>209</v>
      </c>
      <c r="C217" s="126" t="s">
        <v>179</v>
      </c>
      <c r="D217" s="108">
        <v>5.03</v>
      </c>
      <c r="E217" s="108"/>
      <c r="F217" s="127"/>
      <c r="G217" s="128"/>
      <c r="H217" s="51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20"/>
      <c r="P217" s="520"/>
      <c r="Q217" s="520"/>
      <c r="R217" s="520"/>
      <c r="S217" s="520"/>
      <c r="T217" s="520"/>
      <c r="U217" s="52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15" t="s">
        <v>209</v>
      </c>
      <c r="C218" s="126" t="s">
        <v>195</v>
      </c>
      <c r="D218" s="108">
        <v>5.03</v>
      </c>
      <c r="E218" s="108"/>
      <c r="F218" s="127"/>
      <c r="G218" s="128"/>
      <c r="H218" s="51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20"/>
      <c r="P218" s="520"/>
      <c r="Q218" s="520"/>
      <c r="R218" s="520"/>
      <c r="S218" s="520"/>
      <c r="T218" s="520"/>
      <c r="U218" s="52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15" t="s">
        <v>209</v>
      </c>
      <c r="C219" s="126" t="s">
        <v>204</v>
      </c>
      <c r="D219" s="108">
        <v>5.03</v>
      </c>
      <c r="E219" s="108"/>
      <c r="F219" s="127">
        <v>42746</v>
      </c>
      <c r="G219" s="128">
        <f>108*2</f>
        <v>216</v>
      </c>
      <c r="H219" s="516">
        <f t="shared" si="91"/>
        <v>1086.48</v>
      </c>
      <c r="I219" s="129">
        <v>3.5</v>
      </c>
      <c r="J219" s="130">
        <f t="array" ref="J219">IF(ISERROR(G219/I219),"",G219/I219)</f>
        <v>61.714285714285715</v>
      </c>
      <c r="K219" s="131">
        <f t="array" ref="K219">IF(ISERROR(G219/L219),"",G219/L219)</f>
        <v>3.8571428571428572</v>
      </c>
      <c r="L219" s="129">
        <v>56</v>
      </c>
      <c r="M219" s="109">
        <f t="shared" si="101"/>
        <v>-0.35714285714285721</v>
      </c>
      <c r="N219" s="130">
        <f t="shared" si="102"/>
        <v>0</v>
      </c>
      <c r="O219" s="520"/>
      <c r="P219" s="520"/>
      <c r="Q219" s="520"/>
      <c r="R219" s="520"/>
      <c r="S219" s="520"/>
      <c r="T219" s="520"/>
      <c r="U219" s="520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15" t="s">
        <v>382</v>
      </c>
      <c r="C220" s="187" t="s">
        <v>383</v>
      </c>
      <c r="D220" s="108">
        <v>5.03</v>
      </c>
      <c r="E220" s="108"/>
      <c r="F220" s="127"/>
      <c r="G220" s="128"/>
      <c r="H220" s="51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20"/>
      <c r="P220" s="520"/>
      <c r="Q220" s="520"/>
      <c r="R220" s="520"/>
      <c r="S220" s="520"/>
      <c r="T220" s="520"/>
      <c r="U220" s="52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15" t="s">
        <v>382</v>
      </c>
      <c r="C221" s="187" t="s">
        <v>384</v>
      </c>
      <c r="D221" s="108">
        <v>5.03</v>
      </c>
      <c r="E221" s="108"/>
      <c r="F221" s="127"/>
      <c r="G221" s="128"/>
      <c r="H221" s="51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20"/>
      <c r="P221" s="520"/>
      <c r="Q221" s="520"/>
      <c r="R221" s="520"/>
      <c r="S221" s="520"/>
      <c r="T221" s="520"/>
      <c r="U221" s="52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15" t="s">
        <v>382</v>
      </c>
      <c r="C222" s="187" t="s">
        <v>389</v>
      </c>
      <c r="D222" s="108">
        <v>5.03</v>
      </c>
      <c r="E222" s="108"/>
      <c r="F222" s="127"/>
      <c r="G222" s="128"/>
      <c r="H222" s="51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20"/>
      <c r="P222" s="520"/>
      <c r="Q222" s="520"/>
      <c r="R222" s="520"/>
      <c r="S222" s="520"/>
      <c r="T222" s="520"/>
      <c r="U222" s="52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15" t="s">
        <v>382</v>
      </c>
      <c r="C223" s="187" t="s">
        <v>391</v>
      </c>
      <c r="D223" s="108">
        <v>5.03</v>
      </c>
      <c r="E223" s="108"/>
      <c r="F223" s="127"/>
      <c r="G223" s="128"/>
      <c r="H223" s="51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20"/>
      <c r="P223" s="520"/>
      <c r="Q223" s="520"/>
      <c r="R223" s="520"/>
      <c r="S223" s="520"/>
      <c r="T223" s="520"/>
      <c r="U223" s="52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15" t="s">
        <v>418</v>
      </c>
      <c r="C224" s="187" t="s">
        <v>364</v>
      </c>
      <c r="D224" s="108">
        <v>5.03</v>
      </c>
      <c r="E224" s="108"/>
      <c r="F224" s="127"/>
      <c r="G224" s="128"/>
      <c r="H224" s="51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20"/>
      <c r="P224" s="520"/>
      <c r="Q224" s="520"/>
      <c r="R224" s="520"/>
      <c r="S224" s="520"/>
      <c r="T224" s="520"/>
      <c r="U224" s="52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15" t="s">
        <v>418</v>
      </c>
      <c r="C225" s="187" t="s">
        <v>365</v>
      </c>
      <c r="D225" s="108">
        <v>5.03</v>
      </c>
      <c r="E225" s="108"/>
      <c r="F225" s="127"/>
      <c r="G225" s="128"/>
      <c r="H225" s="51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20"/>
      <c r="P225" s="520"/>
      <c r="Q225" s="520"/>
      <c r="R225" s="520"/>
      <c r="S225" s="520"/>
      <c r="T225" s="520"/>
      <c r="U225" s="52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15" t="s">
        <v>418</v>
      </c>
      <c r="C226" s="187" t="s">
        <v>366</v>
      </c>
      <c r="D226" s="108">
        <v>5.03</v>
      </c>
      <c r="E226" s="108"/>
      <c r="F226" s="127"/>
      <c r="G226" s="128"/>
      <c r="H226" s="51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20"/>
      <c r="P226" s="520"/>
      <c r="Q226" s="520"/>
      <c r="R226" s="520"/>
      <c r="S226" s="520"/>
      <c r="T226" s="520"/>
      <c r="U226" s="52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15" t="s">
        <v>418</v>
      </c>
      <c r="C227" s="187" t="s">
        <v>367</v>
      </c>
      <c r="D227" s="108">
        <v>5.03</v>
      </c>
      <c r="E227" s="108"/>
      <c r="F227" s="127"/>
      <c r="G227" s="128"/>
      <c r="H227" s="51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20"/>
      <c r="P227" s="520"/>
      <c r="Q227" s="520"/>
      <c r="R227" s="520"/>
      <c r="S227" s="520"/>
      <c r="T227" s="520"/>
      <c r="U227" s="520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1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24"/>
      <c r="P228" s="524"/>
      <c r="Q228" s="524"/>
      <c r="R228" s="524"/>
      <c r="S228" s="524"/>
      <c r="T228" s="524"/>
      <c r="U228" s="524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1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24"/>
      <c r="P229" s="524"/>
      <c r="Q229" s="524"/>
      <c r="R229" s="524"/>
      <c r="S229" s="524"/>
      <c r="T229" s="524"/>
      <c r="U229" s="52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1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24"/>
      <c r="P230" s="524"/>
      <c r="Q230" s="524"/>
      <c r="R230" s="524"/>
      <c r="S230" s="524"/>
      <c r="T230" s="524"/>
      <c r="U230" s="52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1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24"/>
      <c r="P231" s="524"/>
      <c r="Q231" s="524"/>
      <c r="R231" s="524"/>
      <c r="S231" s="524"/>
      <c r="T231" s="524"/>
      <c r="U231" s="52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1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24"/>
      <c r="P232" s="524"/>
      <c r="Q232" s="524"/>
      <c r="R232" s="524"/>
      <c r="S232" s="524"/>
      <c r="T232" s="524"/>
      <c r="U232" s="52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1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24"/>
      <c r="P233" s="524"/>
      <c r="Q233" s="524"/>
      <c r="R233" s="524"/>
      <c r="S233" s="524"/>
      <c r="T233" s="524"/>
      <c r="U233" s="52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1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24"/>
      <c r="P234" s="524"/>
      <c r="Q234" s="524"/>
      <c r="R234" s="524"/>
      <c r="S234" s="524"/>
      <c r="T234" s="524"/>
      <c r="U234" s="52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1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24"/>
      <c r="P235" s="524"/>
      <c r="Q235" s="524"/>
      <c r="R235" s="524"/>
      <c r="S235" s="524"/>
      <c r="T235" s="524"/>
      <c r="U235" s="52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51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24"/>
      <c r="P236" s="524"/>
      <c r="Q236" s="524"/>
      <c r="R236" s="524"/>
      <c r="S236" s="524"/>
      <c r="T236" s="524"/>
      <c r="U236" s="52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>
        <v>42744</v>
      </c>
      <c r="G237" s="128">
        <f>90*6</f>
        <v>540</v>
      </c>
      <c r="H237" s="516">
        <f t="shared" si="91"/>
        <v>2716.2000000000003</v>
      </c>
      <c r="I237" s="129">
        <f>11.5*2</f>
        <v>23</v>
      </c>
      <c r="J237" s="130">
        <f t="array" ref="J237">IF(ISERROR(G237/I237),"",G237/I237)</f>
        <v>23.478260869565219</v>
      </c>
      <c r="K237" s="131">
        <f t="array" ref="K237">IF(ISERROR(G237/L237),"",G237/L237)</f>
        <v>10.8</v>
      </c>
      <c r="L237" s="129">
        <v>50</v>
      </c>
      <c r="M237" s="109">
        <f t="shared" si="101"/>
        <v>12.2</v>
      </c>
      <c r="N237" s="130">
        <f t="shared" si="102"/>
        <v>0</v>
      </c>
      <c r="O237" s="524"/>
      <c r="P237" s="524"/>
      <c r="Q237" s="524"/>
      <c r="R237" s="524"/>
      <c r="S237" s="524"/>
      <c r="T237" s="524"/>
      <c r="U237" s="524"/>
      <c r="V237" s="132">
        <f t="shared" si="105"/>
        <v>0</v>
      </c>
      <c r="W237" s="133">
        <f t="shared" si="106"/>
        <v>0</v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>
        <v>42744</v>
      </c>
      <c r="G238" s="128">
        <f>25+90*2+90</f>
        <v>295</v>
      </c>
      <c r="H238" s="516">
        <f t="shared" si="91"/>
        <v>1483.8500000000001</v>
      </c>
      <c r="I238" s="129">
        <f>11.5*2</f>
        <v>23</v>
      </c>
      <c r="J238" s="130">
        <f t="array" ref="J238">IF(ISERROR(G238/I238),"",G238/I238)</f>
        <v>12.826086956521738</v>
      </c>
      <c r="K238" s="131">
        <f t="array" ref="K238">IF(ISERROR(G238/L238),"",G238/L238)</f>
        <v>5.9</v>
      </c>
      <c r="L238" s="129">
        <v>50</v>
      </c>
      <c r="M238" s="109">
        <f t="shared" si="101"/>
        <v>17.100000000000001</v>
      </c>
      <c r="N238" s="130"/>
      <c r="O238" s="524"/>
      <c r="P238" s="524"/>
      <c r="Q238" s="524"/>
      <c r="R238" s="524"/>
      <c r="S238" s="524"/>
      <c r="T238" s="524"/>
      <c r="U238" s="52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1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24"/>
      <c r="P239" s="524"/>
      <c r="Q239" s="524"/>
      <c r="R239" s="524"/>
      <c r="S239" s="524"/>
      <c r="T239" s="524"/>
      <c r="U239" s="52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1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24"/>
      <c r="P240" s="524"/>
      <c r="Q240" s="524"/>
      <c r="R240" s="524"/>
      <c r="S240" s="524"/>
      <c r="T240" s="524"/>
      <c r="U240" s="52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16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24"/>
      <c r="P241" s="524"/>
      <c r="Q241" s="524"/>
      <c r="R241" s="524"/>
      <c r="S241" s="524"/>
      <c r="T241" s="524"/>
      <c r="U241" s="524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1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24"/>
      <c r="P242" s="524"/>
      <c r="Q242" s="524"/>
      <c r="R242" s="524"/>
      <c r="S242" s="524"/>
      <c r="T242" s="524"/>
      <c r="U242" s="52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1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24"/>
      <c r="P243" s="524"/>
      <c r="Q243" s="524"/>
      <c r="R243" s="524"/>
      <c r="S243" s="524"/>
      <c r="T243" s="524"/>
      <c r="U243" s="52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1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24"/>
      <c r="P244" s="524"/>
      <c r="Q244" s="524"/>
      <c r="R244" s="524"/>
      <c r="S244" s="524"/>
      <c r="T244" s="524"/>
      <c r="U244" s="52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1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24"/>
      <c r="P245" s="524"/>
      <c r="Q245" s="524"/>
      <c r="R245" s="524"/>
      <c r="S245" s="524"/>
      <c r="T245" s="524"/>
      <c r="U245" s="52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1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24"/>
      <c r="P246" s="524"/>
      <c r="Q246" s="524"/>
      <c r="R246" s="524"/>
      <c r="S246" s="524"/>
      <c r="T246" s="524"/>
      <c r="U246" s="52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1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24"/>
      <c r="P247" s="524"/>
      <c r="Q247" s="524"/>
      <c r="R247" s="524"/>
      <c r="S247" s="524"/>
      <c r="T247" s="524"/>
      <c r="U247" s="52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1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24"/>
      <c r="P248" s="524"/>
      <c r="Q248" s="524"/>
      <c r="R248" s="524"/>
      <c r="S248" s="524"/>
      <c r="T248" s="524"/>
      <c r="U248" s="52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1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24"/>
      <c r="P249" s="524"/>
      <c r="Q249" s="524"/>
      <c r="R249" s="524"/>
      <c r="S249" s="524"/>
      <c r="T249" s="524"/>
      <c r="U249" s="52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1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24"/>
      <c r="P250" s="524"/>
      <c r="Q250" s="524"/>
      <c r="R250" s="524"/>
      <c r="S250" s="524"/>
      <c r="T250" s="524"/>
      <c r="U250" s="52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1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24"/>
      <c r="P251" s="524"/>
      <c r="Q251" s="524"/>
      <c r="R251" s="524"/>
      <c r="S251" s="524"/>
      <c r="T251" s="524"/>
      <c r="U251" s="52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1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24"/>
      <c r="P252" s="524"/>
      <c r="Q252" s="524"/>
      <c r="R252" s="524"/>
      <c r="S252" s="524"/>
      <c r="T252" s="524"/>
      <c r="U252" s="52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1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24"/>
      <c r="P253" s="524"/>
      <c r="Q253" s="524"/>
      <c r="R253" s="524"/>
      <c r="S253" s="524"/>
      <c r="T253" s="524"/>
      <c r="U253" s="52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1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24"/>
      <c r="P254" s="524"/>
      <c r="Q254" s="524"/>
      <c r="R254" s="524"/>
      <c r="S254" s="524"/>
      <c r="T254" s="524"/>
      <c r="U254" s="52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1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24"/>
      <c r="P255" s="524"/>
      <c r="Q255" s="524"/>
      <c r="R255" s="524"/>
      <c r="S255" s="524"/>
      <c r="T255" s="524"/>
      <c r="U255" s="52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1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24"/>
      <c r="P256" s="524"/>
      <c r="Q256" s="524"/>
      <c r="R256" s="524"/>
      <c r="S256" s="524"/>
      <c r="T256" s="524"/>
      <c r="U256" s="524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25" t="s">
        <v>202</v>
      </c>
      <c r="D257" s="143"/>
      <c r="E257" s="143"/>
      <c r="F257" s="144"/>
      <c r="G257" s="145">
        <f>SUM(G200:G256)</f>
        <v>2560</v>
      </c>
      <c r="H257" s="146">
        <f>SUM(H200:H256)</f>
        <v>12912.800000000001</v>
      </c>
      <c r="I257" s="146">
        <f>SUM(I200:I256)</f>
        <v>103.5</v>
      </c>
      <c r="J257" s="130">
        <f t="array" ref="J257">IF(ISERROR(G257/I257),"",G257/I257)</f>
        <v>24.734299516908212</v>
      </c>
      <c r="K257" s="146">
        <f>SUM(K200:K256)</f>
        <v>70.015934065934076</v>
      </c>
      <c r="L257" s="147"/>
      <c r="M257" s="150">
        <f t="shared" ref="M257:V257" si="114">SUM(M200:M256)</f>
        <v>33.484065934065939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15" t="s">
        <v>217</v>
      </c>
      <c r="C258" s="126" t="s">
        <v>179</v>
      </c>
      <c r="D258" s="108">
        <v>5.03</v>
      </c>
      <c r="E258" s="108"/>
      <c r="F258" s="127"/>
      <c r="G258" s="128"/>
      <c r="H258" s="51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24"/>
      <c r="P258" s="524"/>
      <c r="Q258" s="524"/>
      <c r="R258" s="524"/>
      <c r="S258" s="524"/>
      <c r="T258" s="524"/>
      <c r="U258" s="52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15" t="s">
        <v>217</v>
      </c>
      <c r="C259" s="126" t="s">
        <v>186</v>
      </c>
      <c r="D259" s="108">
        <v>5.03</v>
      </c>
      <c r="E259" s="108"/>
      <c r="F259" s="127"/>
      <c r="G259" s="128"/>
      <c r="H259" s="51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24"/>
      <c r="P259" s="524"/>
      <c r="Q259" s="524"/>
      <c r="R259" s="524"/>
      <c r="S259" s="524"/>
      <c r="T259" s="524"/>
      <c r="U259" s="52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15" t="s">
        <v>217</v>
      </c>
      <c r="C260" s="126" t="s">
        <v>204</v>
      </c>
      <c r="D260" s="108">
        <v>5.03</v>
      </c>
      <c r="E260" s="108"/>
      <c r="F260" s="127"/>
      <c r="G260" s="128"/>
      <c r="H260" s="51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24"/>
      <c r="P260" s="524"/>
      <c r="Q260" s="524"/>
      <c r="R260" s="524"/>
      <c r="S260" s="524"/>
      <c r="T260" s="524"/>
      <c r="U260" s="52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1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24"/>
      <c r="P261" s="524"/>
      <c r="Q261" s="524"/>
      <c r="R261" s="524"/>
      <c r="S261" s="524"/>
      <c r="T261" s="524"/>
      <c r="U261" s="52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1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24"/>
      <c r="P262" s="524"/>
      <c r="Q262" s="524"/>
      <c r="R262" s="524"/>
      <c r="S262" s="524"/>
      <c r="T262" s="524"/>
      <c r="U262" s="52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1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24"/>
      <c r="P263" s="524"/>
      <c r="Q263" s="524"/>
      <c r="R263" s="524"/>
      <c r="S263" s="524"/>
      <c r="T263" s="524"/>
      <c r="U263" s="52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1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24"/>
      <c r="P264" s="524"/>
      <c r="Q264" s="524"/>
      <c r="R264" s="524"/>
      <c r="S264" s="524"/>
      <c r="T264" s="524"/>
      <c r="U264" s="52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1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24"/>
      <c r="P265" s="524"/>
      <c r="Q265" s="524"/>
      <c r="R265" s="524"/>
      <c r="S265" s="524"/>
      <c r="T265" s="524"/>
      <c r="U265" s="52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1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24"/>
      <c r="P266" s="524"/>
      <c r="Q266" s="524"/>
      <c r="R266" s="524"/>
      <c r="S266" s="524"/>
      <c r="T266" s="524"/>
      <c r="U266" s="52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1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24"/>
      <c r="P267" s="524"/>
      <c r="Q267" s="524"/>
      <c r="R267" s="524"/>
      <c r="S267" s="524"/>
      <c r="T267" s="524"/>
      <c r="U267" s="52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1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24"/>
      <c r="P268" s="524"/>
      <c r="Q268" s="524"/>
      <c r="R268" s="524"/>
      <c r="S268" s="524"/>
      <c r="T268" s="524"/>
      <c r="U268" s="52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1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24"/>
      <c r="P269" s="524"/>
      <c r="Q269" s="524"/>
      <c r="R269" s="524"/>
      <c r="S269" s="524"/>
      <c r="T269" s="524"/>
      <c r="U269" s="52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1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24"/>
      <c r="P270" s="524"/>
      <c r="Q270" s="524"/>
      <c r="R270" s="524"/>
      <c r="S270" s="524"/>
      <c r="T270" s="524"/>
      <c r="U270" s="52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1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24"/>
      <c r="P271" s="524"/>
      <c r="Q271" s="524"/>
      <c r="R271" s="524"/>
      <c r="S271" s="524"/>
      <c r="T271" s="524"/>
      <c r="U271" s="52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1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24"/>
      <c r="P272" s="524"/>
      <c r="Q272" s="524"/>
      <c r="R272" s="524"/>
      <c r="S272" s="524"/>
      <c r="T272" s="524"/>
      <c r="U272" s="52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1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24"/>
      <c r="P273" s="524"/>
      <c r="Q273" s="524"/>
      <c r="R273" s="524"/>
      <c r="S273" s="524"/>
      <c r="T273" s="524"/>
      <c r="U273" s="52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15" t="s">
        <v>222</v>
      </c>
      <c r="C274" s="126" t="s">
        <v>181</v>
      </c>
      <c r="D274" s="108">
        <v>9.36</v>
      </c>
      <c r="E274" s="108"/>
      <c r="F274" s="127"/>
      <c r="G274" s="128"/>
      <c r="H274" s="51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24"/>
      <c r="P274" s="524"/>
      <c r="Q274" s="524"/>
      <c r="R274" s="524"/>
      <c r="S274" s="524"/>
      <c r="T274" s="524"/>
      <c r="U274" s="52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15" t="s">
        <v>222</v>
      </c>
      <c r="C275" s="126" t="s">
        <v>179</v>
      </c>
      <c r="D275" s="108">
        <v>9.36</v>
      </c>
      <c r="E275" s="108"/>
      <c r="F275" s="127"/>
      <c r="G275" s="128"/>
      <c r="H275" s="51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24"/>
      <c r="P275" s="524"/>
      <c r="Q275" s="524"/>
      <c r="R275" s="524"/>
      <c r="S275" s="524"/>
      <c r="T275" s="524"/>
      <c r="U275" s="52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15" t="s">
        <v>222</v>
      </c>
      <c r="C276" s="126" t="s">
        <v>221</v>
      </c>
      <c r="D276" s="108">
        <v>9.36</v>
      </c>
      <c r="E276" s="108"/>
      <c r="F276" s="127"/>
      <c r="G276" s="128"/>
      <c r="H276" s="51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24"/>
      <c r="P276" s="524"/>
      <c r="Q276" s="524"/>
      <c r="R276" s="524"/>
      <c r="S276" s="524"/>
      <c r="T276" s="524"/>
      <c r="U276" s="52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15" t="s">
        <v>222</v>
      </c>
      <c r="C277" s="126" t="s">
        <v>186</v>
      </c>
      <c r="D277" s="108">
        <v>9.36</v>
      </c>
      <c r="E277" s="108"/>
      <c r="F277" s="127"/>
      <c r="G277" s="128"/>
      <c r="H277" s="51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24"/>
      <c r="P277" s="524"/>
      <c r="Q277" s="524"/>
      <c r="R277" s="524"/>
      <c r="S277" s="524"/>
      <c r="T277" s="524"/>
      <c r="U277" s="52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15" t="s">
        <v>393</v>
      </c>
      <c r="C278" s="187" t="s">
        <v>395</v>
      </c>
      <c r="D278" s="108">
        <v>5</v>
      </c>
      <c r="E278" s="108"/>
      <c r="F278" s="127"/>
      <c r="G278" s="128"/>
      <c r="H278" s="51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24"/>
      <c r="P278" s="524"/>
      <c r="Q278" s="524"/>
      <c r="R278" s="524"/>
      <c r="S278" s="524"/>
      <c r="T278" s="524"/>
      <c r="U278" s="524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515" t="s">
        <v>393</v>
      </c>
      <c r="C279" s="187" t="s">
        <v>402</v>
      </c>
      <c r="D279" s="108">
        <v>5</v>
      </c>
      <c r="E279" s="108"/>
      <c r="F279" s="127">
        <v>42745</v>
      </c>
      <c r="G279" s="128">
        <v>17</v>
      </c>
      <c r="H279" s="516">
        <f t="shared" si="116"/>
        <v>85</v>
      </c>
      <c r="I279" s="129">
        <v>4</v>
      </c>
      <c r="J279" s="130">
        <f t="array" ref="J279">IF(ISERROR(G279/I279),"",G279/I279)</f>
        <v>4.25</v>
      </c>
      <c r="K279" s="131">
        <f t="array" ref="K279">IF(ISERROR(G279/L279),"",G279/L279)</f>
        <v>3.4</v>
      </c>
      <c r="L279" s="129">
        <v>5</v>
      </c>
      <c r="M279" s="109">
        <f t="shared" si="120"/>
        <v>0.60000000000000009</v>
      </c>
      <c r="N279" s="130">
        <f t="shared" si="121"/>
        <v>0</v>
      </c>
      <c r="O279" s="524"/>
      <c r="P279" s="524"/>
      <c r="Q279" s="524"/>
      <c r="R279" s="524"/>
      <c r="S279" s="524"/>
      <c r="T279" s="524"/>
      <c r="U279" s="52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15" t="s">
        <v>404</v>
      </c>
      <c r="C280" s="187" t="s">
        <v>405</v>
      </c>
      <c r="D280" s="108">
        <v>5</v>
      </c>
      <c r="E280" s="108"/>
      <c r="F280" s="127"/>
      <c r="G280" s="128"/>
      <c r="H280" s="51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24"/>
      <c r="P280" s="524"/>
      <c r="Q280" s="524"/>
      <c r="R280" s="524"/>
      <c r="S280" s="524"/>
      <c r="T280" s="524"/>
      <c r="U280" s="52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15" t="s">
        <v>342</v>
      </c>
      <c r="C281" s="187" t="s">
        <v>372</v>
      </c>
      <c r="D281" s="108">
        <v>5</v>
      </c>
      <c r="E281" s="108"/>
      <c r="F281" s="127"/>
      <c r="G281" s="128"/>
      <c r="H281" s="51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24"/>
      <c r="P281" s="524"/>
      <c r="Q281" s="524"/>
      <c r="R281" s="524"/>
      <c r="S281" s="524"/>
      <c r="T281" s="524"/>
      <c r="U281" s="52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15" t="s">
        <v>343</v>
      </c>
      <c r="C282" s="126" t="s">
        <v>345</v>
      </c>
      <c r="D282" s="108">
        <v>5</v>
      </c>
      <c r="E282" s="108"/>
      <c r="F282" s="127"/>
      <c r="G282" s="128"/>
      <c r="H282" s="51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24"/>
      <c r="P282" s="524"/>
      <c r="Q282" s="524"/>
      <c r="R282" s="524"/>
      <c r="S282" s="524"/>
      <c r="T282" s="524"/>
      <c r="U282" s="52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15" t="s">
        <v>343</v>
      </c>
      <c r="C283" s="126" t="s">
        <v>347</v>
      </c>
      <c r="D283" s="108">
        <v>5</v>
      </c>
      <c r="E283" s="108"/>
      <c r="F283" s="127"/>
      <c r="G283" s="128"/>
      <c r="H283" s="51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24"/>
      <c r="P283" s="524"/>
      <c r="Q283" s="524"/>
      <c r="R283" s="524"/>
      <c r="S283" s="524"/>
      <c r="T283" s="524"/>
      <c r="U283" s="52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1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24"/>
      <c r="P284" s="524"/>
      <c r="Q284" s="524"/>
      <c r="R284" s="524"/>
      <c r="S284" s="524"/>
      <c r="T284" s="524"/>
      <c r="U284" s="52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1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24"/>
      <c r="P285" s="524"/>
      <c r="Q285" s="524"/>
      <c r="R285" s="524"/>
      <c r="S285" s="524"/>
      <c r="T285" s="524"/>
      <c r="U285" s="52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1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24"/>
      <c r="P286" s="524"/>
      <c r="Q286" s="524"/>
      <c r="R286" s="524"/>
      <c r="S286" s="524"/>
      <c r="T286" s="524"/>
      <c r="U286" s="52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1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24"/>
      <c r="P287" s="524"/>
      <c r="Q287" s="524"/>
      <c r="R287" s="524"/>
      <c r="S287" s="524"/>
      <c r="T287" s="524"/>
      <c r="U287" s="52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1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24"/>
      <c r="P288" s="524"/>
      <c r="Q288" s="524"/>
      <c r="R288" s="524"/>
      <c r="S288" s="524"/>
      <c r="T288" s="524"/>
      <c r="U288" s="524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16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24"/>
      <c r="P289" s="524"/>
      <c r="Q289" s="524"/>
      <c r="R289" s="524"/>
      <c r="S289" s="524"/>
      <c r="T289" s="524"/>
      <c r="U289" s="524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1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24"/>
      <c r="P290" s="524"/>
      <c r="Q290" s="524"/>
      <c r="R290" s="524"/>
      <c r="S290" s="524"/>
      <c r="T290" s="524"/>
      <c r="U290" s="52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100*2+52</f>
        <v>252</v>
      </c>
      <c r="H291" s="516">
        <f t="shared" si="116"/>
        <v>1275.1199999999999</v>
      </c>
      <c r="I291" s="129">
        <f>11.5*3</f>
        <v>34.5</v>
      </c>
      <c r="J291" s="130">
        <f t="array" ref="J291">IF(ISERROR(G291/I291),"",G291/I291)</f>
        <v>7.3043478260869561</v>
      </c>
      <c r="K291" s="516">
        <f t="array" ref="K291">IF(ISERROR(G291/L291),"",G291/L291)</f>
        <v>28</v>
      </c>
      <c r="L291" s="129">
        <v>9</v>
      </c>
      <c r="M291" s="109">
        <f t="shared" si="127"/>
        <v>6.5</v>
      </c>
      <c r="N291" s="130">
        <f t="shared" si="128"/>
        <v>0</v>
      </c>
      <c r="O291" s="524"/>
      <c r="P291" s="524"/>
      <c r="Q291" s="524"/>
      <c r="R291" s="524"/>
      <c r="S291" s="524"/>
      <c r="T291" s="524"/>
      <c r="U291" s="524"/>
      <c r="V291" s="132">
        <f t="shared" si="129"/>
        <v>0</v>
      </c>
      <c r="W291" s="133">
        <f t="shared" si="130"/>
        <v>0</v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525" t="s">
        <v>202</v>
      </c>
      <c r="D292" s="143"/>
      <c r="E292" s="143"/>
      <c r="F292" s="144"/>
      <c r="G292" s="145">
        <f>SUM(G258:G291)</f>
        <v>269</v>
      </c>
      <c r="H292" s="146">
        <f>SUM(H258:H291)</f>
        <v>1360.12</v>
      </c>
      <c r="I292" s="146">
        <f>SUM(I258:I291)</f>
        <v>38.5</v>
      </c>
      <c r="J292" s="130">
        <f t="array" ref="J292">IF(ISERROR(G292/I292),"",G292/I292)</f>
        <v>6.9870129870129869</v>
      </c>
      <c r="K292" s="146">
        <f>SUM(K258:K291)</f>
        <v>31.4</v>
      </c>
      <c r="L292" s="147"/>
      <c r="M292" s="150">
        <f t="shared" ref="M292:V292" si="131">SUM(M258:M291)</f>
        <v>7.1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527">
        <f>2</f>
        <v>2</v>
      </c>
      <c r="H293" s="516">
        <f t="shared" ref="H293:H307" si="132">D293*G293</f>
        <v>10.06</v>
      </c>
      <c r="I293" s="129">
        <v>0.08</v>
      </c>
      <c r="J293" s="130">
        <f t="array" ref="J293">IF(ISERROR(G293/I293),"",G293/I293)</f>
        <v>25</v>
      </c>
      <c r="K293" s="131">
        <f t="array" ref="K293">IF(ISERROR(G293/L293),"",G293/L293)</f>
        <v>0.08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24"/>
      <c r="P293" s="524"/>
      <c r="Q293" s="524"/>
      <c r="R293" s="524"/>
      <c r="S293" s="524"/>
      <c r="T293" s="524"/>
      <c r="U293" s="524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 t="s">
        <v>547</v>
      </c>
      <c r="G294" s="128">
        <f>90*6+47+1-47</f>
        <v>541</v>
      </c>
      <c r="H294" s="516">
        <f t="shared" si="132"/>
        <v>2721.23</v>
      </c>
      <c r="I294" s="129">
        <f>9.5*2+11.5*2</f>
        <v>42</v>
      </c>
      <c r="J294" s="130">
        <f t="array" ref="J294">IF(ISERROR(G294/I294),"",G294/I294)</f>
        <v>12.880952380952381</v>
      </c>
      <c r="K294" s="131">
        <f t="array" ref="K294">IF(ISERROR(G294/L294),"",G294/L294)</f>
        <v>21.64</v>
      </c>
      <c r="L294" s="129">
        <v>25</v>
      </c>
      <c r="M294" s="109">
        <f t="shared" si="133"/>
        <v>20.36</v>
      </c>
      <c r="N294" s="130">
        <f t="shared" si="134"/>
        <v>0</v>
      </c>
      <c r="O294" s="524"/>
      <c r="P294" s="524"/>
      <c r="Q294" s="524"/>
      <c r="R294" s="524"/>
      <c r="S294" s="524"/>
      <c r="T294" s="524"/>
      <c r="U294" s="524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1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24"/>
      <c r="P295" s="524"/>
      <c r="Q295" s="524"/>
      <c r="R295" s="524"/>
      <c r="S295" s="524"/>
      <c r="T295" s="524"/>
      <c r="U295" s="52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1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24"/>
      <c r="P296" s="524"/>
      <c r="Q296" s="524"/>
      <c r="R296" s="524"/>
      <c r="S296" s="524"/>
      <c r="T296" s="524"/>
      <c r="U296" s="52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21" t="s">
        <v>203</v>
      </c>
      <c r="D297" s="108">
        <v>5.03</v>
      </c>
      <c r="E297" s="108"/>
      <c r="F297" s="127"/>
      <c r="G297" s="128"/>
      <c r="H297" s="51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24"/>
      <c r="P297" s="524"/>
      <c r="Q297" s="524"/>
      <c r="R297" s="524"/>
      <c r="S297" s="524"/>
      <c r="T297" s="524"/>
      <c r="U297" s="52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1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24"/>
      <c r="P298" s="524"/>
      <c r="Q298" s="524"/>
      <c r="R298" s="524"/>
      <c r="S298" s="524"/>
      <c r="T298" s="524"/>
      <c r="U298" s="52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1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24"/>
      <c r="P299" s="524"/>
      <c r="Q299" s="524"/>
      <c r="R299" s="524"/>
      <c r="S299" s="524"/>
      <c r="T299" s="524"/>
      <c r="U299" s="52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21" t="s">
        <v>228</v>
      </c>
      <c r="D300" s="108">
        <v>5.03</v>
      </c>
      <c r="E300" s="108"/>
      <c r="F300" s="127"/>
      <c r="G300" s="128"/>
      <c r="H300" s="51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24"/>
      <c r="P300" s="524"/>
      <c r="Q300" s="524"/>
      <c r="R300" s="524"/>
      <c r="S300" s="524"/>
      <c r="T300" s="524"/>
      <c r="U300" s="52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21" t="s">
        <v>212</v>
      </c>
      <c r="D301" s="108">
        <v>5.03</v>
      </c>
      <c r="E301" s="108"/>
      <c r="F301" s="127"/>
      <c r="G301" s="128"/>
      <c r="H301" s="51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24"/>
      <c r="P301" s="524"/>
      <c r="Q301" s="524"/>
      <c r="R301" s="524"/>
      <c r="S301" s="524"/>
      <c r="T301" s="524"/>
      <c r="U301" s="52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21" t="s">
        <v>203</v>
      </c>
      <c r="D302" s="108">
        <v>5.03</v>
      </c>
      <c r="E302" s="108"/>
      <c r="F302" s="127"/>
      <c r="G302" s="128"/>
      <c r="H302" s="51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24"/>
      <c r="P302" s="524"/>
      <c r="Q302" s="524"/>
      <c r="R302" s="524"/>
      <c r="S302" s="524"/>
      <c r="T302" s="524"/>
      <c r="U302" s="52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21" t="s">
        <v>186</v>
      </c>
      <c r="D303" s="108">
        <v>5.03</v>
      </c>
      <c r="E303" s="108"/>
      <c r="F303" s="127"/>
      <c r="G303" s="128"/>
      <c r="H303" s="51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24"/>
      <c r="P303" s="524"/>
      <c r="Q303" s="524"/>
      <c r="R303" s="524"/>
      <c r="S303" s="524"/>
      <c r="T303" s="524"/>
      <c r="U303" s="52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21" t="s">
        <v>228</v>
      </c>
      <c r="D304" s="108">
        <v>5.03</v>
      </c>
      <c r="E304" s="108"/>
      <c r="F304" s="127"/>
      <c r="G304" s="128"/>
      <c r="H304" s="51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24"/>
      <c r="P304" s="524"/>
      <c r="Q304" s="524"/>
      <c r="R304" s="524"/>
      <c r="S304" s="524"/>
      <c r="T304" s="524"/>
      <c r="U304" s="52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21" t="s">
        <v>199</v>
      </c>
      <c r="D305" s="108">
        <v>5.03</v>
      </c>
      <c r="E305" s="108"/>
      <c r="F305" s="127"/>
      <c r="G305" s="128"/>
      <c r="H305" s="51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24"/>
      <c r="P305" s="524"/>
      <c r="Q305" s="524"/>
      <c r="R305" s="524"/>
      <c r="S305" s="524"/>
      <c r="T305" s="524"/>
      <c r="U305" s="52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1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24"/>
      <c r="P306" s="524"/>
      <c r="Q306" s="524"/>
      <c r="R306" s="524"/>
      <c r="S306" s="524"/>
      <c r="T306" s="524"/>
      <c r="U306" s="52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516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524"/>
      <c r="P307" s="524"/>
      <c r="Q307" s="524"/>
      <c r="R307" s="524"/>
      <c r="S307" s="524"/>
      <c r="T307" s="524"/>
      <c r="U307" s="524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525" t="s">
        <v>202</v>
      </c>
      <c r="D308" s="143"/>
      <c r="E308" s="143"/>
      <c r="F308" s="144"/>
      <c r="G308" s="145">
        <f>SUM(G293:G307)</f>
        <v>543</v>
      </c>
      <c r="H308" s="146">
        <f>SUM(H293:H307)</f>
        <v>2731.29</v>
      </c>
      <c r="I308" s="146">
        <f>SUM(I293:I307)</f>
        <v>42.08</v>
      </c>
      <c r="J308" s="130">
        <f t="array" ref="J308">IF(ISERROR(G308/I308),"",G308/I308)</f>
        <v>12.903992395437262</v>
      </c>
      <c r="K308" s="146">
        <f>SUM(K293:K307)</f>
        <v>21.72</v>
      </c>
      <c r="L308" s="146"/>
      <c r="M308" s="150">
        <f>SUM(M293:M307)</f>
        <v>20.36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1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7" si="137">IF(ISERROR(I309-K309),"",I309-K309)</f>
        <v>0</v>
      </c>
      <c r="N309" s="130">
        <f t="shared" ref="N309:N313" si="138">SUM(O309:U309)</f>
        <v>0</v>
      </c>
      <c r="O309" s="524"/>
      <c r="P309" s="524"/>
      <c r="Q309" s="524"/>
      <c r="R309" s="524"/>
      <c r="S309" s="524"/>
      <c r="T309" s="524"/>
      <c r="U309" s="52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1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24"/>
      <c r="P310" s="524"/>
      <c r="Q310" s="524"/>
      <c r="R310" s="524"/>
      <c r="S310" s="524"/>
      <c r="T310" s="524"/>
      <c r="U310" s="52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1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24"/>
      <c r="P311" s="524"/>
      <c r="Q311" s="524"/>
      <c r="R311" s="524"/>
      <c r="S311" s="524"/>
      <c r="T311" s="524"/>
      <c r="U311" s="52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1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24"/>
      <c r="P312" s="524"/>
      <c r="Q312" s="524"/>
      <c r="R312" s="524"/>
      <c r="S312" s="524"/>
      <c r="T312" s="524"/>
      <c r="U312" s="52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1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24"/>
      <c r="P313" s="524"/>
      <c r="Q313" s="524"/>
      <c r="R313" s="524"/>
      <c r="S313" s="524"/>
      <c r="T313" s="524"/>
      <c r="U313" s="52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v>2</v>
      </c>
      <c r="H314" s="516">
        <f t="shared" si="136"/>
        <v>10.06</v>
      </c>
      <c r="I314" s="129">
        <v>0.15</v>
      </c>
      <c r="J314" s="130">
        <f t="array" ref="J314">IF(ISERROR(G314/I314),"",G314/I314)</f>
        <v>13.333333333333334</v>
      </c>
      <c r="K314" s="131">
        <f t="array" ref="K314">IF(ISERROR(G314/L314),"",G314/L314)</f>
        <v>0.14814814814814814</v>
      </c>
      <c r="L314" s="129">
        <v>13.5</v>
      </c>
      <c r="M314" s="109">
        <f t="shared" si="137"/>
        <v>1.8518518518518545E-3</v>
      </c>
      <c r="N314" s="130"/>
      <c r="O314" s="524"/>
      <c r="P314" s="524"/>
      <c r="Q314" s="524"/>
      <c r="R314" s="524"/>
      <c r="S314" s="524"/>
      <c r="T314" s="524"/>
      <c r="U314" s="52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16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524"/>
      <c r="P315" s="524"/>
      <c r="Q315" s="524"/>
      <c r="R315" s="524"/>
      <c r="S315" s="524"/>
      <c r="T315" s="524"/>
      <c r="U315" s="524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4+11</f>
        <v>15</v>
      </c>
      <c r="H316" s="516">
        <f t="shared" si="136"/>
        <v>75.45</v>
      </c>
      <c r="I316" s="129">
        <v>1</v>
      </c>
      <c r="J316" s="130">
        <f t="array" ref="J316">IF(ISERROR(G316/I316),"",G316/I316)</f>
        <v>15</v>
      </c>
      <c r="K316" s="131">
        <f t="array" ref="K316">IF(ISERROR(G316/L316),"",G316/L316)</f>
        <v>1.1111111111111112</v>
      </c>
      <c r="L316" s="129">
        <v>13.5</v>
      </c>
      <c r="M316" s="109">
        <f t="shared" si="137"/>
        <v>-0.11111111111111116</v>
      </c>
      <c r="N316" s="130"/>
      <c r="O316" s="524"/>
      <c r="P316" s="524"/>
      <c r="Q316" s="524"/>
      <c r="R316" s="524"/>
      <c r="S316" s="524"/>
      <c r="T316" s="524"/>
      <c r="U316" s="524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7</v>
      </c>
      <c r="H317" s="516">
        <f t="shared" si="136"/>
        <v>35.21</v>
      </c>
      <c r="I317" s="129">
        <v>0.5</v>
      </c>
      <c r="J317" s="130">
        <f t="array" ref="J317">IF(ISERROR(G317/I317),"",G317/I317)</f>
        <v>14</v>
      </c>
      <c r="K317" s="131">
        <f t="array" ref="K317">IF(ISERROR(G317/L317),"",G317/L317)</f>
        <v>0.51851851851851849</v>
      </c>
      <c r="L317" s="129">
        <v>13.5</v>
      </c>
      <c r="M317" s="109">
        <f t="shared" si="137"/>
        <v>-1.851851851851849E-2</v>
      </c>
      <c r="N317" s="130"/>
      <c r="O317" s="524"/>
      <c r="P317" s="524"/>
      <c r="Q317" s="524"/>
      <c r="R317" s="524"/>
      <c r="S317" s="524"/>
      <c r="T317" s="524"/>
      <c r="U317" s="52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1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24"/>
      <c r="P318" s="524"/>
      <c r="Q318" s="524"/>
      <c r="R318" s="524"/>
      <c r="S318" s="524"/>
      <c r="T318" s="524"/>
      <c r="U318" s="52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525" t="s">
        <v>202</v>
      </c>
      <c r="D319" s="143"/>
      <c r="E319" s="143"/>
      <c r="F319" s="144"/>
      <c r="G319" s="145">
        <f>SUM(G309:G318)</f>
        <v>24</v>
      </c>
      <c r="H319" s="146">
        <f>SUM(H309:H318)</f>
        <v>120.72</v>
      </c>
      <c r="I319" s="146">
        <f>SUM(I309:I318)</f>
        <v>1.65</v>
      </c>
      <c r="J319" s="130">
        <f t="array" ref="J319">IF(ISERROR(G319/I319),"",G319/I319)</f>
        <v>14.545454545454547</v>
      </c>
      <c r="K319" s="146">
        <f>SUM(K309:K318)</f>
        <v>1.7777777777777777</v>
      </c>
      <c r="L319" s="147"/>
      <c r="M319" s="150">
        <f>SUM(M309:M318)</f>
        <v>-0.1277777777777778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22"/>
      <c r="D320" s="108">
        <v>3.65</v>
      </c>
      <c r="E320" s="108"/>
      <c r="F320" s="153"/>
      <c r="G320" s="128"/>
      <c r="H320" s="516">
        <f t="shared" ref="H320:H333" si="144">D320*G320</f>
        <v>0</v>
      </c>
      <c r="I320" s="129"/>
      <c r="J320" s="130" t="str">
        <f t="array" ref="J320">IF(ISERROR(G320/I320),"",G320/I320)</f>
        <v/>
      </c>
      <c r="K320" s="51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24"/>
      <c r="P320" s="524"/>
      <c r="Q320" s="524"/>
      <c r="R320" s="524"/>
      <c r="S320" s="524"/>
      <c r="T320" s="524"/>
      <c r="U320" s="52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22"/>
      <c r="D321" s="108">
        <v>6.58</v>
      </c>
      <c r="E321" s="108"/>
      <c r="F321" s="127"/>
      <c r="G321" s="128"/>
      <c r="H321" s="51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24"/>
      <c r="P321" s="524"/>
      <c r="Q321" s="524"/>
      <c r="R321" s="524"/>
      <c r="S321" s="524"/>
      <c r="T321" s="524"/>
      <c r="U321" s="52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22"/>
      <c r="D322" s="108">
        <v>7.8</v>
      </c>
      <c r="E322" s="108"/>
      <c r="F322" s="127"/>
      <c r="G322" s="128"/>
      <c r="H322" s="516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524"/>
      <c r="P322" s="524"/>
      <c r="Q322" s="524"/>
      <c r="R322" s="524"/>
      <c r="S322" s="524"/>
      <c r="T322" s="524"/>
      <c r="U322" s="524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22"/>
      <c r="D323" s="108">
        <v>4.4000000000000004</v>
      </c>
      <c r="E323" s="108"/>
      <c r="F323" s="127"/>
      <c r="G323" s="128"/>
      <c r="H323" s="51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24"/>
      <c r="P323" s="524"/>
      <c r="Q323" s="524"/>
      <c r="R323" s="524"/>
      <c r="S323" s="524"/>
      <c r="T323" s="524"/>
      <c r="U323" s="52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22"/>
      <c r="D324" s="108"/>
      <c r="E324" s="108"/>
      <c r="F324" s="127"/>
      <c r="G324" s="128"/>
      <c r="H324" s="51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24"/>
      <c r="P324" s="524"/>
      <c r="Q324" s="524"/>
      <c r="R324" s="524"/>
      <c r="S324" s="524"/>
      <c r="T324" s="524"/>
      <c r="U324" s="52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22" t="s">
        <v>239</v>
      </c>
      <c r="C325" s="522" t="s">
        <v>179</v>
      </c>
      <c r="D325" s="108">
        <v>6.04</v>
      </c>
      <c r="E325" s="108"/>
      <c r="F325" s="127"/>
      <c r="G325" s="128"/>
      <c r="H325" s="51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7" si="148">IF(ISERROR(I325-K325),"",I325-K325)</f>
        <v>0</v>
      </c>
      <c r="N325" s="130">
        <f t="shared" ref="N325:N326" si="149">SUM(O325:U325)</f>
        <v>0</v>
      </c>
      <c r="O325" s="524"/>
      <c r="P325" s="524"/>
      <c r="Q325" s="524"/>
      <c r="R325" s="524"/>
      <c r="S325" s="524"/>
      <c r="T325" s="524"/>
      <c r="U325" s="52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22" t="s">
        <v>239</v>
      </c>
      <c r="C326" s="522" t="s">
        <v>186</v>
      </c>
      <c r="D326" s="108">
        <v>6.04</v>
      </c>
      <c r="E326" s="108"/>
      <c r="F326" s="127"/>
      <c r="G326" s="128"/>
      <c r="H326" s="51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24"/>
      <c r="P326" s="524"/>
      <c r="Q326" s="524"/>
      <c r="R326" s="524"/>
      <c r="S326" s="524"/>
      <c r="T326" s="524"/>
      <c r="U326" s="52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22" t="s">
        <v>443</v>
      </c>
      <c r="C327" s="522" t="s">
        <v>179</v>
      </c>
      <c r="D327" s="108">
        <v>6</v>
      </c>
      <c r="E327" s="108"/>
      <c r="F327" s="127">
        <v>42746</v>
      </c>
      <c r="G327" s="128">
        <f>42+27</f>
        <v>69</v>
      </c>
      <c r="H327" s="516">
        <f t="shared" si="144"/>
        <v>414</v>
      </c>
      <c r="I327" s="129">
        <f>11.5*4</f>
        <v>46</v>
      </c>
      <c r="J327" s="130">
        <f t="array" ref="J327">IF(ISERROR(G327/I327),"",G327/I327)</f>
        <v>1.5</v>
      </c>
      <c r="K327" s="131">
        <f t="array" ref="K327">IF(ISERROR(G327/L327),"",G327/L327)</f>
        <v>11.5</v>
      </c>
      <c r="L327" s="129">
        <v>6</v>
      </c>
      <c r="M327" s="109">
        <f t="shared" si="148"/>
        <v>34.5</v>
      </c>
      <c r="N327" s="130"/>
      <c r="O327" s="524"/>
      <c r="P327" s="524"/>
      <c r="Q327" s="524"/>
      <c r="R327" s="524"/>
      <c r="S327" s="524"/>
      <c r="T327" s="524"/>
      <c r="U327" s="52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22" t="s">
        <v>443</v>
      </c>
      <c r="C328" s="522" t="s">
        <v>60</v>
      </c>
      <c r="D328" s="108">
        <v>6</v>
      </c>
      <c r="E328" s="108"/>
      <c r="F328" s="127"/>
      <c r="G328" s="128"/>
      <c r="H328" s="51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24"/>
      <c r="P328" s="524"/>
      <c r="Q328" s="524"/>
      <c r="R328" s="524"/>
      <c r="S328" s="524"/>
      <c r="T328" s="524"/>
      <c r="U328" s="52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15" t="s">
        <v>240</v>
      </c>
      <c r="C329" s="126"/>
      <c r="D329" s="108">
        <v>7.3</v>
      </c>
      <c r="E329" s="108"/>
      <c r="F329" s="127"/>
      <c r="G329" s="128"/>
      <c r="H329" s="516">
        <f t="shared" si="144"/>
        <v>0</v>
      </c>
      <c r="I329" s="129"/>
      <c r="J329" s="130"/>
      <c r="K329" s="131"/>
      <c r="L329" s="129"/>
      <c r="M329" s="109"/>
      <c r="N329" s="130"/>
      <c r="O329" s="524"/>
      <c r="P329" s="524"/>
      <c r="Q329" s="524"/>
      <c r="R329" s="524"/>
      <c r="S329" s="524"/>
      <c r="T329" s="524"/>
      <c r="U329" s="52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15" t="s">
        <v>241</v>
      </c>
      <c r="C330" s="126"/>
      <c r="D330" s="108">
        <f>78*120/1000</f>
        <v>9.36</v>
      </c>
      <c r="E330" s="108"/>
      <c r="F330" s="127"/>
      <c r="G330" s="128"/>
      <c r="H330" s="51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24"/>
      <c r="P330" s="524"/>
      <c r="Q330" s="524"/>
      <c r="R330" s="524"/>
      <c r="S330" s="524"/>
      <c r="T330" s="524"/>
      <c r="U330" s="52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15" t="s">
        <v>242</v>
      </c>
      <c r="C331" s="126"/>
      <c r="D331" s="108">
        <v>4.5</v>
      </c>
      <c r="E331" s="108"/>
      <c r="F331" s="127"/>
      <c r="G331" s="128"/>
      <c r="H331" s="51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24"/>
      <c r="P331" s="524"/>
      <c r="Q331" s="524"/>
      <c r="R331" s="524"/>
      <c r="S331" s="524"/>
      <c r="T331" s="524"/>
      <c r="U331" s="52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15" t="s">
        <v>243</v>
      </c>
      <c r="C332" s="126"/>
      <c r="D332" s="108">
        <v>4.5</v>
      </c>
      <c r="E332" s="108"/>
      <c r="F332" s="127"/>
      <c r="G332" s="128"/>
      <c r="H332" s="51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24"/>
      <c r="P332" s="524"/>
      <c r="Q332" s="524"/>
      <c r="R332" s="524"/>
      <c r="S332" s="524"/>
      <c r="T332" s="524"/>
      <c r="U332" s="52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1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24"/>
      <c r="P333" s="524"/>
      <c r="Q333" s="524"/>
      <c r="R333" s="524"/>
      <c r="S333" s="524"/>
      <c r="T333" s="524"/>
      <c r="U333" s="524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525" t="s">
        <v>202</v>
      </c>
      <c r="D334" s="143"/>
      <c r="E334" s="143"/>
      <c r="F334" s="144"/>
      <c r="G334" s="145">
        <f>SUM(G320:G333)</f>
        <v>69</v>
      </c>
      <c r="H334" s="146">
        <f>SUM(H320:H330)</f>
        <v>414</v>
      </c>
      <c r="I334" s="146">
        <f>SUM(I320:I333)</f>
        <v>46</v>
      </c>
      <c r="J334" s="130">
        <f t="array" ref="J334">IF(ISERROR(G334/I334),"",G334/I334)</f>
        <v>1.5</v>
      </c>
      <c r="K334" s="146">
        <f>SUM(K320:K330)</f>
        <v>11.5</v>
      </c>
      <c r="L334" s="147"/>
      <c r="M334" s="150">
        <f t="shared" ref="M334:AA334" si="155">SUM(M320:M330)</f>
        <v>34.5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5170</v>
      </c>
      <c r="H335" s="154">
        <f>SUM(H199,H257,H292,H308,H319,H334)</f>
        <v>26176.58</v>
      </c>
      <c r="I335" s="154">
        <f>SUM(I199,I257,I292,I308,I319,I334)</f>
        <v>327.22999999999996</v>
      </c>
      <c r="J335" s="155">
        <f t="array" ref="J335">IF(ISERROR(G335/I335),"",G335/I335)</f>
        <v>15.79928490664059</v>
      </c>
      <c r="K335" s="154">
        <f>SUM(K199,K257,K292,K308,K319,K334)</f>
        <v>368.56896025204838</v>
      </c>
      <c r="L335" s="155">
        <f>IF(ISERROR(G335/K335),"",G335/K335)</f>
        <v>14.027225723144078</v>
      </c>
      <c r="M335" s="154">
        <f t="shared" ref="M335:AA335" si="156">SUM(M199,M257,M292,M308,M319,M334)</f>
        <v>-41.338960252048366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3" t="s">
        <v>476</v>
      </c>
      <c r="B336" s="518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518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518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518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518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518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518">
        <f>G335</f>
        <v>5170</v>
      </c>
      <c r="C342" s="638" t="s">
        <v>269</v>
      </c>
      <c r="D342" s="639"/>
      <c r="E342" s="631">
        <f>H335</f>
        <v>26176.58</v>
      </c>
      <c r="F342" s="631"/>
      <c r="G342" s="631" t="s">
        <v>270</v>
      </c>
      <c r="H342" s="631"/>
      <c r="I342" s="640">
        <f>L335</f>
        <v>14.027225723144078</v>
      </c>
      <c r="J342" s="640"/>
      <c r="K342" s="628" t="s">
        <v>271</v>
      </c>
      <c r="L342" s="628"/>
      <c r="M342" s="640">
        <f>J335</f>
        <v>15.79928490664059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518">
        <f>I335+C341</f>
        <v>329.22999999999996</v>
      </c>
      <c r="C343" s="641" t="s">
        <v>251</v>
      </c>
      <c r="D343" s="642"/>
      <c r="E343" s="643">
        <f>K335+I341</f>
        <v>398.56896025204838</v>
      </c>
      <c r="F343" s="643"/>
      <c r="G343" s="631" t="s">
        <v>274</v>
      </c>
      <c r="H343" s="631"/>
      <c r="I343" s="640">
        <f>B343-E343</f>
        <v>-69.338960252048423</v>
      </c>
      <c r="J343" s="640"/>
      <c r="K343" s="628" t="s">
        <v>275</v>
      </c>
      <c r="L343" s="628"/>
      <c r="M343" s="632">
        <f>IF(ISERROR(I343/E343),"",I343/E343)</f>
        <v>-0.17396979485858513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518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296</v>
      </c>
      <c r="H348" s="522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515" t="s">
        <v>178</v>
      </c>
      <c r="C349" s="126" t="s">
        <v>179</v>
      </c>
      <c r="D349" s="108">
        <v>5.03</v>
      </c>
      <c r="E349" s="108"/>
      <c r="F349" s="127"/>
      <c r="G349" s="128"/>
      <c r="H349" s="51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24"/>
      <c r="P349" s="524"/>
      <c r="Q349" s="524"/>
      <c r="R349" s="524"/>
      <c r="S349" s="524"/>
      <c r="T349" s="524"/>
      <c r="U349" s="52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1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24"/>
      <c r="P350" s="524"/>
      <c r="Q350" s="524"/>
      <c r="R350" s="524"/>
      <c r="S350" s="524"/>
      <c r="T350" s="524"/>
      <c r="U350" s="52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1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24"/>
      <c r="P351" s="524"/>
      <c r="Q351" s="524"/>
      <c r="R351" s="524"/>
      <c r="S351" s="524"/>
      <c r="T351" s="524"/>
      <c r="U351" s="52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1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24"/>
      <c r="P352" s="524"/>
      <c r="Q352" s="524"/>
      <c r="R352" s="524"/>
      <c r="S352" s="524"/>
      <c r="T352" s="524"/>
      <c r="U352" s="52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1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24"/>
      <c r="P353" s="524"/>
      <c r="Q353" s="524"/>
      <c r="R353" s="524"/>
      <c r="S353" s="524"/>
      <c r="T353" s="524"/>
      <c r="U353" s="52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1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24"/>
      <c r="P354" s="524"/>
      <c r="Q354" s="524"/>
      <c r="R354" s="524"/>
      <c r="S354" s="524"/>
      <c r="T354" s="524"/>
      <c r="U354" s="52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1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24"/>
      <c r="P355" s="524"/>
      <c r="Q355" s="524"/>
      <c r="R355" s="524"/>
      <c r="S355" s="524"/>
      <c r="T355" s="524"/>
      <c r="U355" s="52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1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24"/>
      <c r="P356" s="524"/>
      <c r="Q356" s="524"/>
      <c r="R356" s="524"/>
      <c r="S356" s="524"/>
      <c r="T356" s="524"/>
      <c r="U356" s="52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16">
        <f t="shared" si="157"/>
        <v>0</v>
      </c>
      <c r="I357" s="51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24"/>
      <c r="P357" s="524"/>
      <c r="Q357" s="524"/>
      <c r="R357" s="524"/>
      <c r="S357" s="524"/>
      <c r="T357" s="524"/>
      <c r="U357" s="52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16">
        <f t="shared" si="157"/>
        <v>0</v>
      </c>
      <c r="I358" s="51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24"/>
      <c r="P358" s="524"/>
      <c r="Q358" s="524"/>
      <c r="R358" s="524"/>
      <c r="S358" s="524"/>
      <c r="T358" s="524"/>
      <c r="U358" s="52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16">
        <f t="shared" si="157"/>
        <v>0</v>
      </c>
      <c r="I359" s="516"/>
      <c r="J359" s="130"/>
      <c r="K359" s="131"/>
      <c r="L359" s="129"/>
      <c r="M359" s="109"/>
      <c r="N359" s="130"/>
      <c r="O359" s="524"/>
      <c r="P359" s="524"/>
      <c r="Q359" s="524"/>
      <c r="R359" s="524"/>
      <c r="S359" s="524"/>
      <c r="T359" s="524"/>
      <c r="U359" s="52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16">
        <f t="shared" si="157"/>
        <v>0</v>
      </c>
      <c r="I360" s="516"/>
      <c r="J360" s="130"/>
      <c r="K360" s="131"/>
      <c r="L360" s="129"/>
      <c r="M360" s="109"/>
      <c r="N360" s="130"/>
      <c r="O360" s="524"/>
      <c r="P360" s="524"/>
      <c r="Q360" s="524"/>
      <c r="R360" s="524"/>
      <c r="S360" s="524"/>
      <c r="T360" s="524"/>
      <c r="U360" s="52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1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24"/>
      <c r="P361" s="524"/>
      <c r="Q361" s="524"/>
      <c r="R361" s="524"/>
      <c r="S361" s="524"/>
      <c r="T361" s="524"/>
      <c r="U361" s="52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1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24"/>
      <c r="P362" s="524"/>
      <c r="Q362" s="524"/>
      <c r="R362" s="524"/>
      <c r="S362" s="524"/>
      <c r="T362" s="524"/>
      <c r="U362" s="52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1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24"/>
      <c r="P363" s="524"/>
      <c r="Q363" s="524"/>
      <c r="R363" s="524"/>
      <c r="S363" s="524"/>
      <c r="T363" s="524"/>
      <c r="U363" s="52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22" t="s">
        <v>190</v>
      </c>
      <c r="D364" s="108">
        <v>4.8</v>
      </c>
      <c r="E364" s="108"/>
      <c r="F364" s="127"/>
      <c r="G364" s="128"/>
      <c r="H364" s="51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24"/>
      <c r="P364" s="524"/>
      <c r="Q364" s="524"/>
      <c r="R364" s="524"/>
      <c r="S364" s="524"/>
      <c r="T364" s="524"/>
      <c r="U364" s="52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22" t="s">
        <v>187</v>
      </c>
      <c r="D365" s="108">
        <v>4.8</v>
      </c>
      <c r="E365" s="108"/>
      <c r="F365" s="127"/>
      <c r="G365" s="128"/>
      <c r="H365" s="51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24"/>
      <c r="P365" s="524"/>
      <c r="Q365" s="524"/>
      <c r="R365" s="524"/>
      <c r="S365" s="524"/>
      <c r="T365" s="524"/>
      <c r="U365" s="52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22" t="s">
        <v>179</v>
      </c>
      <c r="D366" s="108">
        <v>4.8</v>
      </c>
      <c r="E366" s="108"/>
      <c r="F366" s="127"/>
      <c r="G366" s="128"/>
      <c r="H366" s="51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24"/>
      <c r="P366" s="524"/>
      <c r="Q366" s="524"/>
      <c r="R366" s="524"/>
      <c r="S366" s="524"/>
      <c r="T366" s="524"/>
      <c r="U366" s="52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22" t="s">
        <v>199</v>
      </c>
      <c r="D367" s="108">
        <v>4.8</v>
      </c>
      <c r="E367" s="108"/>
      <c r="F367" s="127"/>
      <c r="G367" s="128"/>
      <c r="H367" s="51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24"/>
      <c r="P367" s="524"/>
      <c r="Q367" s="524"/>
      <c r="R367" s="524"/>
      <c r="S367" s="524"/>
      <c r="T367" s="524"/>
      <c r="U367" s="52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1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24"/>
      <c r="P368" s="524"/>
      <c r="Q368" s="524"/>
      <c r="R368" s="524"/>
      <c r="S368" s="524"/>
      <c r="T368" s="524"/>
      <c r="U368" s="52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1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24"/>
      <c r="P369" s="524"/>
      <c r="Q369" s="524"/>
      <c r="R369" s="524"/>
      <c r="S369" s="524"/>
      <c r="T369" s="524"/>
      <c r="U369" s="52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52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15" t="s">
        <v>206</v>
      </c>
      <c r="C371" s="126" t="s">
        <v>199</v>
      </c>
      <c r="D371" s="108">
        <v>5.03</v>
      </c>
      <c r="E371" s="108"/>
      <c r="F371" s="127"/>
      <c r="G371" s="128"/>
      <c r="H371" s="51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20"/>
      <c r="P371" s="520"/>
      <c r="Q371" s="520"/>
      <c r="R371" s="520"/>
      <c r="S371" s="520"/>
      <c r="T371" s="520"/>
      <c r="U371" s="52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15" t="s">
        <v>425</v>
      </c>
      <c r="C372" s="187" t="s">
        <v>427</v>
      </c>
      <c r="D372" s="108">
        <v>5.03</v>
      </c>
      <c r="E372" s="108"/>
      <c r="F372" s="127"/>
      <c r="G372" s="128"/>
      <c r="H372" s="51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20"/>
      <c r="P372" s="520"/>
      <c r="Q372" s="520"/>
      <c r="R372" s="520"/>
      <c r="S372" s="520"/>
      <c r="T372" s="520"/>
      <c r="U372" s="52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15" t="s">
        <v>206</v>
      </c>
      <c r="C373" s="126" t="s">
        <v>186</v>
      </c>
      <c r="D373" s="108">
        <v>5.03</v>
      </c>
      <c r="E373" s="108"/>
      <c r="F373" s="127"/>
      <c r="G373" s="128"/>
      <c r="H373" s="51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20"/>
      <c r="P373" s="520"/>
      <c r="Q373" s="520"/>
      <c r="R373" s="520"/>
      <c r="S373" s="520"/>
      <c r="T373" s="520"/>
      <c r="U373" s="52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15" t="s">
        <v>206</v>
      </c>
      <c r="C374" s="126" t="s">
        <v>203</v>
      </c>
      <c r="D374" s="108">
        <v>5.03</v>
      </c>
      <c r="E374" s="108"/>
      <c r="F374" s="127"/>
      <c r="G374" s="128"/>
      <c r="H374" s="51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20"/>
      <c r="P374" s="520"/>
      <c r="Q374" s="520"/>
      <c r="R374" s="520"/>
      <c r="S374" s="520"/>
      <c r="T374" s="520"/>
      <c r="U374" s="52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15" t="s">
        <v>206</v>
      </c>
      <c r="C375" s="126" t="s">
        <v>207</v>
      </c>
      <c r="D375" s="108">
        <v>5.03</v>
      </c>
      <c r="E375" s="108"/>
      <c r="F375" s="127"/>
      <c r="G375" s="128"/>
      <c r="H375" s="51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20"/>
      <c r="P375" s="520"/>
      <c r="Q375" s="520"/>
      <c r="R375" s="520"/>
      <c r="S375" s="520"/>
      <c r="T375" s="520"/>
      <c r="U375" s="52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15" t="s">
        <v>414</v>
      </c>
      <c r="C376" s="187" t="s">
        <v>415</v>
      </c>
      <c r="D376" s="108"/>
      <c r="E376" s="108"/>
      <c r="F376" s="127"/>
      <c r="G376" s="128"/>
      <c r="H376" s="51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20"/>
      <c r="P376" s="520"/>
      <c r="Q376" s="520"/>
      <c r="R376" s="520"/>
      <c r="S376" s="520"/>
      <c r="T376" s="520"/>
      <c r="U376" s="52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15" t="s">
        <v>414</v>
      </c>
      <c r="C377" s="187" t="s">
        <v>416</v>
      </c>
      <c r="D377" s="108"/>
      <c r="E377" s="108"/>
      <c r="F377" s="127"/>
      <c r="G377" s="128"/>
      <c r="H377" s="51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20"/>
      <c r="P377" s="520"/>
      <c r="Q377" s="520"/>
      <c r="R377" s="520"/>
      <c r="S377" s="520"/>
      <c r="T377" s="520"/>
      <c r="U377" s="52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15" t="s">
        <v>414</v>
      </c>
      <c r="C378" s="187" t="s">
        <v>61</v>
      </c>
      <c r="D378" s="108"/>
      <c r="E378" s="108"/>
      <c r="F378" s="127"/>
      <c r="G378" s="128"/>
      <c r="H378" s="51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20"/>
      <c r="P378" s="520"/>
      <c r="Q378" s="520"/>
      <c r="R378" s="520"/>
      <c r="S378" s="520"/>
      <c r="T378" s="520"/>
      <c r="U378" s="52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15" t="s">
        <v>208</v>
      </c>
      <c r="C379" s="126" t="s">
        <v>179</v>
      </c>
      <c r="D379" s="108">
        <v>5.08</v>
      </c>
      <c r="E379" s="108"/>
      <c r="F379" s="127"/>
      <c r="G379" s="128"/>
      <c r="H379" s="51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20"/>
      <c r="P379" s="520"/>
      <c r="Q379" s="520"/>
      <c r="R379" s="520"/>
      <c r="S379" s="520"/>
      <c r="T379" s="520"/>
      <c r="U379" s="52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15" t="s">
        <v>208</v>
      </c>
      <c r="C380" s="126" t="s">
        <v>204</v>
      </c>
      <c r="D380" s="108">
        <v>5.08</v>
      </c>
      <c r="E380" s="108"/>
      <c r="F380" s="127"/>
      <c r="G380" s="128"/>
      <c r="H380" s="51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20"/>
      <c r="P380" s="520"/>
      <c r="Q380" s="520"/>
      <c r="R380" s="520"/>
      <c r="S380" s="520"/>
      <c r="T380" s="520"/>
      <c r="U380" s="52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15" t="s">
        <v>208</v>
      </c>
      <c r="C381" s="126" t="s">
        <v>205</v>
      </c>
      <c r="D381" s="108">
        <v>5.08</v>
      </c>
      <c r="E381" s="108"/>
      <c r="F381" s="127"/>
      <c r="G381" s="128"/>
      <c r="H381" s="51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20"/>
      <c r="P381" s="520"/>
      <c r="Q381" s="520"/>
      <c r="R381" s="520"/>
      <c r="S381" s="520"/>
      <c r="T381" s="520"/>
      <c r="U381" s="52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15" t="s">
        <v>208</v>
      </c>
      <c r="C382" s="126" t="s">
        <v>186</v>
      </c>
      <c r="D382" s="108">
        <v>5.08</v>
      </c>
      <c r="E382" s="108"/>
      <c r="F382" s="127"/>
      <c r="G382" s="128"/>
      <c r="H382" s="51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20"/>
      <c r="P382" s="520"/>
      <c r="Q382" s="520"/>
      <c r="R382" s="520"/>
      <c r="S382" s="520"/>
      <c r="T382" s="520"/>
      <c r="U382" s="52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15" t="s">
        <v>208</v>
      </c>
      <c r="C383" s="126" t="s">
        <v>203</v>
      </c>
      <c r="D383" s="108">
        <v>5.08</v>
      </c>
      <c r="E383" s="108"/>
      <c r="F383" s="127"/>
      <c r="G383" s="128"/>
      <c r="H383" s="51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20"/>
      <c r="P383" s="520"/>
      <c r="Q383" s="520"/>
      <c r="R383" s="520"/>
      <c r="S383" s="520"/>
      <c r="T383" s="520"/>
      <c r="U383" s="52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15" t="s">
        <v>208</v>
      </c>
      <c r="C384" s="126" t="s">
        <v>199</v>
      </c>
      <c r="D384" s="108">
        <v>5.08</v>
      </c>
      <c r="E384" s="108"/>
      <c r="F384" s="127"/>
      <c r="G384" s="128"/>
      <c r="H384" s="51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24"/>
      <c r="P384" s="524"/>
      <c r="Q384" s="524"/>
      <c r="R384" s="524"/>
      <c r="S384" s="524"/>
      <c r="T384" s="524"/>
      <c r="U384" s="52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15" t="s">
        <v>208</v>
      </c>
      <c r="C385" s="126" t="s">
        <v>187</v>
      </c>
      <c r="D385" s="108">
        <v>5.08</v>
      </c>
      <c r="E385" s="108"/>
      <c r="F385" s="127"/>
      <c r="G385" s="128"/>
      <c r="H385" s="51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20"/>
      <c r="P385" s="520"/>
      <c r="Q385" s="520"/>
      <c r="R385" s="520"/>
      <c r="S385" s="520"/>
      <c r="T385" s="520"/>
      <c r="U385" s="52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15" t="s">
        <v>208</v>
      </c>
      <c r="C386" s="126" t="s">
        <v>207</v>
      </c>
      <c r="D386" s="108">
        <v>5.08</v>
      </c>
      <c r="E386" s="108"/>
      <c r="F386" s="127"/>
      <c r="G386" s="128"/>
      <c r="H386" s="51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24"/>
      <c r="P386" s="524"/>
      <c r="Q386" s="524"/>
      <c r="R386" s="524"/>
      <c r="S386" s="524"/>
      <c r="T386" s="524"/>
      <c r="U386" s="52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15" t="s">
        <v>209</v>
      </c>
      <c r="C387" s="126" t="s">
        <v>194</v>
      </c>
      <c r="D387" s="108">
        <v>5.03</v>
      </c>
      <c r="E387" s="108"/>
      <c r="F387" s="127"/>
      <c r="G387" s="128"/>
      <c r="H387" s="51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20"/>
      <c r="P387" s="520"/>
      <c r="Q387" s="520"/>
      <c r="R387" s="520"/>
      <c r="S387" s="520"/>
      <c r="T387" s="520"/>
      <c r="U387" s="52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15" t="s">
        <v>209</v>
      </c>
      <c r="C388" s="126" t="s">
        <v>179</v>
      </c>
      <c r="D388" s="108">
        <v>5.03</v>
      </c>
      <c r="E388" s="108"/>
      <c r="F388" s="127"/>
      <c r="G388" s="128"/>
      <c r="H388" s="51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20"/>
      <c r="P388" s="520"/>
      <c r="Q388" s="520"/>
      <c r="R388" s="520"/>
      <c r="S388" s="520"/>
      <c r="T388" s="520"/>
      <c r="U388" s="52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15" t="s">
        <v>209</v>
      </c>
      <c r="C389" s="126" t="s">
        <v>195</v>
      </c>
      <c r="D389" s="108">
        <v>5.03</v>
      </c>
      <c r="E389" s="108"/>
      <c r="F389" s="127"/>
      <c r="G389" s="128"/>
      <c r="H389" s="51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20"/>
      <c r="P389" s="520"/>
      <c r="Q389" s="520"/>
      <c r="R389" s="520"/>
      <c r="S389" s="520"/>
      <c r="T389" s="520"/>
      <c r="U389" s="52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15" t="s">
        <v>209</v>
      </c>
      <c r="C390" s="126" t="s">
        <v>204</v>
      </c>
      <c r="D390" s="108">
        <v>5.03</v>
      </c>
      <c r="E390" s="108"/>
      <c r="F390" s="127"/>
      <c r="G390" s="128"/>
      <c r="H390" s="51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20"/>
      <c r="P390" s="520"/>
      <c r="Q390" s="520"/>
      <c r="R390" s="520"/>
      <c r="S390" s="520"/>
      <c r="T390" s="520"/>
      <c r="U390" s="52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15" t="s">
        <v>382</v>
      </c>
      <c r="C391" s="187" t="s">
        <v>383</v>
      </c>
      <c r="D391" s="108">
        <v>5.03</v>
      </c>
      <c r="E391" s="108"/>
      <c r="F391" s="127"/>
      <c r="G391" s="128"/>
      <c r="H391" s="51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20"/>
      <c r="P391" s="520"/>
      <c r="Q391" s="520"/>
      <c r="R391" s="520"/>
      <c r="S391" s="520"/>
      <c r="T391" s="520"/>
      <c r="U391" s="52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15" t="s">
        <v>382</v>
      </c>
      <c r="C392" s="187" t="s">
        <v>384</v>
      </c>
      <c r="D392" s="108">
        <v>5.03</v>
      </c>
      <c r="E392" s="108"/>
      <c r="F392" s="127"/>
      <c r="G392" s="128"/>
      <c r="H392" s="51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20"/>
      <c r="P392" s="520"/>
      <c r="Q392" s="520"/>
      <c r="R392" s="520"/>
      <c r="S392" s="520"/>
      <c r="T392" s="520"/>
      <c r="U392" s="52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15" t="s">
        <v>382</v>
      </c>
      <c r="C393" s="187" t="s">
        <v>389</v>
      </c>
      <c r="D393" s="108">
        <v>5.03</v>
      </c>
      <c r="E393" s="108"/>
      <c r="F393" s="127"/>
      <c r="G393" s="128"/>
      <c r="H393" s="51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20"/>
      <c r="P393" s="520"/>
      <c r="Q393" s="520"/>
      <c r="R393" s="520"/>
      <c r="S393" s="520"/>
      <c r="T393" s="520"/>
      <c r="U393" s="52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15" t="s">
        <v>382</v>
      </c>
      <c r="C394" s="187" t="s">
        <v>391</v>
      </c>
      <c r="D394" s="108">
        <v>5.03</v>
      </c>
      <c r="E394" s="108"/>
      <c r="F394" s="127"/>
      <c r="G394" s="128"/>
      <c r="H394" s="51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20"/>
      <c r="P394" s="520"/>
      <c r="Q394" s="520"/>
      <c r="R394" s="520"/>
      <c r="S394" s="520"/>
      <c r="T394" s="520"/>
      <c r="U394" s="52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15" t="s">
        <v>418</v>
      </c>
      <c r="C395" s="187" t="s">
        <v>364</v>
      </c>
      <c r="D395" s="108">
        <v>5.03</v>
      </c>
      <c r="E395" s="108"/>
      <c r="F395" s="127"/>
      <c r="G395" s="128"/>
      <c r="H395" s="51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20"/>
      <c r="P395" s="520"/>
      <c r="Q395" s="520"/>
      <c r="R395" s="520"/>
      <c r="S395" s="520"/>
      <c r="T395" s="520"/>
      <c r="U395" s="52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15" t="s">
        <v>418</v>
      </c>
      <c r="C396" s="187" t="s">
        <v>365</v>
      </c>
      <c r="D396" s="108">
        <v>5.03</v>
      </c>
      <c r="E396" s="108"/>
      <c r="F396" s="127"/>
      <c r="G396" s="128"/>
      <c r="H396" s="51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20"/>
      <c r="P396" s="520"/>
      <c r="Q396" s="520"/>
      <c r="R396" s="520"/>
      <c r="S396" s="520"/>
      <c r="T396" s="520"/>
      <c r="U396" s="52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15" t="s">
        <v>418</v>
      </c>
      <c r="C397" s="187" t="s">
        <v>366</v>
      </c>
      <c r="D397" s="108">
        <v>5.03</v>
      </c>
      <c r="E397" s="108"/>
      <c r="F397" s="127"/>
      <c r="G397" s="128"/>
      <c r="H397" s="51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20"/>
      <c r="P397" s="520"/>
      <c r="Q397" s="520"/>
      <c r="R397" s="520"/>
      <c r="S397" s="520"/>
      <c r="T397" s="520"/>
      <c r="U397" s="52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15" t="s">
        <v>418</v>
      </c>
      <c r="C398" s="187" t="s">
        <v>367</v>
      </c>
      <c r="D398" s="108">
        <v>5.03</v>
      </c>
      <c r="E398" s="108"/>
      <c r="F398" s="127"/>
      <c r="G398" s="128"/>
      <c r="H398" s="51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20"/>
      <c r="P398" s="520"/>
      <c r="Q398" s="520"/>
      <c r="R398" s="520"/>
      <c r="S398" s="520"/>
      <c r="T398" s="520"/>
      <c r="U398" s="52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1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24"/>
      <c r="P399" s="524"/>
      <c r="Q399" s="524"/>
      <c r="R399" s="524"/>
      <c r="S399" s="524"/>
      <c r="T399" s="524"/>
      <c r="U399" s="52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1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24"/>
      <c r="P400" s="524"/>
      <c r="Q400" s="524"/>
      <c r="R400" s="524"/>
      <c r="S400" s="524"/>
      <c r="T400" s="524"/>
      <c r="U400" s="52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1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24"/>
      <c r="P401" s="524"/>
      <c r="Q401" s="524"/>
      <c r="R401" s="524"/>
      <c r="S401" s="524"/>
      <c r="T401" s="524"/>
      <c r="U401" s="52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1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24"/>
      <c r="P402" s="524"/>
      <c r="Q402" s="524"/>
      <c r="R402" s="524"/>
      <c r="S402" s="524"/>
      <c r="T402" s="524"/>
      <c r="U402" s="52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1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24"/>
      <c r="P403" s="524"/>
      <c r="Q403" s="524"/>
      <c r="R403" s="524"/>
      <c r="S403" s="524"/>
      <c r="T403" s="524"/>
      <c r="U403" s="52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1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24"/>
      <c r="P404" s="524"/>
      <c r="Q404" s="524"/>
      <c r="R404" s="524"/>
      <c r="S404" s="524"/>
      <c r="T404" s="524"/>
      <c r="U404" s="52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1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24"/>
      <c r="P405" s="524"/>
      <c r="Q405" s="524"/>
      <c r="R405" s="524"/>
      <c r="S405" s="524"/>
      <c r="T405" s="524"/>
      <c r="U405" s="52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1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24"/>
      <c r="P406" s="524"/>
      <c r="Q406" s="524"/>
      <c r="R406" s="524"/>
      <c r="S406" s="524"/>
      <c r="T406" s="524"/>
      <c r="U406" s="52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1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24"/>
      <c r="P407" s="524"/>
      <c r="Q407" s="524"/>
      <c r="R407" s="524"/>
      <c r="S407" s="524"/>
      <c r="T407" s="524"/>
      <c r="U407" s="52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1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24"/>
      <c r="P408" s="524"/>
      <c r="Q408" s="524"/>
      <c r="R408" s="524"/>
      <c r="S408" s="524"/>
      <c r="T408" s="524"/>
      <c r="U408" s="52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1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24"/>
      <c r="P409" s="524"/>
      <c r="Q409" s="524"/>
      <c r="R409" s="524"/>
      <c r="S409" s="524"/>
      <c r="T409" s="524"/>
      <c r="U409" s="52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1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24"/>
      <c r="P410" s="524"/>
      <c r="Q410" s="524"/>
      <c r="R410" s="524"/>
      <c r="S410" s="524"/>
      <c r="T410" s="524"/>
      <c r="U410" s="52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1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24"/>
      <c r="P411" s="524"/>
      <c r="Q411" s="524"/>
      <c r="R411" s="524"/>
      <c r="S411" s="524"/>
      <c r="T411" s="524"/>
      <c r="U411" s="52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1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24"/>
      <c r="P412" s="524"/>
      <c r="Q412" s="524"/>
      <c r="R412" s="524"/>
      <c r="S412" s="524"/>
      <c r="T412" s="524"/>
      <c r="U412" s="52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16">
        <f t="shared" si="170"/>
        <v>0</v>
      </c>
      <c r="I413" s="129"/>
      <c r="J413" s="130"/>
      <c r="K413" s="131"/>
      <c r="L413" s="129"/>
      <c r="M413" s="109"/>
      <c r="N413" s="130"/>
      <c r="O413" s="524"/>
      <c r="P413" s="524"/>
      <c r="Q413" s="524"/>
      <c r="R413" s="524"/>
      <c r="S413" s="524"/>
      <c r="T413" s="524"/>
      <c r="U413" s="52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1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24"/>
      <c r="P414" s="524"/>
      <c r="Q414" s="524"/>
      <c r="R414" s="524"/>
      <c r="S414" s="524"/>
      <c r="T414" s="524"/>
      <c r="U414" s="52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1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24"/>
      <c r="P415" s="524"/>
      <c r="Q415" s="524"/>
      <c r="R415" s="524"/>
      <c r="S415" s="524"/>
      <c r="T415" s="524"/>
      <c r="U415" s="52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1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24"/>
      <c r="P416" s="524"/>
      <c r="Q416" s="524"/>
      <c r="R416" s="524"/>
      <c r="S416" s="524"/>
      <c r="T416" s="524"/>
      <c r="U416" s="52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1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24"/>
      <c r="P417" s="524"/>
      <c r="Q417" s="524"/>
      <c r="R417" s="524"/>
      <c r="S417" s="524"/>
      <c r="T417" s="524"/>
      <c r="U417" s="52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1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24"/>
      <c r="P418" s="524"/>
      <c r="Q418" s="524"/>
      <c r="R418" s="524"/>
      <c r="S418" s="524"/>
      <c r="T418" s="524"/>
      <c r="U418" s="52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1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24"/>
      <c r="P419" s="524"/>
      <c r="Q419" s="524"/>
      <c r="R419" s="524"/>
      <c r="S419" s="524"/>
      <c r="T419" s="524"/>
      <c r="U419" s="52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1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24"/>
      <c r="P420" s="524"/>
      <c r="Q420" s="524"/>
      <c r="R420" s="524"/>
      <c r="S420" s="524"/>
      <c r="T420" s="524"/>
      <c r="U420" s="52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1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24"/>
      <c r="P421" s="524"/>
      <c r="Q421" s="524"/>
      <c r="R421" s="524"/>
      <c r="S421" s="524"/>
      <c r="T421" s="524"/>
      <c r="U421" s="52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1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24"/>
      <c r="P422" s="524"/>
      <c r="Q422" s="524"/>
      <c r="R422" s="524"/>
      <c r="S422" s="524"/>
      <c r="T422" s="524"/>
      <c r="U422" s="52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1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24"/>
      <c r="P423" s="524"/>
      <c r="Q423" s="524"/>
      <c r="R423" s="524"/>
      <c r="S423" s="524"/>
      <c r="T423" s="524"/>
      <c r="U423" s="52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1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24"/>
      <c r="P424" s="524"/>
      <c r="Q424" s="524"/>
      <c r="R424" s="524"/>
      <c r="S424" s="524"/>
      <c r="T424" s="524"/>
      <c r="U424" s="52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1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24"/>
      <c r="P425" s="524"/>
      <c r="Q425" s="524"/>
      <c r="R425" s="524"/>
      <c r="S425" s="524"/>
      <c r="T425" s="524"/>
      <c r="U425" s="52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1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24"/>
      <c r="P426" s="524"/>
      <c r="Q426" s="524"/>
      <c r="R426" s="524"/>
      <c r="S426" s="524"/>
      <c r="T426" s="524"/>
      <c r="U426" s="52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1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24"/>
      <c r="P427" s="524"/>
      <c r="Q427" s="524"/>
      <c r="R427" s="524"/>
      <c r="S427" s="524"/>
      <c r="T427" s="524"/>
      <c r="U427" s="52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2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15" t="s">
        <v>217</v>
      </c>
      <c r="C429" s="126" t="s">
        <v>179</v>
      </c>
      <c r="D429" s="108">
        <v>5.03</v>
      </c>
      <c r="E429" s="108"/>
      <c r="F429" s="127"/>
      <c r="G429" s="128"/>
      <c r="H429" s="51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24"/>
      <c r="P429" s="524"/>
      <c r="Q429" s="524"/>
      <c r="R429" s="524"/>
      <c r="S429" s="524"/>
      <c r="T429" s="524"/>
      <c r="U429" s="52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15" t="s">
        <v>217</v>
      </c>
      <c r="C430" s="126" t="s">
        <v>186</v>
      </c>
      <c r="D430" s="108">
        <v>5.03</v>
      </c>
      <c r="E430" s="108"/>
      <c r="F430" s="127"/>
      <c r="G430" s="128"/>
      <c r="H430" s="51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24"/>
      <c r="P430" s="524"/>
      <c r="Q430" s="524"/>
      <c r="R430" s="524"/>
      <c r="S430" s="524"/>
      <c r="T430" s="524"/>
      <c r="U430" s="524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15" t="s">
        <v>217</v>
      </c>
      <c r="C431" s="126" t="s">
        <v>204</v>
      </c>
      <c r="D431" s="108">
        <v>5.03</v>
      </c>
      <c r="E431" s="108"/>
      <c r="F431" s="127"/>
      <c r="G431" s="128"/>
      <c r="H431" s="51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24"/>
      <c r="P431" s="524"/>
      <c r="Q431" s="524"/>
      <c r="R431" s="524"/>
      <c r="S431" s="524"/>
      <c r="T431" s="524"/>
      <c r="U431" s="52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1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24"/>
      <c r="P432" s="524"/>
      <c r="Q432" s="524"/>
      <c r="R432" s="524"/>
      <c r="S432" s="524"/>
      <c r="T432" s="524"/>
      <c r="U432" s="52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1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24"/>
      <c r="P433" s="524"/>
      <c r="Q433" s="524"/>
      <c r="R433" s="524"/>
      <c r="S433" s="524"/>
      <c r="T433" s="524"/>
      <c r="U433" s="524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1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24"/>
      <c r="P434" s="524"/>
      <c r="Q434" s="524"/>
      <c r="R434" s="524"/>
      <c r="S434" s="524"/>
      <c r="T434" s="524"/>
      <c r="U434" s="52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1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24"/>
      <c r="P435" s="524"/>
      <c r="Q435" s="524"/>
      <c r="R435" s="524"/>
      <c r="S435" s="524"/>
      <c r="T435" s="524"/>
      <c r="U435" s="52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1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24"/>
      <c r="P436" s="524"/>
      <c r="Q436" s="524"/>
      <c r="R436" s="524"/>
      <c r="S436" s="524"/>
      <c r="T436" s="524"/>
      <c r="U436" s="52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1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24"/>
      <c r="P437" s="524"/>
      <c r="Q437" s="524"/>
      <c r="R437" s="524"/>
      <c r="S437" s="524"/>
      <c r="T437" s="524"/>
      <c r="U437" s="52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1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24"/>
      <c r="P438" s="524"/>
      <c r="Q438" s="524"/>
      <c r="R438" s="524"/>
      <c r="S438" s="524"/>
      <c r="T438" s="524"/>
      <c r="U438" s="52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1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24"/>
      <c r="P439" s="524"/>
      <c r="Q439" s="524"/>
      <c r="R439" s="524"/>
      <c r="S439" s="524"/>
      <c r="T439" s="524"/>
      <c r="U439" s="52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1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24"/>
      <c r="P440" s="524"/>
      <c r="Q440" s="524"/>
      <c r="R440" s="524"/>
      <c r="S440" s="524"/>
      <c r="T440" s="524"/>
      <c r="U440" s="52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1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24"/>
      <c r="P441" s="524"/>
      <c r="Q441" s="524"/>
      <c r="R441" s="524"/>
      <c r="S441" s="524"/>
      <c r="T441" s="524"/>
      <c r="U441" s="52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1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24"/>
      <c r="P442" s="524"/>
      <c r="Q442" s="524"/>
      <c r="R442" s="524"/>
      <c r="S442" s="524"/>
      <c r="T442" s="524"/>
      <c r="U442" s="52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1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24"/>
      <c r="P443" s="524"/>
      <c r="Q443" s="524"/>
      <c r="R443" s="524"/>
      <c r="S443" s="524"/>
      <c r="T443" s="524"/>
      <c r="U443" s="52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1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24"/>
      <c r="P444" s="524"/>
      <c r="Q444" s="524"/>
      <c r="R444" s="524"/>
      <c r="S444" s="524"/>
      <c r="T444" s="524"/>
      <c r="U444" s="52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15" t="s">
        <v>222</v>
      </c>
      <c r="C445" s="126" t="s">
        <v>181</v>
      </c>
      <c r="D445" s="108">
        <v>9.36</v>
      </c>
      <c r="E445" s="108"/>
      <c r="F445" s="127"/>
      <c r="G445" s="128"/>
      <c r="H445" s="51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24"/>
      <c r="P445" s="524"/>
      <c r="Q445" s="524"/>
      <c r="R445" s="524"/>
      <c r="S445" s="524"/>
      <c r="T445" s="524"/>
      <c r="U445" s="52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15" t="s">
        <v>222</v>
      </c>
      <c r="C446" s="126" t="s">
        <v>179</v>
      </c>
      <c r="D446" s="108">
        <v>9.36</v>
      </c>
      <c r="E446" s="108"/>
      <c r="F446" s="127"/>
      <c r="G446" s="128"/>
      <c r="H446" s="51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24"/>
      <c r="P446" s="524"/>
      <c r="Q446" s="524"/>
      <c r="R446" s="524"/>
      <c r="S446" s="524"/>
      <c r="T446" s="524"/>
      <c r="U446" s="52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15" t="s">
        <v>222</v>
      </c>
      <c r="C447" s="126" t="s">
        <v>221</v>
      </c>
      <c r="D447" s="108">
        <v>9.36</v>
      </c>
      <c r="E447" s="108"/>
      <c r="F447" s="127"/>
      <c r="G447" s="128"/>
      <c r="H447" s="51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24"/>
      <c r="P447" s="524"/>
      <c r="Q447" s="524"/>
      <c r="R447" s="524"/>
      <c r="S447" s="524"/>
      <c r="T447" s="524"/>
      <c r="U447" s="52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15" t="s">
        <v>222</v>
      </c>
      <c r="C448" s="126" t="s">
        <v>186</v>
      </c>
      <c r="D448" s="108">
        <v>9.36</v>
      </c>
      <c r="E448" s="108"/>
      <c r="F448" s="127"/>
      <c r="G448" s="128"/>
      <c r="H448" s="51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24"/>
      <c r="P448" s="524"/>
      <c r="Q448" s="524"/>
      <c r="R448" s="524"/>
      <c r="S448" s="524"/>
      <c r="T448" s="524"/>
      <c r="U448" s="52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15" t="s">
        <v>393</v>
      </c>
      <c r="C449" s="187" t="s">
        <v>395</v>
      </c>
      <c r="D449" s="108">
        <v>5</v>
      </c>
      <c r="E449" s="108"/>
      <c r="F449" s="127"/>
      <c r="G449" s="128"/>
      <c r="H449" s="51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24"/>
      <c r="P449" s="524"/>
      <c r="Q449" s="524"/>
      <c r="R449" s="524"/>
      <c r="S449" s="524"/>
      <c r="T449" s="524"/>
      <c r="U449" s="52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15" t="s">
        <v>393</v>
      </c>
      <c r="C450" s="187" t="s">
        <v>402</v>
      </c>
      <c r="D450" s="108">
        <v>5</v>
      </c>
      <c r="E450" s="108"/>
      <c r="F450" s="127"/>
      <c r="G450" s="128"/>
      <c r="H450" s="51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24"/>
      <c r="P450" s="524"/>
      <c r="Q450" s="524"/>
      <c r="R450" s="524"/>
      <c r="S450" s="524"/>
      <c r="T450" s="524"/>
      <c r="U450" s="52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15" t="s">
        <v>404</v>
      </c>
      <c r="C451" s="187" t="s">
        <v>405</v>
      </c>
      <c r="D451" s="108">
        <v>5</v>
      </c>
      <c r="E451" s="108"/>
      <c r="F451" s="127"/>
      <c r="G451" s="128"/>
      <c r="H451" s="51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24"/>
      <c r="P451" s="524"/>
      <c r="Q451" s="524"/>
      <c r="R451" s="524"/>
      <c r="S451" s="524"/>
      <c r="T451" s="524"/>
      <c r="U451" s="52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15" t="s">
        <v>342</v>
      </c>
      <c r="C452" s="187" t="s">
        <v>372</v>
      </c>
      <c r="D452" s="108">
        <v>5</v>
      </c>
      <c r="E452" s="108"/>
      <c r="F452" s="127"/>
      <c r="G452" s="128"/>
      <c r="H452" s="51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24"/>
      <c r="P452" s="524"/>
      <c r="Q452" s="524"/>
      <c r="R452" s="524"/>
      <c r="S452" s="524"/>
      <c r="T452" s="524"/>
      <c r="U452" s="52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15" t="s">
        <v>343</v>
      </c>
      <c r="C453" s="126" t="s">
        <v>345</v>
      </c>
      <c r="D453" s="108">
        <v>5</v>
      </c>
      <c r="E453" s="108"/>
      <c r="F453" s="127"/>
      <c r="G453" s="128"/>
      <c r="H453" s="51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24"/>
      <c r="P453" s="524"/>
      <c r="Q453" s="524"/>
      <c r="R453" s="524"/>
      <c r="S453" s="524"/>
      <c r="T453" s="524"/>
      <c r="U453" s="52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15" t="s">
        <v>343</v>
      </c>
      <c r="C454" s="126" t="s">
        <v>347</v>
      </c>
      <c r="D454" s="108">
        <v>5</v>
      </c>
      <c r="E454" s="108"/>
      <c r="F454" s="127"/>
      <c r="G454" s="128"/>
      <c r="H454" s="51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24"/>
      <c r="P454" s="524"/>
      <c r="Q454" s="524"/>
      <c r="R454" s="524"/>
      <c r="S454" s="524"/>
      <c r="T454" s="524"/>
      <c r="U454" s="52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1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24"/>
      <c r="P455" s="524"/>
      <c r="Q455" s="524"/>
      <c r="R455" s="524"/>
      <c r="S455" s="524"/>
      <c r="T455" s="524"/>
      <c r="U455" s="52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1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24"/>
      <c r="P456" s="524"/>
      <c r="Q456" s="524"/>
      <c r="R456" s="524"/>
      <c r="S456" s="524"/>
      <c r="T456" s="524"/>
      <c r="U456" s="52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1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24"/>
      <c r="P457" s="524"/>
      <c r="Q457" s="524"/>
      <c r="R457" s="524"/>
      <c r="S457" s="524"/>
      <c r="T457" s="524"/>
      <c r="U457" s="52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1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24"/>
      <c r="P458" s="524"/>
      <c r="Q458" s="524"/>
      <c r="R458" s="524"/>
      <c r="S458" s="524"/>
      <c r="T458" s="524"/>
      <c r="U458" s="52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1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24"/>
      <c r="P459" s="524"/>
      <c r="Q459" s="524"/>
      <c r="R459" s="524"/>
      <c r="S459" s="524"/>
      <c r="T459" s="524"/>
      <c r="U459" s="52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1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24"/>
      <c r="P460" s="524"/>
      <c r="Q460" s="524"/>
      <c r="R460" s="524"/>
      <c r="S460" s="524"/>
      <c r="T460" s="524"/>
      <c r="U460" s="52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1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24"/>
      <c r="P461" s="524"/>
      <c r="Q461" s="524"/>
      <c r="R461" s="524"/>
      <c r="S461" s="524"/>
      <c r="T461" s="524"/>
      <c r="U461" s="52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16">
        <f t="shared" si="195"/>
        <v>0</v>
      </c>
      <c r="I462" s="129"/>
      <c r="J462" s="130" t="str">
        <f t="array" ref="J462">IF(ISERROR(G462/I462),"",G462/I462)</f>
        <v/>
      </c>
      <c r="K462" s="51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24"/>
      <c r="P462" s="524"/>
      <c r="Q462" s="524"/>
      <c r="R462" s="524"/>
      <c r="S462" s="524"/>
      <c r="T462" s="524"/>
      <c r="U462" s="52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618" t="s">
        <v>224</v>
      </c>
      <c r="B463" s="619"/>
      <c r="C463" s="525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1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24"/>
      <c r="P464" s="524"/>
      <c r="Q464" s="524"/>
      <c r="R464" s="524"/>
      <c r="S464" s="524"/>
      <c r="T464" s="524"/>
      <c r="U464" s="52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1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24"/>
      <c r="P465" s="524"/>
      <c r="Q465" s="524"/>
      <c r="R465" s="524"/>
      <c r="S465" s="524"/>
      <c r="T465" s="524"/>
      <c r="U465" s="52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1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24"/>
      <c r="P466" s="524"/>
      <c r="Q466" s="524"/>
      <c r="R466" s="524"/>
      <c r="S466" s="524"/>
      <c r="T466" s="524"/>
      <c r="U466" s="52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1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24"/>
      <c r="P467" s="524"/>
      <c r="Q467" s="524"/>
      <c r="R467" s="524"/>
      <c r="S467" s="524"/>
      <c r="T467" s="524"/>
      <c r="U467" s="52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21" t="s">
        <v>203</v>
      </c>
      <c r="D468" s="108">
        <v>5.03</v>
      </c>
      <c r="E468" s="108"/>
      <c r="F468" s="127"/>
      <c r="G468" s="128"/>
      <c r="H468" s="51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24"/>
      <c r="P468" s="524"/>
      <c r="Q468" s="524"/>
      <c r="R468" s="524"/>
      <c r="S468" s="524"/>
      <c r="T468" s="524"/>
      <c r="U468" s="52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1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24"/>
      <c r="P469" s="524"/>
      <c r="Q469" s="524"/>
      <c r="R469" s="524"/>
      <c r="S469" s="524"/>
      <c r="T469" s="524"/>
      <c r="U469" s="52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1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24"/>
      <c r="P470" s="524"/>
      <c r="Q470" s="524"/>
      <c r="R470" s="524"/>
      <c r="S470" s="524"/>
      <c r="T470" s="524"/>
      <c r="U470" s="52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21" t="s">
        <v>228</v>
      </c>
      <c r="D471" s="108">
        <v>5.03</v>
      </c>
      <c r="E471" s="108"/>
      <c r="F471" s="127"/>
      <c r="G471" s="128"/>
      <c r="H471" s="51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24"/>
      <c r="P471" s="524"/>
      <c r="Q471" s="524"/>
      <c r="R471" s="524"/>
      <c r="S471" s="524"/>
      <c r="T471" s="524"/>
      <c r="U471" s="52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21" t="s">
        <v>212</v>
      </c>
      <c r="D472" s="108">
        <v>5.03</v>
      </c>
      <c r="E472" s="108"/>
      <c r="F472" s="127"/>
      <c r="G472" s="128"/>
      <c r="H472" s="51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24"/>
      <c r="P472" s="524"/>
      <c r="Q472" s="524"/>
      <c r="R472" s="524"/>
      <c r="S472" s="524"/>
      <c r="T472" s="524"/>
      <c r="U472" s="52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21" t="s">
        <v>203</v>
      </c>
      <c r="D473" s="108">
        <v>5.03</v>
      </c>
      <c r="E473" s="108"/>
      <c r="F473" s="127"/>
      <c r="G473" s="128"/>
      <c r="H473" s="51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24"/>
      <c r="P473" s="524"/>
      <c r="Q473" s="524"/>
      <c r="R473" s="524"/>
      <c r="S473" s="524"/>
      <c r="T473" s="524"/>
      <c r="U473" s="52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21" t="s">
        <v>186</v>
      </c>
      <c r="D474" s="108">
        <v>5.03</v>
      </c>
      <c r="E474" s="108"/>
      <c r="F474" s="127"/>
      <c r="G474" s="128"/>
      <c r="H474" s="51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24"/>
      <c r="P474" s="524"/>
      <c r="Q474" s="524"/>
      <c r="R474" s="524"/>
      <c r="S474" s="524"/>
      <c r="T474" s="524"/>
      <c r="U474" s="52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21" t="s">
        <v>228</v>
      </c>
      <c r="D475" s="108">
        <v>5.03</v>
      </c>
      <c r="E475" s="108"/>
      <c r="F475" s="127"/>
      <c r="G475" s="128"/>
      <c r="H475" s="51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24"/>
      <c r="P475" s="524"/>
      <c r="Q475" s="524"/>
      <c r="R475" s="524"/>
      <c r="S475" s="524"/>
      <c r="T475" s="524"/>
      <c r="U475" s="52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21" t="s">
        <v>199</v>
      </c>
      <c r="D476" s="108">
        <v>5.03</v>
      </c>
      <c r="E476" s="108"/>
      <c r="F476" s="127"/>
      <c r="G476" s="128"/>
      <c r="H476" s="51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24"/>
      <c r="P476" s="524"/>
      <c r="Q476" s="524"/>
      <c r="R476" s="524"/>
      <c r="S476" s="524"/>
      <c r="T476" s="524"/>
      <c r="U476" s="52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1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24"/>
      <c r="P477" s="524"/>
      <c r="Q477" s="524"/>
      <c r="R477" s="524"/>
      <c r="S477" s="524"/>
      <c r="T477" s="524"/>
      <c r="U477" s="52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1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24"/>
      <c r="P478" s="524"/>
      <c r="Q478" s="524"/>
      <c r="R478" s="524"/>
      <c r="S478" s="524"/>
      <c r="T478" s="524"/>
      <c r="U478" s="52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52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1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24"/>
      <c r="P480" s="524"/>
      <c r="Q480" s="524"/>
      <c r="R480" s="524"/>
      <c r="S480" s="524"/>
      <c r="T480" s="524"/>
      <c r="U480" s="52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1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24"/>
      <c r="P481" s="524"/>
      <c r="Q481" s="524"/>
      <c r="R481" s="524"/>
      <c r="S481" s="524"/>
      <c r="T481" s="524"/>
      <c r="U481" s="52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1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24"/>
      <c r="P482" s="524"/>
      <c r="Q482" s="524"/>
      <c r="R482" s="524"/>
      <c r="S482" s="524"/>
      <c r="T482" s="524"/>
      <c r="U482" s="52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1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24"/>
      <c r="P483" s="524"/>
      <c r="Q483" s="524"/>
      <c r="R483" s="524"/>
      <c r="S483" s="524"/>
      <c r="T483" s="524"/>
      <c r="U483" s="52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1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24"/>
      <c r="P484" s="524"/>
      <c r="Q484" s="524"/>
      <c r="R484" s="524"/>
      <c r="S484" s="524"/>
      <c r="T484" s="524"/>
      <c r="U484" s="52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1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24"/>
      <c r="P485" s="524"/>
      <c r="Q485" s="524"/>
      <c r="R485" s="524"/>
      <c r="S485" s="524"/>
      <c r="T485" s="524"/>
      <c r="U485" s="52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1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24"/>
      <c r="P486" s="524"/>
      <c r="Q486" s="524"/>
      <c r="R486" s="524"/>
      <c r="S486" s="524"/>
      <c r="T486" s="524"/>
      <c r="U486" s="52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1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24"/>
      <c r="P487" s="524"/>
      <c r="Q487" s="524"/>
      <c r="R487" s="524"/>
      <c r="S487" s="524"/>
      <c r="T487" s="524"/>
      <c r="U487" s="52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1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24"/>
      <c r="P488" s="524"/>
      <c r="Q488" s="524"/>
      <c r="R488" s="524"/>
      <c r="S488" s="524"/>
      <c r="T488" s="524"/>
      <c r="U488" s="52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1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24"/>
      <c r="P489" s="524"/>
      <c r="Q489" s="524"/>
      <c r="R489" s="524"/>
      <c r="S489" s="524"/>
      <c r="T489" s="524"/>
      <c r="U489" s="52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52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22"/>
      <c r="D491" s="108">
        <v>3.65</v>
      </c>
      <c r="E491" s="108"/>
      <c r="F491" s="153"/>
      <c r="G491" s="128"/>
      <c r="H491" s="516">
        <f t="shared" ref="H491:H505" si="222">D491*G491</f>
        <v>0</v>
      </c>
      <c r="I491" s="129"/>
      <c r="J491" s="130" t="str">
        <f t="array" ref="J491">IF(ISERROR(G491/I491),"",G491/I491)</f>
        <v/>
      </c>
      <c r="K491" s="51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24"/>
      <c r="P491" s="524"/>
      <c r="Q491" s="524"/>
      <c r="R491" s="524"/>
      <c r="S491" s="524"/>
      <c r="T491" s="524"/>
      <c r="U491" s="52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22"/>
      <c r="D492" s="108">
        <v>6.58</v>
      </c>
      <c r="E492" s="108"/>
      <c r="F492" s="127"/>
      <c r="G492" s="128"/>
      <c r="H492" s="51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24"/>
      <c r="P492" s="524"/>
      <c r="Q492" s="524"/>
      <c r="R492" s="524"/>
      <c r="S492" s="524"/>
      <c r="T492" s="524"/>
      <c r="U492" s="52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22"/>
      <c r="D493" s="108">
        <v>7.8</v>
      </c>
      <c r="E493" s="108"/>
      <c r="F493" s="127"/>
      <c r="G493" s="128"/>
      <c r="H493" s="51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24"/>
      <c r="P493" s="524"/>
      <c r="Q493" s="524"/>
      <c r="R493" s="524"/>
      <c r="S493" s="524"/>
      <c r="T493" s="524"/>
      <c r="U493" s="52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22"/>
      <c r="D494" s="108">
        <v>4.4000000000000004</v>
      </c>
      <c r="E494" s="108"/>
      <c r="F494" s="127"/>
      <c r="G494" s="128"/>
      <c r="H494" s="51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24"/>
      <c r="P494" s="524"/>
      <c r="Q494" s="524"/>
      <c r="R494" s="524"/>
      <c r="S494" s="524"/>
      <c r="T494" s="524"/>
      <c r="U494" s="52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16">
        <f t="shared" si="222"/>
        <v>0</v>
      </c>
      <c r="I495" s="129"/>
      <c r="J495" s="130"/>
      <c r="K495" s="131"/>
      <c r="L495" s="129"/>
      <c r="M495" s="109"/>
      <c r="N495" s="130"/>
      <c r="O495" s="524"/>
      <c r="P495" s="524"/>
      <c r="Q495" s="524"/>
      <c r="R495" s="524"/>
      <c r="S495" s="524"/>
      <c r="T495" s="524"/>
      <c r="U495" s="52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22"/>
      <c r="D496" s="108"/>
      <c r="E496" s="108"/>
      <c r="F496" s="127"/>
      <c r="G496" s="128"/>
      <c r="H496" s="51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24"/>
      <c r="P496" s="524"/>
      <c r="Q496" s="524"/>
      <c r="R496" s="524"/>
      <c r="S496" s="524"/>
      <c r="T496" s="524"/>
      <c r="U496" s="52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22" t="s">
        <v>239</v>
      </c>
      <c r="C497" s="522" t="s">
        <v>179</v>
      </c>
      <c r="D497" s="108">
        <v>6.04</v>
      </c>
      <c r="E497" s="108"/>
      <c r="F497" s="127"/>
      <c r="G497" s="128"/>
      <c r="H497" s="51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24"/>
      <c r="P497" s="524"/>
      <c r="Q497" s="524"/>
      <c r="R497" s="524"/>
      <c r="S497" s="524"/>
      <c r="T497" s="524"/>
      <c r="U497" s="52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22" t="s">
        <v>239</v>
      </c>
      <c r="C498" s="522" t="s">
        <v>186</v>
      </c>
      <c r="D498" s="108">
        <v>6.04</v>
      </c>
      <c r="E498" s="108"/>
      <c r="F498" s="127"/>
      <c r="G498" s="128"/>
      <c r="H498" s="51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24"/>
      <c r="P498" s="524"/>
      <c r="Q498" s="524"/>
      <c r="R498" s="524"/>
      <c r="S498" s="524"/>
      <c r="T498" s="524"/>
      <c r="U498" s="52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22" t="s">
        <v>443</v>
      </c>
      <c r="C499" s="522" t="s">
        <v>179</v>
      </c>
      <c r="D499" s="108"/>
      <c r="E499" s="108"/>
      <c r="F499" s="127"/>
      <c r="G499" s="128"/>
      <c r="H499" s="516">
        <f t="shared" si="222"/>
        <v>0</v>
      </c>
      <c r="I499" s="129"/>
      <c r="J499" s="130"/>
      <c r="K499" s="131"/>
      <c r="L499" s="129"/>
      <c r="M499" s="109"/>
      <c r="N499" s="130"/>
      <c r="O499" s="524"/>
      <c r="P499" s="524"/>
      <c r="Q499" s="524"/>
      <c r="R499" s="524"/>
      <c r="S499" s="524"/>
      <c r="T499" s="524"/>
      <c r="U499" s="52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22" t="s">
        <v>443</v>
      </c>
      <c r="C500" s="522" t="s">
        <v>186</v>
      </c>
      <c r="D500" s="108"/>
      <c r="E500" s="108"/>
      <c r="F500" s="127"/>
      <c r="G500" s="128"/>
      <c r="H500" s="516">
        <f t="shared" si="222"/>
        <v>0</v>
      </c>
      <c r="I500" s="129"/>
      <c r="J500" s="130"/>
      <c r="K500" s="131"/>
      <c r="L500" s="129"/>
      <c r="M500" s="109"/>
      <c r="N500" s="130"/>
      <c r="O500" s="524"/>
      <c r="P500" s="524"/>
      <c r="Q500" s="524"/>
      <c r="R500" s="524"/>
      <c r="S500" s="524"/>
      <c r="T500" s="524"/>
      <c r="U500" s="52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15" t="s">
        <v>240</v>
      </c>
      <c r="C501" s="126"/>
      <c r="D501" s="108">
        <v>7.3</v>
      </c>
      <c r="E501" s="108"/>
      <c r="F501" s="127"/>
      <c r="G501" s="128"/>
      <c r="H501" s="51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24"/>
      <c r="P501" s="524"/>
      <c r="Q501" s="524"/>
      <c r="R501" s="524"/>
      <c r="S501" s="524"/>
      <c r="T501" s="524"/>
      <c r="U501" s="52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15" t="s">
        <v>241</v>
      </c>
      <c r="C502" s="126"/>
      <c r="D502" s="108">
        <f>78*120/1000</f>
        <v>9.36</v>
      </c>
      <c r="E502" s="108"/>
      <c r="F502" s="127"/>
      <c r="G502" s="128"/>
      <c r="H502" s="516">
        <f t="shared" si="222"/>
        <v>0</v>
      </c>
      <c r="I502" s="129"/>
      <c r="J502" s="130"/>
      <c r="K502" s="131"/>
      <c r="L502" s="129"/>
      <c r="M502" s="109"/>
      <c r="N502" s="130"/>
      <c r="O502" s="524"/>
      <c r="P502" s="524"/>
      <c r="Q502" s="524"/>
      <c r="R502" s="524"/>
      <c r="S502" s="524"/>
      <c r="T502" s="524"/>
      <c r="U502" s="52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15" t="s">
        <v>242</v>
      </c>
      <c r="C503" s="126"/>
      <c r="D503" s="108">
        <v>4.5</v>
      </c>
      <c r="E503" s="108"/>
      <c r="F503" s="127"/>
      <c r="G503" s="128"/>
      <c r="H503" s="516">
        <f t="shared" si="222"/>
        <v>0</v>
      </c>
      <c r="I503" s="129"/>
      <c r="J503" s="130"/>
      <c r="K503" s="131"/>
      <c r="L503" s="129"/>
      <c r="M503" s="109"/>
      <c r="N503" s="130"/>
      <c r="O503" s="524"/>
      <c r="P503" s="524"/>
      <c r="Q503" s="524"/>
      <c r="R503" s="524"/>
      <c r="S503" s="524"/>
      <c r="T503" s="524"/>
      <c r="U503" s="52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15" t="s">
        <v>243</v>
      </c>
      <c r="C504" s="126"/>
      <c r="D504" s="108">
        <v>4.5</v>
      </c>
      <c r="E504" s="108"/>
      <c r="F504" s="127"/>
      <c r="G504" s="128"/>
      <c r="H504" s="516">
        <f t="shared" si="222"/>
        <v>0</v>
      </c>
      <c r="I504" s="129"/>
      <c r="J504" s="130"/>
      <c r="K504" s="131"/>
      <c r="L504" s="129"/>
      <c r="M504" s="109"/>
      <c r="N504" s="130"/>
      <c r="O504" s="524"/>
      <c r="P504" s="524"/>
      <c r="Q504" s="524"/>
      <c r="R504" s="524"/>
      <c r="S504" s="524"/>
      <c r="T504" s="524"/>
      <c r="U504" s="52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15"/>
      <c r="C505" s="126"/>
      <c r="D505" s="108"/>
      <c r="E505" s="108"/>
      <c r="F505" s="127"/>
      <c r="G505" s="128"/>
      <c r="H505" s="516">
        <f t="shared" si="222"/>
        <v>0</v>
      </c>
      <c r="I505" s="129"/>
      <c r="J505" s="130"/>
      <c r="K505" s="131"/>
      <c r="L505" s="129"/>
      <c r="M505" s="109"/>
      <c r="N505" s="130"/>
      <c r="O505" s="524"/>
      <c r="P505" s="524"/>
      <c r="Q505" s="524"/>
      <c r="R505" s="524"/>
      <c r="S505" s="524"/>
      <c r="T505" s="524"/>
      <c r="U505" s="52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52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518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518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518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518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518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518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518">
        <f>G507</f>
        <v>0</v>
      </c>
      <c r="C514" s="638" t="s">
        <v>269</v>
      </c>
      <c r="D514" s="639"/>
      <c r="E514" s="631">
        <f>H507</f>
        <v>0</v>
      </c>
      <c r="F514" s="631"/>
      <c r="G514" s="631" t="s">
        <v>270</v>
      </c>
      <c r="H514" s="631"/>
      <c r="I514" s="640" t="str">
        <f>L507</f>
        <v/>
      </c>
      <c r="J514" s="640"/>
      <c r="K514" s="628" t="s">
        <v>271</v>
      </c>
      <c r="L514" s="628"/>
      <c r="M514" s="640" t="str">
        <f>J507</f>
        <v/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518">
        <f>I507+C513</f>
        <v>1</v>
      </c>
      <c r="C515" s="641" t="s">
        <v>251</v>
      </c>
      <c r="D515" s="642"/>
      <c r="E515" s="643">
        <f>K507+I513</f>
        <v>11</v>
      </c>
      <c r="F515" s="643"/>
      <c r="G515" s="631" t="s">
        <v>274</v>
      </c>
      <c r="H515" s="631"/>
      <c r="I515" s="640">
        <f>B515-E515</f>
        <v>-10</v>
      </c>
      <c r="J515" s="640"/>
      <c r="K515" s="628" t="s">
        <v>275</v>
      </c>
      <c r="L515" s="628"/>
      <c r="M515" s="632">
        <f>IF(ISERROR(I515/E515),"",I515/E515)</f>
        <v>-0.90909090909090906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518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 t="str">
        <f t="array" ref="M516">IF(ISERROR(I516/B514),"",I516/B514)</f>
        <v/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51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7877</v>
      </c>
      <c r="D519" s="627"/>
      <c r="E519" s="673" t="s">
        <v>269</v>
      </c>
      <c r="F519" s="673"/>
      <c r="G519" s="643">
        <f>SUM(E171,E342,E514)</f>
        <v>40085.83</v>
      </c>
      <c r="H519" s="643"/>
      <c r="I519" s="631" t="s">
        <v>270</v>
      </c>
      <c r="J519" s="673"/>
      <c r="K519" s="626">
        <f>IF(ISERROR(C519/G520),"",C519/G520)</f>
        <v>10.797305151347524</v>
      </c>
      <c r="L519" s="627"/>
      <c r="M519" s="631" t="s">
        <v>271</v>
      </c>
      <c r="N519" s="631"/>
      <c r="O519" s="668">
        <f t="array" ref="O519">IF(ISERROR(C519/C520),"",C519/C520)</f>
        <v>13.923603132236225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565.73</v>
      </c>
      <c r="D520" s="627"/>
      <c r="E520" s="631" t="s">
        <v>251</v>
      </c>
      <c r="F520" s="631"/>
      <c r="G520" s="643">
        <f>SUM(E172,E343,E515)</f>
        <v>729.53388735308044</v>
      </c>
      <c r="H520" s="643"/>
      <c r="I520" s="641" t="s">
        <v>274</v>
      </c>
      <c r="J520" s="642"/>
      <c r="K520" s="638">
        <f>C520-G520</f>
        <v>-163.80388735308043</v>
      </c>
      <c r="L520" s="639"/>
      <c r="M520" s="638" t="s">
        <v>275</v>
      </c>
      <c r="N520" s="639"/>
      <c r="O520" s="671">
        <f>IF(ISERROR(K520/C520),"",K520/C520)</f>
        <v>-0.28954428323242609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1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2090</v>
      </c>
      <c r="D524" s="642"/>
      <c r="E524" s="681">
        <f>IF(ISERROR(C524/C530),"",C524/C530)</f>
        <v>0.26532944014218612</v>
      </c>
      <c r="F524" s="682"/>
      <c r="G524" s="676"/>
      <c r="H524" s="677"/>
      <c r="I524" s="683" t="s">
        <v>301</v>
      </c>
      <c r="J524" s="684"/>
      <c r="K524" s="638">
        <f t="shared" ref="K524:K529" si="237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8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3418</v>
      </c>
      <c r="D525" s="642"/>
      <c r="E525" s="681">
        <f>IF(ISERROR(C525/C530),"",C525/C530)</f>
        <v>0.43392154373492448</v>
      </c>
      <c r="F525" s="682"/>
      <c r="G525" s="676"/>
      <c r="H525" s="677"/>
      <c r="I525" s="683" t="s">
        <v>302</v>
      </c>
      <c r="J525" s="684"/>
      <c r="K525" s="638">
        <f t="shared" si="237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8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1256</v>
      </c>
      <c r="D526" s="642"/>
      <c r="E526" s="681">
        <f>IF(ISERROR(C526/C530),"",C526/C530)</f>
        <v>0.15945156785578266</v>
      </c>
      <c r="F526" s="682"/>
      <c r="G526" s="676"/>
      <c r="H526" s="677"/>
      <c r="I526" s="683" t="s">
        <v>303</v>
      </c>
      <c r="J526" s="684"/>
      <c r="K526" s="638">
        <f t="shared" si="237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8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738</v>
      </c>
      <c r="D527" s="642"/>
      <c r="E527" s="681">
        <f>IF(ISERROR(C527/C530),"",C527/C530)</f>
        <v>9.3690491303795864E-2</v>
      </c>
      <c r="F527" s="682"/>
      <c r="G527" s="676"/>
      <c r="H527" s="677"/>
      <c r="I527" s="683" t="s">
        <v>304</v>
      </c>
      <c r="J527" s="684"/>
      <c r="K527" s="638">
        <f t="shared" si="237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8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24</v>
      </c>
      <c r="D528" s="642"/>
      <c r="E528" s="681">
        <f>IF(ISERROR(C528/C530),"",C528/C530)</f>
        <v>3.046845245651898E-3</v>
      </c>
      <c r="F528" s="682"/>
      <c r="G528" s="676"/>
      <c r="H528" s="677"/>
      <c r="I528" s="683" t="s">
        <v>306</v>
      </c>
      <c r="J528" s="684"/>
      <c r="K528" s="638">
        <f t="shared" si="237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8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351</v>
      </c>
      <c r="D529" s="642"/>
      <c r="E529" s="681">
        <f>IF(ISERROR(C529/C530),"",C529/C530)</f>
        <v>4.4560111717659008E-2</v>
      </c>
      <c r="F529" s="682"/>
      <c r="G529" s="676"/>
      <c r="H529" s="677"/>
      <c r="I529" s="683" t="s">
        <v>307</v>
      </c>
      <c r="J529" s="684"/>
      <c r="K529" s="638">
        <f t="shared" si="237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8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7877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522" t="s">
        <v>309</v>
      </c>
      <c r="D532" s="522" t="s">
        <v>310</v>
      </c>
      <c r="E532" s="522" t="s">
        <v>311</v>
      </c>
      <c r="F532" s="52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2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16" t="s">
        <v>322</v>
      </c>
      <c r="Q532" s="129" t="s">
        <v>323</v>
      </c>
      <c r="R532" s="109" t="s">
        <v>324</v>
      </c>
      <c r="S532" s="522" t="s">
        <v>325</v>
      </c>
      <c r="T532" s="52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+'10'!C533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23">
        <f t="array" ref="S533">IF(ISERROR(Q533/J533),"",Q533/J533)</f>
        <v>1</v>
      </c>
      <c r="T533" s="52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40</v>
      </c>
      <c r="D534" s="106">
        <f>+'10'!C534</f>
        <v>44</v>
      </c>
      <c r="E534" s="110"/>
      <c r="F534" s="110"/>
      <c r="G534" s="107"/>
      <c r="H534" s="106"/>
      <c r="I534" s="106"/>
      <c r="J534" s="106">
        <f>C534-H534-I534</f>
        <v>40</v>
      </c>
      <c r="K534" s="106">
        <v>1</v>
      </c>
      <c r="L534" s="106"/>
      <c r="M534" s="106"/>
      <c r="N534" s="106"/>
      <c r="O534" s="110">
        <v>4</v>
      </c>
      <c r="P534" s="111"/>
      <c r="Q534" s="106">
        <f>J534-K534-L534</f>
        <v>39</v>
      </c>
      <c r="R534" s="109">
        <f>Q534*11-M534-N534</f>
        <v>429</v>
      </c>
      <c r="S534" s="523">
        <f t="array" ref="S534">IF(ISERROR(Q534/J534),"",Q534/J534)</f>
        <v>0.97499999999999998</v>
      </c>
      <c r="T534" s="523">
        <f t="array" ref="T534">IF(ISERROR((O534:P534)/C534),"",SUM(O534:P534)/C534)</f>
        <v>0.1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+'10'!C535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23">
        <f t="array" ref="S535">IF(ISERROR(Q535/J535),"",Q535/J535)</f>
        <v>1</v>
      </c>
      <c r="T535" s="52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96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96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4</v>
      </c>
      <c r="P536" s="112">
        <f>SUM(P533:P535)</f>
        <v>0</v>
      </c>
      <c r="Q536" s="112">
        <f>SUM(Q533:Q535)</f>
        <v>95</v>
      </c>
      <c r="R536" s="114">
        <f>SUM(R533:R535)</f>
        <v>1045</v>
      </c>
      <c r="S536" s="115">
        <f t="array" ref="S536">IF(ISERROR(Q536/J536),"",Q536/J536)</f>
        <v>0.98958333333333337</v>
      </c>
      <c r="T536" s="115">
        <f t="array" ref="T536">IF(ISERROR((O536:P536)/C536),"",SUM(O536:P536)/C536)</f>
        <v>4.1666666666666664E-2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57" activePane="bottomRight" state="frozen"/>
      <selection activeCell="E487" sqref="E487"/>
      <selection pane="topRight" activeCell="E487" sqref="E487"/>
      <selection pane="bottomLeft" activeCell="E487" sqref="E487"/>
      <selection pane="bottomRight" activeCell="E66" sqref="E66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2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551" t="s">
        <v>50</v>
      </c>
      <c r="H6" s="528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531" t="s">
        <v>178</v>
      </c>
      <c r="C7" s="126" t="s">
        <v>179</v>
      </c>
      <c r="D7" s="108">
        <v>5.03</v>
      </c>
      <c r="E7" s="108"/>
      <c r="F7" s="127"/>
      <c r="G7" s="108"/>
      <c r="H7" s="53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30"/>
      <c r="P7" s="530"/>
      <c r="Q7" s="530"/>
      <c r="R7" s="530"/>
      <c r="S7" s="530"/>
      <c r="T7" s="530"/>
      <c r="U7" s="53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08"/>
      <c r="H8" s="53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30"/>
      <c r="Q8" s="530"/>
      <c r="R8" s="530"/>
      <c r="S8" s="530"/>
      <c r="T8" s="530"/>
      <c r="U8" s="53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08"/>
      <c r="H9" s="53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30"/>
      <c r="P9" s="530"/>
      <c r="Q9" s="530"/>
      <c r="R9" s="530"/>
      <c r="S9" s="530"/>
      <c r="T9" s="530"/>
      <c r="U9" s="53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08"/>
      <c r="H10" s="539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30"/>
      <c r="P10" s="530"/>
      <c r="Q10" s="530"/>
      <c r="R10" s="530"/>
      <c r="S10" s="530"/>
      <c r="T10" s="530"/>
      <c r="U10" s="530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08"/>
      <c r="H11" s="53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30"/>
      <c r="P11" s="530"/>
      <c r="Q11" s="530"/>
      <c r="R11" s="530"/>
      <c r="S11" s="530"/>
      <c r="T11" s="530"/>
      <c r="U11" s="53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552"/>
      <c r="H12" s="53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30"/>
      <c r="P12" s="530"/>
      <c r="Q12" s="530"/>
      <c r="R12" s="530"/>
      <c r="S12" s="530"/>
      <c r="T12" s="530"/>
      <c r="U12" s="53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08"/>
      <c r="H13" s="53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30"/>
      <c r="P13" s="530"/>
      <c r="Q13" s="530"/>
      <c r="R13" s="530"/>
      <c r="S13" s="530"/>
      <c r="T13" s="530"/>
      <c r="U13" s="530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08">
        <f>50+108+91</f>
        <v>249</v>
      </c>
      <c r="H14" s="539">
        <f t="shared" si="0"/>
        <v>1252.47</v>
      </c>
      <c r="I14" s="129">
        <f>2*4+4*3</f>
        <v>20</v>
      </c>
      <c r="J14" s="130"/>
      <c r="K14" s="131">
        <f t="array" ref="K14">IF(ISERROR(G14/L14),"",G14/L14)</f>
        <v>83</v>
      </c>
      <c r="L14" s="129">
        <v>3</v>
      </c>
      <c r="M14" s="109">
        <f t="shared" si="1"/>
        <v>-63</v>
      </c>
      <c r="N14" s="130">
        <f t="shared" si="4"/>
        <v>0</v>
      </c>
      <c r="O14" s="530"/>
      <c r="P14" s="530"/>
      <c r="Q14" s="530"/>
      <c r="R14" s="530"/>
      <c r="S14" s="530"/>
      <c r="T14" s="530"/>
      <c r="U14" s="53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08"/>
      <c r="H15" s="539">
        <f t="shared" si="0"/>
        <v>0</v>
      </c>
      <c r="I15" s="53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30"/>
      <c r="P15" s="530"/>
      <c r="Q15" s="530"/>
      <c r="R15" s="530"/>
      <c r="S15" s="530"/>
      <c r="T15" s="530"/>
      <c r="U15" s="53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08"/>
      <c r="H16" s="539">
        <f t="shared" si="0"/>
        <v>0</v>
      </c>
      <c r="I16" s="53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30"/>
      <c r="P16" s="530"/>
      <c r="Q16" s="530"/>
      <c r="R16" s="530"/>
      <c r="S16" s="530"/>
      <c r="T16" s="530"/>
      <c r="U16" s="53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08"/>
      <c r="H17" s="53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30"/>
      <c r="P17" s="530"/>
      <c r="Q17" s="530"/>
      <c r="R17" s="530"/>
      <c r="S17" s="530"/>
      <c r="T17" s="530"/>
      <c r="U17" s="53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08"/>
      <c r="H18" s="53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30"/>
      <c r="P18" s="530"/>
      <c r="Q18" s="530"/>
      <c r="R18" s="530"/>
      <c r="S18" s="530"/>
      <c r="T18" s="530"/>
      <c r="U18" s="530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08"/>
      <c r="H19" s="53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30"/>
      <c r="P19" s="530"/>
      <c r="Q19" s="530"/>
      <c r="R19" s="530"/>
      <c r="S19" s="530"/>
      <c r="T19" s="530"/>
      <c r="U19" s="530"/>
      <c r="V19" s="132">
        <f t="shared" ref="V19:V21" si="5">SUM(X19:AA19)</f>
        <v>0</v>
      </c>
      <c r="W19" s="53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08">
        <f>100*6+90+100*3</f>
        <v>990</v>
      </c>
      <c r="H20" s="539">
        <f t="shared" si="0"/>
        <v>5039.0999999999995</v>
      </c>
      <c r="I20" s="129">
        <f>3.5*5+7*5</f>
        <v>52.5</v>
      </c>
      <c r="J20" s="130">
        <f t="array" ref="J20">IF(ISERROR(G20/I20),"",G20/I20)</f>
        <v>18.857142857142858</v>
      </c>
      <c r="K20" s="131">
        <f t="array" ref="K20">IF(ISERROR(G20/L20),"",G20/L20)</f>
        <v>43.043478260869563</v>
      </c>
      <c r="L20" s="129">
        <v>23</v>
      </c>
      <c r="M20" s="109">
        <f t="shared" si="1"/>
        <v>9.4565217391304373</v>
      </c>
      <c r="N20" s="130">
        <f t="shared" si="4"/>
        <v>0</v>
      </c>
      <c r="O20" s="530"/>
      <c r="P20" s="530"/>
      <c r="Q20" s="530"/>
      <c r="R20" s="530"/>
      <c r="S20" s="530"/>
      <c r="T20" s="530"/>
      <c r="U20" s="530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08"/>
      <c r="H21" s="53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30"/>
      <c r="P21" s="530"/>
      <c r="Q21" s="530"/>
      <c r="R21" s="530"/>
      <c r="S21" s="530"/>
      <c r="T21" s="530"/>
      <c r="U21" s="53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29" t="s">
        <v>190</v>
      </c>
      <c r="D22" s="108">
        <v>4.8</v>
      </c>
      <c r="E22" s="108"/>
      <c r="F22" s="127"/>
      <c r="G22" s="108"/>
      <c r="H22" s="53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30"/>
      <c r="P22" s="530"/>
      <c r="Q22" s="530"/>
      <c r="R22" s="530"/>
      <c r="S22" s="530"/>
      <c r="T22" s="530"/>
      <c r="U22" s="53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29" t="s">
        <v>187</v>
      </c>
      <c r="D23" s="108">
        <v>4.8</v>
      </c>
      <c r="E23" s="108"/>
      <c r="F23" s="127"/>
      <c r="G23" s="108"/>
      <c r="H23" s="53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30"/>
      <c r="P23" s="530"/>
      <c r="Q23" s="530"/>
      <c r="R23" s="530"/>
      <c r="S23" s="530"/>
      <c r="T23" s="530"/>
      <c r="U23" s="53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29" t="s">
        <v>179</v>
      </c>
      <c r="D24" s="108">
        <v>4.8</v>
      </c>
      <c r="E24" s="108"/>
      <c r="F24" s="127"/>
      <c r="G24" s="108"/>
      <c r="H24" s="53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30"/>
      <c r="P24" s="530"/>
      <c r="Q24" s="530"/>
      <c r="R24" s="530"/>
      <c r="S24" s="530"/>
      <c r="T24" s="530"/>
      <c r="U24" s="53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29" t="s">
        <v>199</v>
      </c>
      <c r="D25" s="108">
        <v>4.8</v>
      </c>
      <c r="E25" s="108"/>
      <c r="F25" s="127"/>
      <c r="G25" s="108"/>
      <c r="H25" s="53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30"/>
      <c r="P25" s="530"/>
      <c r="Q25" s="530"/>
      <c r="R25" s="530"/>
      <c r="S25" s="530"/>
      <c r="T25" s="530"/>
      <c r="U25" s="53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08"/>
      <c r="H26" s="53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30"/>
      <c r="P26" s="530"/>
      <c r="Q26" s="530"/>
      <c r="R26" s="530"/>
      <c r="S26" s="530"/>
      <c r="T26" s="530"/>
      <c r="U26" s="53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08"/>
      <c r="H27" s="53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30"/>
      <c r="P27" s="530"/>
      <c r="Q27" s="530"/>
      <c r="R27" s="530"/>
      <c r="S27" s="530"/>
      <c r="T27" s="530"/>
      <c r="U27" s="53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537" t="s">
        <v>202</v>
      </c>
      <c r="D28" s="143"/>
      <c r="E28" s="143"/>
      <c r="F28" s="144"/>
      <c r="G28" s="143">
        <f>SUM(G7:G27)</f>
        <v>1239</v>
      </c>
      <c r="H28" s="146">
        <f>SUM(H7:H27)</f>
        <v>6291.57</v>
      </c>
      <c r="I28" s="146">
        <f>SUM(I7:I27)</f>
        <v>72.5</v>
      </c>
      <c r="J28" s="130">
        <f t="array" ref="J28">IF(ISERROR(G28/I28),"",G28/I28)</f>
        <v>17.089655172413792</v>
      </c>
      <c r="K28" s="146">
        <f>SUM(K7:K27)</f>
        <v>126.04347826086956</v>
      </c>
      <c r="L28" s="147"/>
      <c r="M28" s="146">
        <f t="shared" ref="M28:V28" si="10">SUM(M7:M27)</f>
        <v>-53.543478260869563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31" t="s">
        <v>206</v>
      </c>
      <c r="C29" s="126" t="s">
        <v>199</v>
      </c>
      <c r="D29" s="108">
        <v>5.03</v>
      </c>
      <c r="E29" s="108"/>
      <c r="F29" s="127"/>
      <c r="G29" s="108"/>
      <c r="H29" s="53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34"/>
      <c r="P29" s="534"/>
      <c r="Q29" s="534"/>
      <c r="R29" s="534"/>
      <c r="S29" s="534"/>
      <c r="T29" s="534"/>
      <c r="U29" s="53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31" t="s">
        <v>425</v>
      </c>
      <c r="C30" s="187" t="s">
        <v>427</v>
      </c>
      <c r="D30" s="108">
        <v>5.03</v>
      </c>
      <c r="E30" s="108"/>
      <c r="F30" s="127"/>
      <c r="G30" s="108"/>
      <c r="H30" s="53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34"/>
      <c r="P30" s="534"/>
      <c r="Q30" s="534"/>
      <c r="R30" s="534"/>
      <c r="S30" s="534"/>
      <c r="T30" s="534"/>
      <c r="U30" s="53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31" t="s">
        <v>206</v>
      </c>
      <c r="C31" s="126" t="s">
        <v>186</v>
      </c>
      <c r="D31" s="108">
        <v>5.03</v>
      </c>
      <c r="E31" s="108"/>
      <c r="F31" s="127"/>
      <c r="G31" s="108"/>
      <c r="H31" s="53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34"/>
      <c r="P31" s="534"/>
      <c r="Q31" s="534"/>
      <c r="R31" s="534"/>
      <c r="S31" s="534"/>
      <c r="T31" s="534"/>
      <c r="U31" s="53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31" t="s">
        <v>206</v>
      </c>
      <c r="C32" s="126" t="s">
        <v>203</v>
      </c>
      <c r="D32" s="108">
        <v>5.03</v>
      </c>
      <c r="E32" s="108"/>
      <c r="F32" s="127"/>
      <c r="G32" s="108"/>
      <c r="H32" s="53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34"/>
      <c r="P32" s="534"/>
      <c r="Q32" s="534"/>
      <c r="R32" s="534"/>
      <c r="S32" s="534"/>
      <c r="T32" s="534"/>
      <c r="U32" s="53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31" t="s">
        <v>206</v>
      </c>
      <c r="C33" s="126" t="s">
        <v>207</v>
      </c>
      <c r="D33" s="108">
        <v>5.03</v>
      </c>
      <c r="E33" s="108"/>
      <c r="F33" s="127"/>
      <c r="G33" s="108"/>
      <c r="H33" s="53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34"/>
      <c r="P33" s="534"/>
      <c r="Q33" s="534"/>
      <c r="R33" s="534"/>
      <c r="S33" s="534"/>
      <c r="T33" s="534"/>
      <c r="U33" s="53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31" t="s">
        <v>414</v>
      </c>
      <c r="C34" s="187" t="s">
        <v>415</v>
      </c>
      <c r="D34" s="108">
        <v>5.03</v>
      </c>
      <c r="E34" s="108"/>
      <c r="F34" s="127"/>
      <c r="G34" s="108"/>
      <c r="H34" s="539">
        <f t="shared" si="11"/>
        <v>0</v>
      </c>
      <c r="I34" s="129"/>
      <c r="J34" s="130"/>
      <c r="K34" s="131"/>
      <c r="L34" s="129">
        <v>52</v>
      </c>
      <c r="M34" s="109"/>
      <c r="N34" s="130"/>
      <c r="O34" s="534"/>
      <c r="P34" s="534"/>
      <c r="Q34" s="534"/>
      <c r="R34" s="534"/>
      <c r="S34" s="534"/>
      <c r="T34" s="534"/>
      <c r="U34" s="53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31" t="s">
        <v>414</v>
      </c>
      <c r="C35" s="187" t="s">
        <v>416</v>
      </c>
      <c r="D35" s="108">
        <v>5.03</v>
      </c>
      <c r="E35" s="108"/>
      <c r="F35" s="127"/>
      <c r="G35" s="108"/>
      <c r="H35" s="539">
        <f t="shared" si="11"/>
        <v>0</v>
      </c>
      <c r="I35" s="129"/>
      <c r="J35" s="130"/>
      <c r="K35" s="131"/>
      <c r="L35" s="129">
        <v>52</v>
      </c>
      <c r="M35" s="109"/>
      <c r="N35" s="130"/>
      <c r="O35" s="534"/>
      <c r="P35" s="534"/>
      <c r="Q35" s="534"/>
      <c r="R35" s="534"/>
      <c r="S35" s="534"/>
      <c r="T35" s="534"/>
      <c r="U35" s="53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31" t="s">
        <v>414</v>
      </c>
      <c r="C36" s="187" t="s">
        <v>61</v>
      </c>
      <c r="D36" s="108">
        <v>5.03</v>
      </c>
      <c r="E36" s="108"/>
      <c r="F36" s="127"/>
      <c r="G36" s="108"/>
      <c r="H36" s="539">
        <f t="shared" si="11"/>
        <v>0</v>
      </c>
      <c r="I36" s="129"/>
      <c r="J36" s="130"/>
      <c r="K36" s="131"/>
      <c r="L36" s="129">
        <v>52</v>
      </c>
      <c r="M36" s="109"/>
      <c r="N36" s="130"/>
      <c r="O36" s="534"/>
      <c r="P36" s="534"/>
      <c r="Q36" s="534"/>
      <c r="R36" s="534"/>
      <c r="S36" s="534"/>
      <c r="T36" s="534"/>
      <c r="U36" s="53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31" t="s">
        <v>208</v>
      </c>
      <c r="C37" s="126" t="s">
        <v>179</v>
      </c>
      <c r="D37" s="108">
        <v>5.08</v>
      </c>
      <c r="E37" s="108"/>
      <c r="F37" s="127"/>
      <c r="G37" s="108"/>
      <c r="H37" s="53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34"/>
      <c r="P37" s="534"/>
      <c r="Q37" s="534"/>
      <c r="R37" s="534"/>
      <c r="S37" s="534"/>
      <c r="T37" s="534"/>
      <c r="U37" s="53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31" t="s">
        <v>208</v>
      </c>
      <c r="C38" s="126" t="s">
        <v>204</v>
      </c>
      <c r="D38" s="108">
        <v>5.08</v>
      </c>
      <c r="E38" s="108"/>
      <c r="F38" s="127">
        <v>42746</v>
      </c>
      <c r="G38" s="108">
        <v>70</v>
      </c>
      <c r="H38" s="539">
        <f t="shared" si="11"/>
        <v>355.6</v>
      </c>
      <c r="I38" s="129">
        <f>1.5*3</f>
        <v>4.5</v>
      </c>
      <c r="J38" s="130">
        <f t="array" ref="J38">IF(ISERROR(G38/I38),"",G38/I38)</f>
        <v>15.555555555555555</v>
      </c>
      <c r="K38" s="131">
        <f t="array" ref="K38">IF(ISERROR(G38/L38),"",G38/L38)</f>
        <v>3.3333333333333335</v>
      </c>
      <c r="L38" s="129">
        <v>21</v>
      </c>
      <c r="M38" s="109">
        <f t="shared" si="19"/>
        <v>1.1666666666666665</v>
      </c>
      <c r="N38" s="130">
        <f t="shared" si="20"/>
        <v>0</v>
      </c>
      <c r="O38" s="534"/>
      <c r="P38" s="534"/>
      <c r="Q38" s="534"/>
      <c r="R38" s="534"/>
      <c r="S38" s="534"/>
      <c r="T38" s="534"/>
      <c r="U38" s="534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31" t="s">
        <v>208</v>
      </c>
      <c r="C39" s="126" t="s">
        <v>205</v>
      </c>
      <c r="D39" s="108">
        <v>5.08</v>
      </c>
      <c r="E39" s="108"/>
      <c r="F39" s="127"/>
      <c r="G39" s="108"/>
      <c r="H39" s="53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34"/>
      <c r="P39" s="534"/>
      <c r="Q39" s="534"/>
      <c r="R39" s="534"/>
      <c r="S39" s="534"/>
      <c r="T39" s="534"/>
      <c r="U39" s="53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31" t="s">
        <v>208</v>
      </c>
      <c r="C40" s="126" t="s">
        <v>186</v>
      </c>
      <c r="D40" s="108">
        <v>5.08</v>
      </c>
      <c r="E40" s="108"/>
      <c r="F40" s="127"/>
      <c r="G40" s="108"/>
      <c r="H40" s="53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34"/>
      <c r="P40" s="534"/>
      <c r="Q40" s="534"/>
      <c r="R40" s="534"/>
      <c r="S40" s="534"/>
      <c r="T40" s="534"/>
      <c r="U40" s="53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531" t="s">
        <v>208</v>
      </c>
      <c r="C41" s="126" t="s">
        <v>203</v>
      </c>
      <c r="D41" s="108">
        <v>5.08</v>
      </c>
      <c r="E41" s="108"/>
      <c r="F41" s="127">
        <v>42746</v>
      </c>
      <c r="G41" s="108">
        <f>108*6+52</f>
        <v>700</v>
      </c>
      <c r="H41" s="539">
        <f t="shared" si="11"/>
        <v>3556</v>
      </c>
      <c r="I41" s="129">
        <f>9.5*3</f>
        <v>28.5</v>
      </c>
      <c r="J41" s="130">
        <f t="array" ref="J41">IF(ISERROR(G41/I41),"",G41/I41)</f>
        <v>24.561403508771932</v>
      </c>
      <c r="K41" s="131">
        <f t="array" ref="K41">IF(ISERROR(G41/L41),"",G41/L41)</f>
        <v>33.333333333333336</v>
      </c>
      <c r="L41" s="129">
        <v>21</v>
      </c>
      <c r="M41" s="109">
        <f t="shared" si="19"/>
        <v>-4.8333333333333357</v>
      </c>
      <c r="N41" s="130">
        <f t="shared" si="20"/>
        <v>0</v>
      </c>
      <c r="O41" s="534"/>
      <c r="P41" s="534"/>
      <c r="Q41" s="534"/>
      <c r="R41" s="534"/>
      <c r="S41" s="534"/>
      <c r="T41" s="534"/>
      <c r="U41" s="534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31" t="s">
        <v>208</v>
      </c>
      <c r="C42" s="126" t="s">
        <v>199</v>
      </c>
      <c r="D42" s="108">
        <v>5.08</v>
      </c>
      <c r="E42" s="108"/>
      <c r="F42" s="127"/>
      <c r="G42" s="108"/>
      <c r="H42" s="53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30"/>
      <c r="P42" s="530"/>
      <c r="Q42" s="530"/>
      <c r="R42" s="530"/>
      <c r="S42" s="530"/>
      <c r="T42" s="530"/>
      <c r="U42" s="53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31" t="s">
        <v>208</v>
      </c>
      <c r="C43" s="126" t="s">
        <v>187</v>
      </c>
      <c r="D43" s="108">
        <v>5.08</v>
      </c>
      <c r="E43" s="108"/>
      <c r="F43" s="127"/>
      <c r="G43" s="108"/>
      <c r="H43" s="53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34"/>
      <c r="P43" s="534"/>
      <c r="Q43" s="534"/>
      <c r="R43" s="534"/>
      <c r="S43" s="534"/>
      <c r="T43" s="534"/>
      <c r="U43" s="53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31" t="s">
        <v>208</v>
      </c>
      <c r="C44" s="126" t="s">
        <v>207</v>
      </c>
      <c r="D44" s="108">
        <v>5.08</v>
      </c>
      <c r="E44" s="108"/>
      <c r="F44" s="127"/>
      <c r="G44" s="108"/>
      <c r="H44" s="53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30"/>
      <c r="P44" s="530"/>
      <c r="Q44" s="530"/>
      <c r="R44" s="530"/>
      <c r="S44" s="530"/>
      <c r="T44" s="530"/>
      <c r="U44" s="530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31" t="s">
        <v>209</v>
      </c>
      <c r="C45" s="126" t="s">
        <v>194</v>
      </c>
      <c r="D45" s="108">
        <v>5.03</v>
      </c>
      <c r="E45" s="108"/>
      <c r="F45" s="127"/>
      <c r="G45" s="108"/>
      <c r="H45" s="53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34"/>
      <c r="P45" s="534"/>
      <c r="Q45" s="534"/>
      <c r="R45" s="534"/>
      <c r="S45" s="534"/>
      <c r="T45" s="534"/>
      <c r="U45" s="53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531" t="s">
        <v>209</v>
      </c>
      <c r="C46" s="126" t="s">
        <v>179</v>
      </c>
      <c r="D46" s="108">
        <v>5.03</v>
      </c>
      <c r="E46" s="108"/>
      <c r="F46" s="127">
        <v>42746</v>
      </c>
      <c r="G46" s="108">
        <f>108*7</f>
        <v>756</v>
      </c>
      <c r="H46" s="539">
        <f t="shared" si="11"/>
        <v>3802.6800000000003</v>
      </c>
      <c r="I46" s="129">
        <v>5.5</v>
      </c>
      <c r="J46" s="130">
        <f t="array" ref="J46">IF(ISERROR(G46/I46),"",G46/I46)</f>
        <v>137.45454545454547</v>
      </c>
      <c r="K46" s="131">
        <f t="array" ref="K46">IF(ISERROR(G46/L46),"",G46/L46)</f>
        <v>13.5</v>
      </c>
      <c r="L46" s="129">
        <v>56</v>
      </c>
      <c r="M46" s="109">
        <f t="shared" si="19"/>
        <v>-8</v>
      </c>
      <c r="N46" s="130">
        <f t="shared" si="20"/>
        <v>0</v>
      </c>
      <c r="O46" s="534"/>
      <c r="P46" s="534"/>
      <c r="Q46" s="534"/>
      <c r="R46" s="534"/>
      <c r="S46" s="534"/>
      <c r="T46" s="534"/>
      <c r="U46" s="534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31" t="s">
        <v>209</v>
      </c>
      <c r="C47" s="126" t="s">
        <v>195</v>
      </c>
      <c r="D47" s="108">
        <v>5.03</v>
      </c>
      <c r="E47" s="108"/>
      <c r="F47" s="127"/>
      <c r="G47" s="108"/>
      <c r="H47" s="53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34"/>
      <c r="P47" s="534"/>
      <c r="Q47" s="534"/>
      <c r="R47" s="534"/>
      <c r="S47" s="534"/>
      <c r="T47" s="534"/>
      <c r="U47" s="53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531" t="s">
        <v>209</v>
      </c>
      <c r="C48" s="126" t="s">
        <v>204</v>
      </c>
      <c r="D48" s="108">
        <v>5.03</v>
      </c>
      <c r="E48" s="108"/>
      <c r="F48" s="127">
        <v>42746</v>
      </c>
      <c r="G48" s="108">
        <f>108*3+60</f>
        <v>384</v>
      </c>
      <c r="H48" s="539">
        <f t="shared" si="11"/>
        <v>1931.52</v>
      </c>
      <c r="I48" s="129">
        <v>5.5</v>
      </c>
      <c r="J48" s="130">
        <f t="array" ref="J48">IF(ISERROR(G48/I48),"",G48/I48)</f>
        <v>69.818181818181813</v>
      </c>
      <c r="K48" s="131">
        <f t="array" ref="K48">IF(ISERROR(G48/L48),"",G48/L48)</f>
        <v>6.8571428571428568</v>
      </c>
      <c r="L48" s="129">
        <v>56</v>
      </c>
      <c r="M48" s="109">
        <f t="shared" si="19"/>
        <v>-1.3571428571428568</v>
      </c>
      <c r="N48" s="130">
        <f t="shared" si="20"/>
        <v>0</v>
      </c>
      <c r="O48" s="534"/>
      <c r="P48" s="534"/>
      <c r="Q48" s="534"/>
      <c r="R48" s="534"/>
      <c r="S48" s="534"/>
      <c r="T48" s="534"/>
      <c r="U48" s="534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31" t="s">
        <v>382</v>
      </c>
      <c r="C49" s="187" t="s">
        <v>383</v>
      </c>
      <c r="D49" s="108">
        <v>5.03</v>
      </c>
      <c r="E49" s="108"/>
      <c r="F49" s="127">
        <v>42747</v>
      </c>
      <c r="G49" s="108">
        <f>90*4</f>
        <v>360</v>
      </c>
      <c r="H49" s="539">
        <f t="shared" si="11"/>
        <v>1810.8000000000002</v>
      </c>
      <c r="I49" s="129">
        <v>6</v>
      </c>
      <c r="J49" s="130">
        <f t="array" ref="J49">IF(ISERROR(G49/I49),"",G49/I49)</f>
        <v>60</v>
      </c>
      <c r="K49" s="131">
        <f t="array" ref="K49">IF(ISERROR(G49/L49),"",G49/L49)</f>
        <v>6.666666666666667</v>
      </c>
      <c r="L49" s="129">
        <v>54</v>
      </c>
      <c r="M49" s="109">
        <f t="shared" si="19"/>
        <v>-0.66666666666666696</v>
      </c>
      <c r="N49" s="130">
        <f t="shared" si="20"/>
        <v>0</v>
      </c>
      <c r="O49" s="534"/>
      <c r="P49" s="534"/>
      <c r="Q49" s="534"/>
      <c r="R49" s="534"/>
      <c r="S49" s="534"/>
      <c r="T49" s="534"/>
      <c r="U49" s="53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31" t="s">
        <v>382</v>
      </c>
      <c r="C50" s="187" t="s">
        <v>384</v>
      </c>
      <c r="D50" s="108">
        <v>5.03</v>
      </c>
      <c r="E50" s="108"/>
      <c r="F50" s="127"/>
      <c r="G50" s="108"/>
      <c r="H50" s="53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34"/>
      <c r="P50" s="534"/>
      <c r="Q50" s="534"/>
      <c r="R50" s="534"/>
      <c r="S50" s="534"/>
      <c r="T50" s="534"/>
      <c r="U50" s="53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31" t="s">
        <v>382</v>
      </c>
      <c r="C51" s="187" t="s">
        <v>389</v>
      </c>
      <c r="D51" s="108">
        <v>5.03</v>
      </c>
      <c r="E51" s="108"/>
      <c r="F51" s="127"/>
      <c r="G51" s="108"/>
      <c r="H51" s="53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34"/>
      <c r="P51" s="534"/>
      <c r="Q51" s="534"/>
      <c r="R51" s="534"/>
      <c r="S51" s="534"/>
      <c r="T51" s="534"/>
      <c r="U51" s="53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31" t="s">
        <v>382</v>
      </c>
      <c r="C52" s="187" t="s">
        <v>391</v>
      </c>
      <c r="D52" s="108">
        <v>5.03</v>
      </c>
      <c r="E52" s="108"/>
      <c r="F52" s="127"/>
      <c r="G52" s="108"/>
      <c r="H52" s="53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34"/>
      <c r="P52" s="534"/>
      <c r="Q52" s="534"/>
      <c r="R52" s="534"/>
      <c r="S52" s="534"/>
      <c r="T52" s="534"/>
      <c r="U52" s="53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31" t="s">
        <v>418</v>
      </c>
      <c r="C53" s="187" t="s">
        <v>364</v>
      </c>
      <c r="D53" s="108">
        <v>5.03</v>
      </c>
      <c r="E53" s="108"/>
      <c r="F53" s="127"/>
      <c r="G53" s="108"/>
      <c r="H53" s="53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34"/>
      <c r="P53" s="534"/>
      <c r="Q53" s="534"/>
      <c r="R53" s="534"/>
      <c r="S53" s="534"/>
      <c r="T53" s="534"/>
      <c r="U53" s="53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31" t="s">
        <v>418</v>
      </c>
      <c r="C54" s="187" t="s">
        <v>365</v>
      </c>
      <c r="D54" s="108">
        <v>5.03</v>
      </c>
      <c r="E54" s="108"/>
      <c r="F54" s="127"/>
      <c r="G54" s="108"/>
      <c r="H54" s="53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34"/>
      <c r="P54" s="534"/>
      <c r="Q54" s="534"/>
      <c r="R54" s="534"/>
      <c r="S54" s="534"/>
      <c r="T54" s="534"/>
      <c r="U54" s="53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31" t="s">
        <v>418</v>
      </c>
      <c r="C55" s="187" t="s">
        <v>366</v>
      </c>
      <c r="D55" s="108">
        <v>5.03</v>
      </c>
      <c r="E55" s="108"/>
      <c r="F55" s="127"/>
      <c r="G55" s="108"/>
      <c r="H55" s="53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34"/>
      <c r="P55" s="534"/>
      <c r="Q55" s="534"/>
      <c r="R55" s="534"/>
      <c r="S55" s="534"/>
      <c r="T55" s="534"/>
      <c r="U55" s="53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31" t="s">
        <v>418</v>
      </c>
      <c r="C56" s="187" t="s">
        <v>367</v>
      </c>
      <c r="D56" s="108">
        <v>5.03</v>
      </c>
      <c r="E56" s="108"/>
      <c r="F56" s="127"/>
      <c r="G56" s="108"/>
      <c r="H56" s="53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34"/>
      <c r="P56" s="534"/>
      <c r="Q56" s="534"/>
      <c r="R56" s="534"/>
      <c r="S56" s="534"/>
      <c r="T56" s="534"/>
      <c r="U56" s="53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08"/>
      <c r="H57" s="53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30"/>
      <c r="P57" s="530"/>
      <c r="Q57" s="530"/>
      <c r="R57" s="530"/>
      <c r="S57" s="530"/>
      <c r="T57" s="530"/>
      <c r="U57" s="53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08"/>
      <c r="H58" s="53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30"/>
      <c r="P58" s="530"/>
      <c r="Q58" s="530"/>
      <c r="R58" s="530"/>
      <c r="S58" s="530"/>
      <c r="T58" s="530"/>
      <c r="U58" s="53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08"/>
      <c r="H59" s="53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30"/>
      <c r="P59" s="530"/>
      <c r="Q59" s="530"/>
      <c r="R59" s="530"/>
      <c r="S59" s="530"/>
      <c r="T59" s="530"/>
      <c r="U59" s="53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08"/>
      <c r="H60" s="53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30"/>
      <c r="P60" s="530"/>
      <c r="Q60" s="530"/>
      <c r="R60" s="530"/>
      <c r="S60" s="530"/>
      <c r="T60" s="530"/>
      <c r="U60" s="53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08"/>
      <c r="H61" s="53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30"/>
      <c r="P61" s="530"/>
      <c r="Q61" s="530"/>
      <c r="R61" s="530"/>
      <c r="S61" s="530"/>
      <c r="T61" s="530"/>
      <c r="U61" s="53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08"/>
      <c r="H62" s="53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30"/>
      <c r="P62" s="530"/>
      <c r="Q62" s="530"/>
      <c r="R62" s="530"/>
      <c r="S62" s="530"/>
      <c r="T62" s="530"/>
      <c r="U62" s="53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08"/>
      <c r="H63" s="53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30"/>
      <c r="P63" s="530"/>
      <c r="Q63" s="530"/>
      <c r="R63" s="530"/>
      <c r="S63" s="530"/>
      <c r="T63" s="530"/>
      <c r="U63" s="53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08"/>
      <c r="H64" s="53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30"/>
      <c r="P64" s="530"/>
      <c r="Q64" s="530"/>
      <c r="R64" s="530"/>
      <c r="S64" s="530"/>
      <c r="T64" s="530"/>
      <c r="U64" s="53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08"/>
      <c r="H65" s="53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30"/>
      <c r="P65" s="530"/>
      <c r="Q65" s="530"/>
      <c r="R65" s="530"/>
      <c r="S65" s="530"/>
      <c r="T65" s="530"/>
      <c r="U65" s="53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42744</v>
      </c>
      <c r="G66" s="108">
        <f>90*3+84-90</f>
        <v>264</v>
      </c>
      <c r="H66" s="539">
        <f t="shared" si="11"/>
        <v>1327.92</v>
      </c>
      <c r="I66" s="129">
        <v>5</v>
      </c>
      <c r="J66" s="130">
        <f t="array" ref="J66">IF(ISERROR(G66/I66),"",G66/I66)</f>
        <v>52.8</v>
      </c>
      <c r="K66" s="131">
        <f t="array" ref="K66">IF(ISERROR(G66/L66),"",G66/L66)</f>
        <v>5.28</v>
      </c>
      <c r="L66" s="129">
        <v>50</v>
      </c>
      <c r="M66" s="109">
        <f t="shared" si="19"/>
        <v>-0.28000000000000025</v>
      </c>
      <c r="N66" s="130">
        <f t="shared" si="23"/>
        <v>0</v>
      </c>
      <c r="O66" s="530"/>
      <c r="P66" s="530"/>
      <c r="Q66" s="530"/>
      <c r="R66" s="530"/>
      <c r="S66" s="530"/>
      <c r="T66" s="530"/>
      <c r="U66" s="530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08"/>
      <c r="H67" s="53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30"/>
      <c r="P67" s="530"/>
      <c r="Q67" s="530"/>
      <c r="R67" s="530"/>
      <c r="S67" s="530"/>
      <c r="T67" s="530"/>
      <c r="U67" s="530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08"/>
      <c r="H68" s="53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30"/>
      <c r="P68" s="530"/>
      <c r="Q68" s="530"/>
      <c r="R68" s="530"/>
      <c r="S68" s="530"/>
      <c r="T68" s="530"/>
      <c r="U68" s="53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08"/>
      <c r="H69" s="53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30"/>
      <c r="P69" s="530"/>
      <c r="Q69" s="530"/>
      <c r="R69" s="530"/>
      <c r="S69" s="530"/>
      <c r="T69" s="530"/>
      <c r="U69" s="53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08"/>
      <c r="H70" s="53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30"/>
      <c r="P70" s="530"/>
      <c r="Q70" s="530"/>
      <c r="R70" s="530"/>
      <c r="S70" s="530"/>
      <c r="T70" s="530"/>
      <c r="U70" s="53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08"/>
      <c r="H71" s="539">
        <f t="shared" si="11"/>
        <v>0</v>
      </c>
      <c r="I71" s="129"/>
      <c r="J71" s="130"/>
      <c r="K71" s="131"/>
      <c r="L71" s="129"/>
      <c r="M71" s="109"/>
      <c r="N71" s="130"/>
      <c r="O71" s="530"/>
      <c r="P71" s="530"/>
      <c r="Q71" s="530"/>
      <c r="R71" s="530"/>
      <c r="S71" s="530"/>
      <c r="T71" s="530"/>
      <c r="U71" s="53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08"/>
      <c r="H72" s="53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30"/>
      <c r="P72" s="530"/>
      <c r="Q72" s="530"/>
      <c r="R72" s="530"/>
      <c r="S72" s="530"/>
      <c r="T72" s="530"/>
      <c r="U72" s="53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08"/>
      <c r="H73" s="53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30"/>
      <c r="P73" s="530"/>
      <c r="Q73" s="530"/>
      <c r="R73" s="530"/>
      <c r="S73" s="530"/>
      <c r="T73" s="530"/>
      <c r="U73" s="53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08"/>
      <c r="H74" s="53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30"/>
      <c r="P74" s="530"/>
      <c r="Q74" s="530"/>
      <c r="R74" s="530"/>
      <c r="S74" s="530"/>
      <c r="T74" s="530"/>
      <c r="U74" s="53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08"/>
      <c r="H75" s="53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30"/>
      <c r="P75" s="530"/>
      <c r="Q75" s="530"/>
      <c r="R75" s="530"/>
      <c r="S75" s="530"/>
      <c r="T75" s="530"/>
      <c r="U75" s="53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08"/>
      <c r="H76" s="53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30"/>
      <c r="P76" s="530"/>
      <c r="Q76" s="530"/>
      <c r="R76" s="530"/>
      <c r="S76" s="530"/>
      <c r="T76" s="530"/>
      <c r="U76" s="53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08"/>
      <c r="H77" s="53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30"/>
      <c r="P77" s="530"/>
      <c r="Q77" s="530"/>
      <c r="R77" s="530"/>
      <c r="S77" s="530"/>
      <c r="T77" s="530"/>
      <c r="U77" s="53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08"/>
      <c r="H78" s="53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30"/>
      <c r="P78" s="530"/>
      <c r="Q78" s="530"/>
      <c r="R78" s="530"/>
      <c r="S78" s="530"/>
      <c r="T78" s="530"/>
      <c r="U78" s="53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08"/>
      <c r="H79" s="53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30"/>
      <c r="P79" s="530"/>
      <c r="Q79" s="530"/>
      <c r="R79" s="530"/>
      <c r="S79" s="530"/>
      <c r="T79" s="530"/>
      <c r="U79" s="53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08"/>
      <c r="H80" s="53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30"/>
      <c r="P80" s="530"/>
      <c r="Q80" s="530"/>
      <c r="R80" s="530"/>
      <c r="S80" s="530"/>
      <c r="T80" s="530"/>
      <c r="U80" s="53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08"/>
      <c r="H81" s="53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30"/>
      <c r="P81" s="530"/>
      <c r="Q81" s="530"/>
      <c r="R81" s="530"/>
      <c r="S81" s="530"/>
      <c r="T81" s="530"/>
      <c r="U81" s="53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08"/>
      <c r="H82" s="53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30"/>
      <c r="P82" s="530"/>
      <c r="Q82" s="530"/>
      <c r="R82" s="530"/>
      <c r="S82" s="530"/>
      <c r="T82" s="530"/>
      <c r="U82" s="53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08"/>
      <c r="H83" s="53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30"/>
      <c r="P83" s="530"/>
      <c r="Q83" s="530"/>
      <c r="R83" s="530"/>
      <c r="S83" s="530"/>
      <c r="T83" s="530"/>
      <c r="U83" s="53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08"/>
      <c r="H84" s="53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30"/>
      <c r="P84" s="530"/>
      <c r="Q84" s="530"/>
      <c r="R84" s="530"/>
      <c r="S84" s="530"/>
      <c r="T84" s="530"/>
      <c r="U84" s="53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08"/>
      <c r="H85" s="53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30"/>
      <c r="P85" s="530"/>
      <c r="Q85" s="530"/>
      <c r="R85" s="530"/>
      <c r="S85" s="530"/>
      <c r="T85" s="530"/>
      <c r="U85" s="530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37" t="s">
        <v>202</v>
      </c>
      <c r="D86" s="143"/>
      <c r="E86" s="143"/>
      <c r="F86" s="144"/>
      <c r="G86" s="143">
        <f>SUM(G29:G85)</f>
        <v>2534</v>
      </c>
      <c r="H86" s="146">
        <f>SUM(H29:H85)</f>
        <v>12784.520000000002</v>
      </c>
      <c r="I86" s="146">
        <f>SUM(I29:I85)</f>
        <v>55</v>
      </c>
      <c r="J86" s="130">
        <f t="array" ref="J86">IF(ISERROR(G86/I86),"",G86/I86)</f>
        <v>46.072727272727271</v>
      </c>
      <c r="K86" s="146">
        <f>SUM(K29:K85)</f>
        <v>68.970476190476191</v>
      </c>
      <c r="L86" s="147"/>
      <c r="M86" s="150">
        <f t="shared" ref="M86:V86" si="34">SUM(M29:M85)</f>
        <v>-13.970476190476194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31" t="s">
        <v>217</v>
      </c>
      <c r="C87" s="126" t="s">
        <v>179</v>
      </c>
      <c r="D87" s="108">
        <v>5.03</v>
      </c>
      <c r="E87" s="108"/>
      <c r="F87" s="127"/>
      <c r="G87" s="108"/>
      <c r="H87" s="53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30"/>
      <c r="P87" s="530"/>
      <c r="Q87" s="530"/>
      <c r="R87" s="530"/>
      <c r="S87" s="530"/>
      <c r="T87" s="530"/>
      <c r="U87" s="53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31" t="s">
        <v>217</v>
      </c>
      <c r="C88" s="126" t="s">
        <v>186</v>
      </c>
      <c r="D88" s="108">
        <v>5.03</v>
      </c>
      <c r="E88" s="108"/>
      <c r="F88" s="127"/>
      <c r="G88" s="108"/>
      <c r="H88" s="53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30"/>
      <c r="P88" s="530"/>
      <c r="Q88" s="530"/>
      <c r="R88" s="530"/>
      <c r="S88" s="530"/>
      <c r="T88" s="530"/>
      <c r="U88" s="53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31" t="s">
        <v>217</v>
      </c>
      <c r="C89" s="126" t="s">
        <v>204</v>
      </c>
      <c r="D89" s="108">
        <v>5.03</v>
      </c>
      <c r="E89" s="108"/>
      <c r="F89" s="127"/>
      <c r="G89" s="108"/>
      <c r="H89" s="53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30"/>
      <c r="P89" s="530"/>
      <c r="Q89" s="530"/>
      <c r="R89" s="530"/>
      <c r="S89" s="530"/>
      <c r="T89" s="530"/>
      <c r="U89" s="53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08"/>
      <c r="H90" s="53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30"/>
      <c r="P90" s="530"/>
      <c r="Q90" s="530"/>
      <c r="R90" s="530"/>
      <c r="S90" s="530"/>
      <c r="T90" s="530"/>
      <c r="U90" s="53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08"/>
      <c r="H91" s="53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30"/>
      <c r="P91" s="530"/>
      <c r="Q91" s="530"/>
      <c r="R91" s="530"/>
      <c r="S91" s="530"/>
      <c r="T91" s="530"/>
      <c r="U91" s="53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08"/>
      <c r="H92" s="539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30"/>
      <c r="P92" s="530"/>
      <c r="Q92" s="530"/>
      <c r="R92" s="530"/>
      <c r="S92" s="530"/>
      <c r="T92" s="530"/>
      <c r="U92" s="530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08"/>
      <c r="H93" s="53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30"/>
      <c r="P93" s="530"/>
      <c r="Q93" s="530"/>
      <c r="R93" s="530"/>
      <c r="S93" s="530"/>
      <c r="T93" s="530"/>
      <c r="U93" s="53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08"/>
      <c r="H94" s="539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30"/>
      <c r="P94" s="530"/>
      <c r="Q94" s="530"/>
      <c r="R94" s="530"/>
      <c r="S94" s="530"/>
      <c r="T94" s="530"/>
      <c r="U94" s="530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>
        <v>42747</v>
      </c>
      <c r="G95" s="108">
        <v>90</v>
      </c>
      <c r="H95" s="539">
        <f t="shared" si="36"/>
        <v>452.70000000000005</v>
      </c>
      <c r="I95" s="129">
        <f>3.5*3</f>
        <v>10.5</v>
      </c>
      <c r="J95" s="130">
        <f t="array" ref="J95">IF(ISERROR(G95/I95),"",G95/I95)</f>
        <v>8.5714285714285712</v>
      </c>
      <c r="K95" s="131">
        <f t="array" ref="K95">IF(ISERROR(G95/L95),"",G95/L95)</f>
        <v>11.25</v>
      </c>
      <c r="L95" s="129">
        <v>8</v>
      </c>
      <c r="M95" s="109">
        <f t="shared" si="37"/>
        <v>-0.75</v>
      </c>
      <c r="N95" s="130">
        <f t="shared" ref="N95:N114" si="40">SUM(O95:U95)</f>
        <v>0</v>
      </c>
      <c r="O95" s="530"/>
      <c r="P95" s="530"/>
      <c r="Q95" s="530"/>
      <c r="R95" s="530"/>
      <c r="S95" s="530"/>
      <c r="T95" s="530"/>
      <c r="U95" s="530"/>
      <c r="V95" s="132">
        <f t="shared" ref="V95:V102" si="41">SUM(X95:AA95)</f>
        <v>0</v>
      </c>
      <c r="W95" s="133">
        <f t="shared" ref="W95:W106" si="42">IF(ISERROR(V95/G95),"",V95/G95)</f>
        <v>0</v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08"/>
      <c r="H96" s="53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30"/>
      <c r="P96" s="530"/>
      <c r="Q96" s="530"/>
      <c r="R96" s="530"/>
      <c r="S96" s="530"/>
      <c r="T96" s="530"/>
      <c r="U96" s="53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08"/>
      <c r="H97" s="53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30"/>
      <c r="P97" s="530"/>
      <c r="Q97" s="530"/>
      <c r="R97" s="530"/>
      <c r="S97" s="530"/>
      <c r="T97" s="530"/>
      <c r="U97" s="53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08"/>
      <c r="H98" s="53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30"/>
      <c r="P98" s="530"/>
      <c r="Q98" s="530"/>
      <c r="R98" s="530"/>
      <c r="S98" s="530"/>
      <c r="T98" s="530"/>
      <c r="U98" s="53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08"/>
      <c r="H99" s="53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30"/>
      <c r="P99" s="530"/>
      <c r="Q99" s="530"/>
      <c r="R99" s="530"/>
      <c r="S99" s="530"/>
      <c r="T99" s="530"/>
      <c r="U99" s="53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08"/>
      <c r="H100" s="53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30"/>
      <c r="P100" s="530"/>
      <c r="Q100" s="530"/>
      <c r="R100" s="530"/>
      <c r="S100" s="530"/>
      <c r="T100" s="530"/>
      <c r="U100" s="53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08"/>
      <c r="H101" s="53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30"/>
      <c r="P101" s="530"/>
      <c r="Q101" s="530"/>
      <c r="R101" s="530"/>
      <c r="S101" s="530"/>
      <c r="T101" s="530"/>
      <c r="U101" s="53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08"/>
      <c r="H102" s="53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30"/>
      <c r="P102" s="530"/>
      <c r="Q102" s="530"/>
      <c r="R102" s="530"/>
      <c r="S102" s="530"/>
      <c r="T102" s="530"/>
      <c r="U102" s="53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31" t="s">
        <v>222</v>
      </c>
      <c r="C103" s="126" t="s">
        <v>181</v>
      </c>
      <c r="D103" s="108">
        <v>10.199999999999999</v>
      </c>
      <c r="E103" s="108"/>
      <c r="F103" s="127"/>
      <c r="G103" s="108"/>
      <c r="H103" s="53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30"/>
      <c r="P103" s="530"/>
      <c r="Q103" s="530"/>
      <c r="R103" s="530"/>
      <c r="S103" s="530"/>
      <c r="T103" s="530"/>
      <c r="U103" s="53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31" t="s">
        <v>222</v>
      </c>
      <c r="C104" s="126" t="s">
        <v>179</v>
      </c>
      <c r="D104" s="108">
        <v>10.199999999999999</v>
      </c>
      <c r="E104" s="108"/>
      <c r="F104" s="127"/>
      <c r="G104" s="108"/>
      <c r="H104" s="53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30"/>
      <c r="P104" s="530"/>
      <c r="Q104" s="530"/>
      <c r="R104" s="530"/>
      <c r="S104" s="530"/>
      <c r="T104" s="530"/>
      <c r="U104" s="53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31" t="s">
        <v>222</v>
      </c>
      <c r="C105" s="126" t="s">
        <v>221</v>
      </c>
      <c r="D105" s="108">
        <v>10.199999999999999</v>
      </c>
      <c r="E105" s="108"/>
      <c r="F105" s="127"/>
      <c r="G105" s="108"/>
      <c r="H105" s="53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30"/>
      <c r="P105" s="530"/>
      <c r="Q105" s="530"/>
      <c r="R105" s="530"/>
      <c r="S105" s="530"/>
      <c r="T105" s="530"/>
      <c r="U105" s="53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31" t="s">
        <v>222</v>
      </c>
      <c r="C106" s="126" t="s">
        <v>186</v>
      </c>
      <c r="D106" s="108">
        <v>10.199999999999999</v>
      </c>
      <c r="E106" s="108"/>
      <c r="F106" s="127"/>
      <c r="G106" s="108"/>
      <c r="H106" s="53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30"/>
      <c r="P106" s="530"/>
      <c r="Q106" s="530"/>
      <c r="R106" s="530"/>
      <c r="S106" s="530"/>
      <c r="T106" s="530"/>
      <c r="U106" s="53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531" t="s">
        <v>393</v>
      </c>
      <c r="C107" s="187" t="s">
        <v>395</v>
      </c>
      <c r="D107" s="108">
        <v>5</v>
      </c>
      <c r="E107" s="108"/>
      <c r="F107" s="127"/>
      <c r="G107" s="108"/>
      <c r="H107" s="53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530"/>
      <c r="P107" s="530"/>
      <c r="Q107" s="530"/>
      <c r="R107" s="530"/>
      <c r="S107" s="530"/>
      <c r="T107" s="530"/>
      <c r="U107" s="530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531" t="s">
        <v>393</v>
      </c>
      <c r="C108" s="187" t="s">
        <v>402</v>
      </c>
      <c r="D108" s="108">
        <v>5</v>
      </c>
      <c r="E108" s="108"/>
      <c r="F108" s="127">
        <v>42745</v>
      </c>
      <c r="G108" s="108">
        <f>86+90+74</f>
        <v>250</v>
      </c>
      <c r="H108" s="539">
        <f t="shared" si="36"/>
        <v>1250</v>
      </c>
      <c r="I108" s="129">
        <f>2*3+2+2*4</f>
        <v>16</v>
      </c>
      <c r="J108" s="130">
        <f t="array" ref="J108">IF(ISERROR(G108/I108),"",G108/I108)</f>
        <v>15.625</v>
      </c>
      <c r="K108" s="131">
        <f t="array" ref="K108">IF(ISERROR(G108/L108),"",G108/L108)</f>
        <v>50</v>
      </c>
      <c r="L108" s="129">
        <v>5</v>
      </c>
      <c r="M108" s="109">
        <f t="shared" si="37"/>
        <v>-34</v>
      </c>
      <c r="N108" s="130">
        <f t="shared" si="40"/>
        <v>0</v>
      </c>
      <c r="O108" s="530"/>
      <c r="P108" s="530"/>
      <c r="Q108" s="530"/>
      <c r="R108" s="530"/>
      <c r="S108" s="530"/>
      <c r="T108" s="530"/>
      <c r="U108" s="530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31" t="s">
        <v>404</v>
      </c>
      <c r="C109" s="187" t="s">
        <v>405</v>
      </c>
      <c r="D109" s="108">
        <v>5</v>
      </c>
      <c r="E109" s="108"/>
      <c r="F109" s="127">
        <v>42746</v>
      </c>
      <c r="G109" s="108">
        <f>18+90*6-90</f>
        <v>468</v>
      </c>
      <c r="H109" s="539">
        <f t="shared" si="36"/>
        <v>2340</v>
      </c>
      <c r="I109" s="129">
        <f>4.5*3+5+5*2</f>
        <v>28.5</v>
      </c>
      <c r="J109" s="130">
        <f t="array" ref="J109">IF(ISERROR(G109/I109),"",G109/I109)</f>
        <v>16.421052631578949</v>
      </c>
      <c r="K109" s="131">
        <f t="array" ref="K109">IF(ISERROR(G109/L109),"",G109/L109)</f>
        <v>93.6</v>
      </c>
      <c r="L109" s="129">
        <v>5</v>
      </c>
      <c r="M109" s="109">
        <f t="shared" si="37"/>
        <v>-65.099999999999994</v>
      </c>
      <c r="N109" s="130">
        <f t="shared" si="40"/>
        <v>0</v>
      </c>
      <c r="O109" s="530"/>
      <c r="P109" s="530"/>
      <c r="Q109" s="530"/>
      <c r="R109" s="530"/>
      <c r="S109" s="530"/>
      <c r="T109" s="530"/>
      <c r="U109" s="53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31" t="s">
        <v>492</v>
      </c>
      <c r="C110" s="187" t="s">
        <v>372</v>
      </c>
      <c r="D110" s="108">
        <v>5</v>
      </c>
      <c r="E110" s="108"/>
      <c r="F110" s="127"/>
      <c r="G110" s="108"/>
      <c r="H110" s="539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30"/>
      <c r="P110" s="530"/>
      <c r="Q110" s="530"/>
      <c r="R110" s="530"/>
      <c r="S110" s="530"/>
      <c r="T110" s="530"/>
      <c r="U110" s="530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531" t="s">
        <v>343</v>
      </c>
      <c r="C111" s="126" t="s">
        <v>345</v>
      </c>
      <c r="D111" s="108">
        <v>5</v>
      </c>
      <c r="E111" s="108"/>
      <c r="F111" s="127">
        <v>42743</v>
      </c>
      <c r="G111" s="108">
        <v>50</v>
      </c>
      <c r="H111" s="539">
        <f t="shared" si="36"/>
        <v>250</v>
      </c>
      <c r="I111" s="129">
        <f>1*3</f>
        <v>3</v>
      </c>
      <c r="J111" s="130">
        <f t="array" ref="J111">IF(ISERROR(G111/I111),"",G111/I111)</f>
        <v>16.666666666666668</v>
      </c>
      <c r="K111" s="131">
        <f t="array" ref="K111">IF(ISERROR(G111/L111),"",G111/L111)</f>
        <v>10</v>
      </c>
      <c r="L111" s="129">
        <v>5</v>
      </c>
      <c r="M111" s="109">
        <f t="shared" si="37"/>
        <v>-7</v>
      </c>
      <c r="N111" s="130">
        <f t="shared" si="40"/>
        <v>0</v>
      </c>
      <c r="O111" s="530"/>
      <c r="P111" s="530"/>
      <c r="Q111" s="530"/>
      <c r="R111" s="530"/>
      <c r="S111" s="530"/>
      <c r="T111" s="530"/>
      <c r="U111" s="530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31" t="s">
        <v>343</v>
      </c>
      <c r="C112" s="126" t="s">
        <v>347</v>
      </c>
      <c r="D112" s="108">
        <v>5</v>
      </c>
      <c r="E112" s="108"/>
      <c r="F112" s="127">
        <v>42743</v>
      </c>
      <c r="G112" s="108">
        <v>68</v>
      </c>
      <c r="H112" s="539">
        <f t="shared" si="36"/>
        <v>340</v>
      </c>
      <c r="I112" s="129">
        <v>1</v>
      </c>
      <c r="J112" s="130">
        <f t="array" ref="J112">IF(ISERROR(G112/I112),"",G112/I112)</f>
        <v>68</v>
      </c>
      <c r="K112" s="131">
        <f t="array" ref="K112">IF(ISERROR(G112/L112),"",G112/L112)</f>
        <v>13.6</v>
      </c>
      <c r="L112" s="129">
        <v>5</v>
      </c>
      <c r="M112" s="109">
        <f t="shared" si="37"/>
        <v>-12.6</v>
      </c>
      <c r="N112" s="130">
        <f t="shared" si="40"/>
        <v>0</v>
      </c>
      <c r="O112" s="530"/>
      <c r="P112" s="530"/>
      <c r="Q112" s="530"/>
      <c r="R112" s="530"/>
      <c r="S112" s="530"/>
      <c r="T112" s="530"/>
      <c r="U112" s="53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08"/>
      <c r="H113" s="53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30"/>
      <c r="P113" s="530"/>
      <c r="Q113" s="530"/>
      <c r="R113" s="530"/>
      <c r="S113" s="530"/>
      <c r="T113" s="530"/>
      <c r="U113" s="53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08"/>
      <c r="H114" s="53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30"/>
      <c r="P114" s="530"/>
      <c r="Q114" s="530"/>
      <c r="R114" s="530"/>
      <c r="S114" s="530"/>
      <c r="T114" s="530"/>
      <c r="U114" s="53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08"/>
      <c r="H115" s="539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530"/>
      <c r="P115" s="530"/>
      <c r="Q115" s="530"/>
      <c r="R115" s="530"/>
      <c r="S115" s="530"/>
      <c r="T115" s="530"/>
      <c r="U115" s="53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08"/>
      <c r="H116" s="539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/>
      <c r="N116" s="130"/>
      <c r="O116" s="530"/>
      <c r="P116" s="530"/>
      <c r="Q116" s="530"/>
      <c r="R116" s="530"/>
      <c r="S116" s="530"/>
      <c r="T116" s="530"/>
      <c r="U116" s="53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08"/>
      <c r="H117" s="539">
        <f t="shared" si="36"/>
        <v>0</v>
      </c>
      <c r="I117" s="129"/>
      <c r="J117" s="130" t="str">
        <f t="array" ref="J117">IF(ISERROR(G117/I117),"",G117/I117)</f>
        <v/>
      </c>
      <c r="K117" s="131">
        <f t="array" ref="K117">IF(ISERROR(G117/L117),"",G117/L117)</f>
        <v>0</v>
      </c>
      <c r="L117" s="129">
        <v>24</v>
      </c>
      <c r="M117" s="109"/>
      <c r="N117" s="130"/>
      <c r="O117" s="530"/>
      <c r="P117" s="530"/>
      <c r="Q117" s="530"/>
      <c r="R117" s="530"/>
      <c r="S117" s="530"/>
      <c r="T117" s="530"/>
      <c r="U117" s="53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08"/>
      <c r="H118" s="53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30"/>
      <c r="P118" s="530"/>
      <c r="Q118" s="530"/>
      <c r="R118" s="530"/>
      <c r="S118" s="530"/>
      <c r="T118" s="530"/>
      <c r="U118" s="53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08"/>
      <c r="H119" s="53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30"/>
      <c r="P119" s="530"/>
      <c r="Q119" s="530"/>
      <c r="R119" s="530"/>
      <c r="S119" s="530"/>
      <c r="T119" s="530"/>
      <c r="U119" s="53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08">
        <f>100*2+102</f>
        <v>302</v>
      </c>
      <c r="H120" s="539">
        <f t="shared" si="36"/>
        <v>1528.12</v>
      </c>
      <c r="I120" s="129">
        <f>4.5*3+4*2</f>
        <v>21.5</v>
      </c>
      <c r="J120" s="130">
        <f t="array" ref="J120">IF(ISERROR(G120/I120),"",G120/I120)</f>
        <v>14.046511627906977</v>
      </c>
      <c r="K120" s="539">
        <f t="array" ref="K120">IF(ISERROR(G120/L120),"",G120/L120)</f>
        <v>33.555555555555557</v>
      </c>
      <c r="L120" s="129">
        <v>9</v>
      </c>
      <c r="M120" s="109">
        <f t="shared" si="46"/>
        <v>-12.055555555555557</v>
      </c>
      <c r="N120" s="130">
        <f t="shared" si="47"/>
        <v>0</v>
      </c>
      <c r="O120" s="530"/>
      <c r="P120" s="530"/>
      <c r="Q120" s="530"/>
      <c r="R120" s="530"/>
      <c r="S120" s="530"/>
      <c r="T120" s="530"/>
      <c r="U120" s="530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537" t="s">
        <v>202</v>
      </c>
      <c r="D121" s="143"/>
      <c r="E121" s="143"/>
      <c r="F121" s="144"/>
      <c r="G121" s="143">
        <f>SUM(G87:G120)</f>
        <v>1228</v>
      </c>
      <c r="H121" s="146">
        <f>SUM(H87:H120)</f>
        <v>6160.82</v>
      </c>
      <c r="I121" s="146">
        <f>SUM(I87:I120)</f>
        <v>80.5</v>
      </c>
      <c r="J121" s="130">
        <f t="array" ref="J121">IF(ISERROR(G121/I121),"",G121/I121)</f>
        <v>15.254658385093167</v>
      </c>
      <c r="K121" s="146">
        <f>SUM(K87:K120)</f>
        <v>212.00555555555553</v>
      </c>
      <c r="L121" s="147"/>
      <c r="M121" s="150">
        <f t="shared" ref="M121:V121" si="50">SUM(M87:M120)</f>
        <v>-131.50555555555553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08"/>
      <c r="H122" s="53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30"/>
      <c r="P122" s="530"/>
      <c r="Q122" s="530"/>
      <c r="R122" s="530"/>
      <c r="S122" s="530"/>
      <c r="T122" s="530"/>
      <c r="U122" s="53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08">
        <f>90*3+91+90*3</f>
        <v>631</v>
      </c>
      <c r="H123" s="539">
        <f t="shared" si="51"/>
        <v>3173.9300000000003</v>
      </c>
      <c r="I123" s="129">
        <f>11*2</f>
        <v>22</v>
      </c>
      <c r="J123" s="130">
        <f t="array" ref="J123">IF(ISERROR(G123/I123),"",G123/I123)</f>
        <v>28.681818181818183</v>
      </c>
      <c r="K123" s="131">
        <f t="array" ref="K123">IF(ISERROR(G123/L123),"",G123/L123)</f>
        <v>25.24</v>
      </c>
      <c r="L123" s="129">
        <v>25</v>
      </c>
      <c r="M123" s="109">
        <f t="shared" si="52"/>
        <v>-3.2399999999999984</v>
      </c>
      <c r="N123" s="130">
        <f t="shared" si="53"/>
        <v>0</v>
      </c>
      <c r="O123" s="530"/>
      <c r="P123" s="530"/>
      <c r="Q123" s="530"/>
      <c r="R123" s="530"/>
      <c r="S123" s="530"/>
      <c r="T123" s="530"/>
      <c r="U123" s="530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08"/>
      <c r="H124" s="53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30"/>
      <c r="P124" s="530"/>
      <c r="Q124" s="530"/>
      <c r="R124" s="530"/>
      <c r="S124" s="530"/>
      <c r="T124" s="530"/>
      <c r="U124" s="53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08"/>
      <c r="H125" s="53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30"/>
      <c r="P125" s="530"/>
      <c r="Q125" s="530"/>
      <c r="R125" s="530"/>
      <c r="S125" s="530"/>
      <c r="T125" s="530"/>
      <c r="U125" s="53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35" t="s">
        <v>203</v>
      </c>
      <c r="D126" s="108">
        <v>5.03</v>
      </c>
      <c r="E126" s="108"/>
      <c r="F126" s="127"/>
      <c r="G126" s="108"/>
      <c r="H126" s="53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30"/>
      <c r="P126" s="530"/>
      <c r="Q126" s="530"/>
      <c r="R126" s="530"/>
      <c r="S126" s="530"/>
      <c r="T126" s="530"/>
      <c r="U126" s="53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08"/>
      <c r="H127" s="53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30"/>
      <c r="P127" s="530"/>
      <c r="Q127" s="530"/>
      <c r="R127" s="530"/>
      <c r="S127" s="530"/>
      <c r="T127" s="530"/>
      <c r="U127" s="53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08"/>
      <c r="H128" s="53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30"/>
      <c r="P128" s="530"/>
      <c r="Q128" s="530"/>
      <c r="R128" s="530"/>
      <c r="S128" s="530"/>
      <c r="T128" s="530"/>
      <c r="U128" s="53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35" t="s">
        <v>228</v>
      </c>
      <c r="D129" s="108">
        <v>5.03</v>
      </c>
      <c r="E129" s="108"/>
      <c r="F129" s="127"/>
      <c r="G129" s="108"/>
      <c r="H129" s="53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30"/>
      <c r="P129" s="530"/>
      <c r="Q129" s="530"/>
      <c r="R129" s="530"/>
      <c r="S129" s="530"/>
      <c r="T129" s="530"/>
      <c r="U129" s="53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35" t="s">
        <v>212</v>
      </c>
      <c r="D130" s="108">
        <v>5.03</v>
      </c>
      <c r="E130" s="108"/>
      <c r="F130" s="127"/>
      <c r="G130" s="108"/>
      <c r="H130" s="53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30"/>
      <c r="P130" s="530"/>
      <c r="Q130" s="530"/>
      <c r="R130" s="530"/>
      <c r="S130" s="530"/>
      <c r="T130" s="530"/>
      <c r="U130" s="53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35" t="s">
        <v>203</v>
      </c>
      <c r="D131" s="108">
        <v>5.03</v>
      </c>
      <c r="E131" s="108"/>
      <c r="F131" s="127"/>
      <c r="G131" s="108"/>
      <c r="H131" s="53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30"/>
      <c r="P131" s="530"/>
      <c r="Q131" s="530"/>
      <c r="R131" s="530"/>
      <c r="S131" s="530"/>
      <c r="T131" s="530"/>
      <c r="U131" s="53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35" t="s">
        <v>186</v>
      </c>
      <c r="D132" s="108">
        <v>5.03</v>
      </c>
      <c r="E132" s="108"/>
      <c r="F132" s="127"/>
      <c r="G132" s="108"/>
      <c r="H132" s="53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30"/>
      <c r="P132" s="530"/>
      <c r="Q132" s="530"/>
      <c r="R132" s="530"/>
      <c r="S132" s="530"/>
      <c r="T132" s="530"/>
      <c r="U132" s="53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35" t="s">
        <v>228</v>
      </c>
      <c r="D133" s="108">
        <v>5.03</v>
      </c>
      <c r="E133" s="108"/>
      <c r="F133" s="127"/>
      <c r="G133" s="108"/>
      <c r="H133" s="53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30"/>
      <c r="P133" s="530"/>
      <c r="Q133" s="530"/>
      <c r="R133" s="530"/>
      <c r="S133" s="530"/>
      <c r="T133" s="530"/>
      <c r="U133" s="53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35" t="s">
        <v>199</v>
      </c>
      <c r="D134" s="108">
        <v>5.03</v>
      </c>
      <c r="E134" s="108"/>
      <c r="F134" s="127"/>
      <c r="G134" s="108"/>
      <c r="H134" s="53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30"/>
      <c r="P134" s="530"/>
      <c r="Q134" s="530"/>
      <c r="R134" s="530"/>
      <c r="S134" s="530"/>
      <c r="T134" s="530"/>
      <c r="U134" s="53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08"/>
      <c r="H135" s="53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30"/>
      <c r="P135" s="530"/>
      <c r="Q135" s="530"/>
      <c r="R135" s="530"/>
      <c r="S135" s="530"/>
      <c r="T135" s="530"/>
      <c r="U135" s="53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08"/>
      <c r="H136" s="53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30"/>
      <c r="P136" s="530"/>
      <c r="Q136" s="530"/>
      <c r="R136" s="530"/>
      <c r="S136" s="530"/>
      <c r="T136" s="530"/>
      <c r="U136" s="53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537" t="s">
        <v>202</v>
      </c>
      <c r="D137" s="143"/>
      <c r="E137" s="143"/>
      <c r="F137" s="144"/>
      <c r="G137" s="143">
        <f>SUM(G122:G136)</f>
        <v>631</v>
      </c>
      <c r="H137" s="146">
        <f>SUM(H122:H136)</f>
        <v>3173.9300000000003</v>
      </c>
      <c r="I137" s="146">
        <f>SUM(I122:I136)</f>
        <v>22</v>
      </c>
      <c r="J137" s="130">
        <f t="array" ref="J137">IF(ISERROR(G137/I137),"",G137/I137)</f>
        <v>28.681818181818183</v>
      </c>
      <c r="K137" s="146">
        <f>SUM(K122:K136)</f>
        <v>25.24</v>
      </c>
      <c r="L137" s="147"/>
      <c r="M137" s="150">
        <f>SUM(M122:M136)</f>
        <v>-3.2399999999999984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08"/>
      <c r="H138" s="539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30"/>
      <c r="P138" s="530"/>
      <c r="Q138" s="530"/>
      <c r="R138" s="530"/>
      <c r="S138" s="530"/>
      <c r="T138" s="530"/>
      <c r="U138" s="53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08"/>
      <c r="H139" s="53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30"/>
      <c r="P139" s="530"/>
      <c r="Q139" s="530"/>
      <c r="R139" s="530"/>
      <c r="S139" s="530"/>
      <c r="T139" s="530"/>
      <c r="U139" s="53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08"/>
      <c r="H140" s="53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30"/>
      <c r="P140" s="530"/>
      <c r="Q140" s="530"/>
      <c r="R140" s="530"/>
      <c r="S140" s="530"/>
      <c r="T140" s="530"/>
      <c r="U140" s="53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08"/>
      <c r="H141" s="53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30"/>
      <c r="P141" s="530"/>
      <c r="Q141" s="530"/>
      <c r="R141" s="530"/>
      <c r="S141" s="530"/>
      <c r="T141" s="530"/>
      <c r="U141" s="53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08"/>
      <c r="H142" s="53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30"/>
      <c r="P142" s="530"/>
      <c r="Q142" s="530"/>
      <c r="R142" s="530"/>
      <c r="S142" s="530"/>
      <c r="T142" s="530"/>
      <c r="U142" s="53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08"/>
      <c r="H143" s="53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30"/>
      <c r="P143" s="530"/>
      <c r="Q143" s="530"/>
      <c r="R143" s="530"/>
      <c r="S143" s="530"/>
      <c r="T143" s="530"/>
      <c r="U143" s="530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08"/>
      <c r="H144" s="53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30"/>
      <c r="P144" s="530"/>
      <c r="Q144" s="530"/>
      <c r="R144" s="530"/>
      <c r="S144" s="530"/>
      <c r="T144" s="530"/>
      <c r="U144" s="530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08"/>
      <c r="H145" s="539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30"/>
      <c r="P145" s="530"/>
      <c r="Q145" s="530"/>
      <c r="R145" s="530"/>
      <c r="S145" s="530"/>
      <c r="T145" s="530"/>
      <c r="U145" s="530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08"/>
      <c r="H146" s="539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30"/>
      <c r="P146" s="530"/>
      <c r="Q146" s="530"/>
      <c r="R146" s="530"/>
      <c r="S146" s="530"/>
      <c r="T146" s="530"/>
      <c r="U146" s="530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08"/>
      <c r="H147" s="539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30"/>
      <c r="P147" s="530"/>
      <c r="Q147" s="530"/>
      <c r="R147" s="530"/>
      <c r="S147" s="530"/>
      <c r="T147" s="530"/>
      <c r="U147" s="530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18" t="s">
        <v>234</v>
      </c>
      <c r="B148" s="619"/>
      <c r="C148" s="537" t="s">
        <v>202</v>
      </c>
      <c r="D148" s="143"/>
      <c r="E148" s="143"/>
      <c r="F148" s="144"/>
      <c r="G148" s="143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29"/>
      <c r="D149" s="108">
        <v>3.65</v>
      </c>
      <c r="E149" s="108"/>
      <c r="F149" s="153"/>
      <c r="G149" s="108"/>
      <c r="H149" s="539">
        <f t="shared" ref="H149:H162" si="63">D149*G149</f>
        <v>0</v>
      </c>
      <c r="I149" s="129"/>
      <c r="J149" s="130" t="str">
        <f t="array" ref="J149">IF(ISERROR(G149/I149),"",G149/I149)</f>
        <v/>
      </c>
      <c r="K149" s="539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30"/>
      <c r="P149" s="530"/>
      <c r="Q149" s="530"/>
      <c r="R149" s="530"/>
      <c r="S149" s="530"/>
      <c r="T149" s="530"/>
      <c r="U149" s="530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29"/>
      <c r="D150" s="108">
        <v>6.58</v>
      </c>
      <c r="E150" s="108"/>
      <c r="F150" s="127"/>
      <c r="G150" s="108"/>
      <c r="H150" s="53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30"/>
      <c r="P150" s="530"/>
      <c r="Q150" s="530"/>
      <c r="R150" s="530"/>
      <c r="S150" s="530"/>
      <c r="T150" s="530"/>
      <c r="U150" s="53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29"/>
      <c r="D151" s="108">
        <v>7.8</v>
      </c>
      <c r="E151" s="108"/>
      <c r="F151" s="127"/>
      <c r="G151" s="108"/>
      <c r="H151" s="53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30"/>
      <c r="P151" s="530"/>
      <c r="Q151" s="530"/>
      <c r="R151" s="530"/>
      <c r="S151" s="530"/>
      <c r="T151" s="530"/>
      <c r="U151" s="53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29"/>
      <c r="D152" s="108">
        <v>4.4000000000000004</v>
      </c>
      <c r="E152" s="108"/>
      <c r="F152" s="127"/>
      <c r="G152" s="108"/>
      <c r="H152" s="539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30"/>
      <c r="P152" s="530"/>
      <c r="Q152" s="530"/>
      <c r="R152" s="530"/>
      <c r="S152" s="530"/>
      <c r="T152" s="530"/>
      <c r="U152" s="530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08"/>
      <c r="H153" s="539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30"/>
      <c r="P153" s="530"/>
      <c r="Q153" s="530"/>
      <c r="R153" s="530"/>
      <c r="S153" s="530"/>
      <c r="T153" s="530"/>
      <c r="U153" s="530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29" t="s">
        <v>239</v>
      </c>
      <c r="C154" s="529" t="s">
        <v>179</v>
      </c>
      <c r="D154" s="108">
        <v>6.04</v>
      </c>
      <c r="E154" s="108"/>
      <c r="F154" s="127"/>
      <c r="G154" s="108"/>
      <c r="H154" s="53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530"/>
      <c r="P154" s="530"/>
      <c r="Q154" s="530"/>
      <c r="R154" s="530"/>
      <c r="S154" s="530"/>
      <c r="T154" s="530"/>
      <c r="U154" s="530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29" t="s">
        <v>239</v>
      </c>
      <c r="C155" s="529" t="s">
        <v>186</v>
      </c>
      <c r="D155" s="108">
        <v>6.04</v>
      </c>
      <c r="E155" s="108"/>
      <c r="F155" s="127"/>
      <c r="G155" s="108"/>
      <c r="H155" s="539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30"/>
      <c r="P155" s="530"/>
      <c r="Q155" s="530"/>
      <c r="R155" s="530"/>
      <c r="S155" s="530"/>
      <c r="T155" s="530"/>
      <c r="U155" s="530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29" t="s">
        <v>443</v>
      </c>
      <c r="C156" s="529" t="s">
        <v>179</v>
      </c>
      <c r="D156" s="108">
        <v>6</v>
      </c>
      <c r="E156" s="108"/>
      <c r="F156" s="127">
        <v>42746</v>
      </c>
      <c r="G156" s="111">
        <f>38+42+16+42</f>
        <v>138</v>
      </c>
      <c r="H156" s="539">
        <f t="shared" si="63"/>
        <v>828</v>
      </c>
      <c r="I156" s="129">
        <f>11*5</f>
        <v>55</v>
      </c>
      <c r="J156" s="130">
        <f t="array" ref="J156">IF(ISERROR(G156/I156),"",G156/I156)</f>
        <v>2.5090909090909093</v>
      </c>
      <c r="K156" s="131">
        <f t="array" ref="K156">IF(ISERROR(G156/L156),"",G156/L156)</f>
        <v>5.52</v>
      </c>
      <c r="L156" s="129">
        <v>25</v>
      </c>
      <c r="M156" s="109"/>
      <c r="N156" s="130"/>
      <c r="O156" s="530"/>
      <c r="P156" s="530"/>
      <c r="Q156" s="530"/>
      <c r="R156" s="530"/>
      <c r="S156" s="530"/>
      <c r="T156" s="530"/>
      <c r="U156" s="53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29" t="s">
        <v>443</v>
      </c>
      <c r="C157" s="529" t="s">
        <v>60</v>
      </c>
      <c r="D157" s="108">
        <v>6</v>
      </c>
      <c r="E157" s="108"/>
      <c r="F157" s="127"/>
      <c r="G157" s="108"/>
      <c r="H157" s="539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30"/>
      <c r="P157" s="530"/>
      <c r="Q157" s="530"/>
      <c r="R157" s="530"/>
      <c r="S157" s="530"/>
      <c r="T157" s="530"/>
      <c r="U157" s="530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31" t="s">
        <v>240</v>
      </c>
      <c r="C158" s="126"/>
      <c r="D158" s="108">
        <v>7.3</v>
      </c>
      <c r="E158" s="108"/>
      <c r="F158" s="127"/>
      <c r="G158" s="108"/>
      <c r="H158" s="53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30"/>
      <c r="P158" s="530"/>
      <c r="Q158" s="530"/>
      <c r="R158" s="530"/>
      <c r="S158" s="530"/>
      <c r="T158" s="530"/>
      <c r="U158" s="530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31" t="s">
        <v>241</v>
      </c>
      <c r="C159" s="126"/>
      <c r="D159" s="108">
        <f>78*120/1000</f>
        <v>9.36</v>
      </c>
      <c r="E159" s="108"/>
      <c r="F159" s="127"/>
      <c r="G159" s="108"/>
      <c r="H159" s="539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30"/>
      <c r="P159" s="530"/>
      <c r="Q159" s="530"/>
      <c r="R159" s="530"/>
      <c r="S159" s="530"/>
      <c r="T159" s="530"/>
      <c r="U159" s="530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31" t="s">
        <v>242</v>
      </c>
      <c r="C160" s="126"/>
      <c r="D160" s="108">
        <v>4.5</v>
      </c>
      <c r="E160" s="108"/>
      <c r="F160" s="127"/>
      <c r="G160" s="108"/>
      <c r="H160" s="539">
        <f t="shared" si="63"/>
        <v>0</v>
      </c>
      <c r="I160" s="129"/>
      <c r="J160" s="130"/>
      <c r="K160" s="131"/>
      <c r="L160" s="129"/>
      <c r="M160" s="109"/>
      <c r="N160" s="130"/>
      <c r="O160" s="530"/>
      <c r="P160" s="530"/>
      <c r="Q160" s="530"/>
      <c r="R160" s="530"/>
      <c r="S160" s="530"/>
      <c r="T160" s="530"/>
      <c r="U160" s="53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31" t="s">
        <v>243</v>
      </c>
      <c r="C161" s="126"/>
      <c r="D161" s="108">
        <v>4.5</v>
      </c>
      <c r="E161" s="108"/>
      <c r="F161" s="127"/>
      <c r="G161" s="108"/>
      <c r="H161" s="539">
        <f t="shared" si="63"/>
        <v>0</v>
      </c>
      <c r="I161" s="129"/>
      <c r="J161" s="130"/>
      <c r="K161" s="131"/>
      <c r="L161" s="129"/>
      <c r="M161" s="109"/>
      <c r="N161" s="130"/>
      <c r="O161" s="530"/>
      <c r="P161" s="530"/>
      <c r="Q161" s="530"/>
      <c r="R161" s="530"/>
      <c r="S161" s="530"/>
      <c r="T161" s="530"/>
      <c r="U161" s="530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08"/>
      <c r="H162" s="539">
        <f t="shared" si="63"/>
        <v>0</v>
      </c>
      <c r="I162" s="129"/>
      <c r="J162" s="130"/>
      <c r="K162" s="131"/>
      <c r="L162" s="129"/>
      <c r="M162" s="109"/>
      <c r="N162" s="130"/>
      <c r="O162" s="530"/>
      <c r="P162" s="530"/>
      <c r="Q162" s="530"/>
      <c r="R162" s="530"/>
      <c r="S162" s="530"/>
      <c r="T162" s="530"/>
      <c r="U162" s="530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537" t="s">
        <v>202</v>
      </c>
      <c r="D163" s="143"/>
      <c r="E163" s="143"/>
      <c r="F163" s="144"/>
      <c r="G163" s="143">
        <f>SUM(G149:G161)</f>
        <v>138</v>
      </c>
      <c r="H163" s="146">
        <f>SUM(H149:H159)</f>
        <v>828</v>
      </c>
      <c r="I163" s="146">
        <f>SUM(I149:I161)</f>
        <v>55</v>
      </c>
      <c r="J163" s="130">
        <f t="array" ref="J163">IF(ISERROR(G163/I163),"",G163/I163)</f>
        <v>2.5090909090909093</v>
      </c>
      <c r="K163" s="146">
        <f>SUM(K149:K159)</f>
        <v>5.52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553">
        <f>SUM(G28,G86,G121,G137,G148,G163)</f>
        <v>5770</v>
      </c>
      <c r="H164" s="154">
        <f>SUM(H28,H86,H121,H137,H148,H163)</f>
        <v>29238.840000000004</v>
      </c>
      <c r="I164" s="154">
        <f>SUM(I28,I86,I121,I137,I148,I163)</f>
        <v>285</v>
      </c>
      <c r="J164" s="155">
        <f t="array" ref="J164">IF(ISERROR(G164/I164),"",G164/I164)</f>
        <v>20.245614035087719</v>
      </c>
      <c r="K164" s="154">
        <f>SUM(K28,K86,K121,K137,K148,K163)</f>
        <v>437.77951000690126</v>
      </c>
      <c r="L164" s="155">
        <f>IF(ISERROR(G164/K164),"",G164/K164)</f>
        <v>13.180150893560644</v>
      </c>
      <c r="M164" s="154">
        <f t="shared" ref="M164:AA164" si="76">SUM(M28,M86,M121,M137,M148,M163)</f>
        <v>-202.25951000690128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536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536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536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536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536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536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536">
        <f>G164</f>
        <v>5770</v>
      </c>
      <c r="C171" s="638" t="s">
        <v>269</v>
      </c>
      <c r="D171" s="639"/>
      <c r="E171" s="631">
        <f>H164</f>
        <v>29238.840000000004</v>
      </c>
      <c r="F171" s="631"/>
      <c r="G171" s="631" t="s">
        <v>270</v>
      </c>
      <c r="H171" s="631"/>
      <c r="I171" s="640">
        <f>L164</f>
        <v>13.180150893560644</v>
      </c>
      <c r="J171" s="640"/>
      <c r="K171" s="628" t="s">
        <v>271</v>
      </c>
      <c r="L171" s="628"/>
      <c r="M171" s="640">
        <f>J164</f>
        <v>20.245614035087719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536">
        <f>I164+C170</f>
        <v>289</v>
      </c>
      <c r="C172" s="641" t="s">
        <v>251</v>
      </c>
      <c r="D172" s="642"/>
      <c r="E172" s="643">
        <f>K164+I170</f>
        <v>478.77951000690126</v>
      </c>
      <c r="F172" s="643"/>
      <c r="G172" s="631" t="s">
        <v>274</v>
      </c>
      <c r="H172" s="631"/>
      <c r="I172" s="640">
        <f>B172-E172</f>
        <v>-189.77951000690126</v>
      </c>
      <c r="J172" s="640"/>
      <c r="K172" s="628" t="s">
        <v>275</v>
      </c>
      <c r="L172" s="628"/>
      <c r="M172" s="632">
        <f>IF(ISERROR(I172/E172),"",I172/E172)</f>
        <v>-0.39638185436165746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536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2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547" t="s">
        <v>550</v>
      </c>
      <c r="H177" s="529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531" t="s">
        <v>178</v>
      </c>
      <c r="C178" s="126" t="s">
        <v>179</v>
      </c>
      <c r="D178" s="108">
        <v>5.03</v>
      </c>
      <c r="E178" s="108"/>
      <c r="F178" s="127"/>
      <c r="G178" s="108"/>
      <c r="H178" s="539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30"/>
      <c r="P178" s="530"/>
      <c r="Q178" s="530"/>
      <c r="R178" s="530"/>
      <c r="S178" s="530"/>
      <c r="T178" s="530"/>
      <c r="U178" s="530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08"/>
      <c r="H179" s="53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30"/>
      <c r="P179" s="530"/>
      <c r="Q179" s="530"/>
      <c r="R179" s="530"/>
      <c r="S179" s="530"/>
      <c r="T179" s="530"/>
      <c r="U179" s="530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08"/>
      <c r="H180" s="539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30"/>
      <c r="P180" s="530"/>
      <c r="Q180" s="530"/>
      <c r="R180" s="530"/>
      <c r="S180" s="530"/>
      <c r="T180" s="530"/>
      <c r="U180" s="530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08"/>
      <c r="H181" s="539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30"/>
      <c r="P181" s="530"/>
      <c r="Q181" s="530"/>
      <c r="R181" s="530"/>
      <c r="S181" s="530"/>
      <c r="T181" s="530"/>
      <c r="U181" s="530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08"/>
      <c r="H182" s="539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30"/>
      <c r="P182" s="530"/>
      <c r="Q182" s="530"/>
      <c r="R182" s="530"/>
      <c r="S182" s="530"/>
      <c r="T182" s="530"/>
      <c r="U182" s="530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552"/>
      <c r="H183" s="539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30"/>
      <c r="P183" s="530"/>
      <c r="Q183" s="530"/>
      <c r="R183" s="530"/>
      <c r="S183" s="530"/>
      <c r="T183" s="530"/>
      <c r="U183" s="530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>
        <v>42745</v>
      </c>
      <c r="G184" s="108">
        <f>2+38</f>
        <v>40</v>
      </c>
      <c r="H184" s="539">
        <f t="shared" si="77"/>
        <v>201.20000000000002</v>
      </c>
      <c r="I184" s="129">
        <v>13</v>
      </c>
      <c r="J184" s="130">
        <f t="array" ref="J184">IF(ISERROR(G184/I184),"",G184/I184)</f>
        <v>3.0769230769230771</v>
      </c>
      <c r="K184" s="131">
        <f t="array" ref="K184">IF(ISERROR(G184/L184),"",G184/L184)</f>
        <v>13.333333333333334</v>
      </c>
      <c r="L184" s="129">
        <v>3</v>
      </c>
      <c r="M184" s="109">
        <f t="shared" si="78"/>
        <v>-0.33333333333333393</v>
      </c>
      <c r="N184" s="130">
        <f t="shared" si="81"/>
        <v>0</v>
      </c>
      <c r="O184" s="530"/>
      <c r="P184" s="530"/>
      <c r="Q184" s="530"/>
      <c r="R184" s="530"/>
      <c r="S184" s="530"/>
      <c r="T184" s="530"/>
      <c r="U184" s="530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>
        <v>42745</v>
      </c>
      <c r="G185" s="108">
        <v>42</v>
      </c>
      <c r="H185" s="539">
        <f t="shared" si="77"/>
        <v>211.26000000000002</v>
      </c>
      <c r="I185" s="129">
        <f>1.5*3</f>
        <v>4.5</v>
      </c>
      <c r="J185" s="130">
        <f t="array" ref="J185">IF(ISERROR(G185/I185),"",G185/I185)</f>
        <v>9.3333333333333339</v>
      </c>
      <c r="K185" s="131">
        <f t="array" ref="K185">IF(ISERROR(G185/L185),"",G185/L185)</f>
        <v>14</v>
      </c>
      <c r="L185" s="129">
        <v>3</v>
      </c>
      <c r="M185" s="109">
        <f t="shared" si="78"/>
        <v>-9.5</v>
      </c>
      <c r="N185" s="130">
        <f t="shared" si="81"/>
        <v>0</v>
      </c>
      <c r="O185" s="530"/>
      <c r="P185" s="530"/>
      <c r="Q185" s="530"/>
      <c r="R185" s="530"/>
      <c r="S185" s="530"/>
      <c r="T185" s="530"/>
      <c r="U185" s="530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42747</v>
      </c>
      <c r="G186" s="108">
        <f>100*6</f>
        <v>600</v>
      </c>
      <c r="H186" s="539">
        <f t="shared" si="77"/>
        <v>3024</v>
      </c>
      <c r="I186" s="539">
        <f>10*5</f>
        <v>50</v>
      </c>
      <c r="J186" s="130">
        <f t="array" ref="J186">IF(ISERROR(G186/I186),"",G186/I186)</f>
        <v>12</v>
      </c>
      <c r="K186" s="131">
        <f t="array" ref="K186">IF(ISERROR(G186/L186),"",G186/L186)</f>
        <v>35.294117647058826</v>
      </c>
      <c r="L186" s="129">
        <v>17</v>
      </c>
      <c r="M186" s="109">
        <f t="shared" si="78"/>
        <v>14.705882352941174</v>
      </c>
      <c r="N186" s="130">
        <f t="shared" si="81"/>
        <v>0</v>
      </c>
      <c r="O186" s="530"/>
      <c r="P186" s="530"/>
      <c r="Q186" s="530"/>
      <c r="R186" s="530"/>
      <c r="S186" s="530"/>
      <c r="T186" s="530"/>
      <c r="U186" s="530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08"/>
      <c r="H187" s="539">
        <f t="shared" si="77"/>
        <v>0</v>
      </c>
      <c r="I187" s="53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30"/>
      <c r="P187" s="530"/>
      <c r="Q187" s="530"/>
      <c r="R187" s="530"/>
      <c r="S187" s="530"/>
      <c r="T187" s="530"/>
      <c r="U187" s="530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08"/>
      <c r="H188" s="53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30"/>
      <c r="P188" s="530"/>
      <c r="Q188" s="530"/>
      <c r="R188" s="530"/>
      <c r="S188" s="530"/>
      <c r="T188" s="530"/>
      <c r="U188" s="530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08"/>
      <c r="H189" s="539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30"/>
      <c r="P189" s="530"/>
      <c r="Q189" s="530"/>
      <c r="R189" s="530"/>
      <c r="S189" s="530"/>
      <c r="T189" s="530"/>
      <c r="U189" s="530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42744</v>
      </c>
      <c r="G190" s="108">
        <f>11+45+1</f>
        <v>57</v>
      </c>
      <c r="H190" s="539">
        <f t="shared" ref="H190:H198" si="82">D190*G190</f>
        <v>288.41999999999996</v>
      </c>
      <c r="I190" s="129">
        <f>1.5*2</f>
        <v>3</v>
      </c>
      <c r="J190" s="130">
        <f t="array" ref="J190">IF(ISERROR(G190/I190),"",G190/I190)</f>
        <v>19</v>
      </c>
      <c r="K190" s="131">
        <f t="array" ref="K190">IF(ISERROR(G190/L190),"",G190/L190)</f>
        <v>3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530"/>
      <c r="P190" s="530"/>
      <c r="Q190" s="530"/>
      <c r="R190" s="530"/>
      <c r="S190" s="530"/>
      <c r="T190" s="530"/>
      <c r="U190" s="530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42745</v>
      </c>
      <c r="G191" s="108">
        <f>100*11+67</f>
        <v>1167</v>
      </c>
      <c r="H191" s="539">
        <f t="shared" si="82"/>
        <v>5940.03</v>
      </c>
      <c r="I191" s="129">
        <f>11.5*5</f>
        <v>57.5</v>
      </c>
      <c r="J191" s="130">
        <f t="array" ref="J191">IF(ISERROR(G191/I191),"",G191/I191)</f>
        <v>20.295652173913044</v>
      </c>
      <c r="K191" s="131">
        <f t="array" ref="K191">IF(ISERROR(G191/L191),"",G191/L191)</f>
        <v>50.739130434782609</v>
      </c>
      <c r="L191" s="129">
        <v>23</v>
      </c>
      <c r="M191" s="109">
        <f t="shared" si="83"/>
        <v>6.7608695652173907</v>
      </c>
      <c r="N191" s="130">
        <f t="shared" si="84"/>
        <v>0</v>
      </c>
      <c r="O191" s="530"/>
      <c r="P191" s="530"/>
      <c r="Q191" s="530"/>
      <c r="R191" s="530"/>
      <c r="S191" s="530"/>
      <c r="T191" s="530"/>
      <c r="U191" s="530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08"/>
      <c r="H192" s="539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530"/>
      <c r="P192" s="530"/>
      <c r="Q192" s="530"/>
      <c r="R192" s="530"/>
      <c r="S192" s="530"/>
      <c r="T192" s="530"/>
      <c r="U192" s="530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29" t="s">
        <v>190</v>
      </c>
      <c r="D193" s="108">
        <v>4.8</v>
      </c>
      <c r="E193" s="108"/>
      <c r="F193" s="127"/>
      <c r="G193" s="108"/>
      <c r="H193" s="53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30"/>
      <c r="P193" s="530"/>
      <c r="Q193" s="530"/>
      <c r="R193" s="530"/>
      <c r="S193" s="530"/>
      <c r="T193" s="530"/>
      <c r="U193" s="53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29" t="s">
        <v>187</v>
      </c>
      <c r="D194" s="108">
        <v>4.8</v>
      </c>
      <c r="E194" s="108"/>
      <c r="F194" s="127"/>
      <c r="G194" s="108"/>
      <c r="H194" s="539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30"/>
      <c r="P194" s="530"/>
      <c r="Q194" s="530"/>
      <c r="R194" s="530"/>
      <c r="S194" s="530"/>
      <c r="T194" s="530"/>
      <c r="U194" s="53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29" t="s">
        <v>179</v>
      </c>
      <c r="D195" s="108">
        <v>4.8</v>
      </c>
      <c r="E195" s="108"/>
      <c r="F195" s="127"/>
      <c r="G195" s="108"/>
      <c r="H195" s="539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30"/>
      <c r="P195" s="530"/>
      <c r="Q195" s="530"/>
      <c r="R195" s="530"/>
      <c r="S195" s="530"/>
      <c r="T195" s="530"/>
      <c r="U195" s="53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29" t="s">
        <v>199</v>
      </c>
      <c r="D196" s="108">
        <v>4.8</v>
      </c>
      <c r="E196" s="108"/>
      <c r="F196" s="127"/>
      <c r="G196" s="108"/>
      <c r="H196" s="539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30"/>
      <c r="P196" s="530"/>
      <c r="Q196" s="530"/>
      <c r="R196" s="530"/>
      <c r="S196" s="530"/>
      <c r="T196" s="530"/>
      <c r="U196" s="530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08"/>
      <c r="H197" s="539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30"/>
      <c r="P197" s="530"/>
      <c r="Q197" s="530"/>
      <c r="R197" s="530"/>
      <c r="S197" s="530"/>
      <c r="T197" s="530"/>
      <c r="U197" s="530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08"/>
      <c r="H198" s="539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30"/>
      <c r="P198" s="530"/>
      <c r="Q198" s="530"/>
      <c r="R198" s="530"/>
      <c r="S198" s="530"/>
      <c r="T198" s="530"/>
      <c r="U198" s="530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537" t="s">
        <v>202</v>
      </c>
      <c r="D199" s="143"/>
      <c r="E199" s="143"/>
      <c r="F199" s="144"/>
      <c r="G199" s="143">
        <f>SUM(G178:G198)</f>
        <v>1906</v>
      </c>
      <c r="H199" s="146">
        <f>SUM(H178:H198)</f>
        <v>9664.91</v>
      </c>
      <c r="I199" s="146">
        <f>SUM(I178:I198)</f>
        <v>128</v>
      </c>
      <c r="J199" s="130">
        <f t="array" ref="J199">IF(ISERROR(G199/I199),"",G199/I199)</f>
        <v>14.890625</v>
      </c>
      <c r="K199" s="146">
        <f>SUM(K178:K198)</f>
        <v>116.36658141517476</v>
      </c>
      <c r="L199" s="147"/>
      <c r="M199" s="150">
        <f t="shared" ref="M199:AA199" si="90">SUM(M178:M198)</f>
        <v>11.633418584825231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531" t="s">
        <v>206</v>
      </c>
      <c r="C200" s="126" t="s">
        <v>199</v>
      </c>
      <c r="D200" s="108">
        <v>5.03</v>
      </c>
      <c r="E200" s="108"/>
      <c r="F200" s="127"/>
      <c r="G200" s="108"/>
      <c r="H200" s="539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534"/>
      <c r="P200" s="534"/>
      <c r="Q200" s="534"/>
      <c r="R200" s="534"/>
      <c r="S200" s="534"/>
      <c r="T200" s="534"/>
      <c r="U200" s="534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31" t="s">
        <v>425</v>
      </c>
      <c r="C201" s="187" t="s">
        <v>427</v>
      </c>
      <c r="D201" s="108">
        <v>5.03</v>
      </c>
      <c r="E201" s="108"/>
      <c r="F201" s="127"/>
      <c r="G201" s="108"/>
      <c r="H201" s="539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34"/>
      <c r="P201" s="534"/>
      <c r="Q201" s="534"/>
      <c r="R201" s="534"/>
      <c r="S201" s="534"/>
      <c r="T201" s="534"/>
      <c r="U201" s="534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31" t="s">
        <v>206</v>
      </c>
      <c r="C202" s="126" t="s">
        <v>186</v>
      </c>
      <c r="D202" s="108">
        <v>5.03</v>
      </c>
      <c r="E202" s="108"/>
      <c r="F202" s="127"/>
      <c r="G202" s="108"/>
      <c r="H202" s="539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34"/>
      <c r="P202" s="534"/>
      <c r="Q202" s="534"/>
      <c r="R202" s="534"/>
      <c r="S202" s="534"/>
      <c r="T202" s="534"/>
      <c r="U202" s="534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31" t="s">
        <v>206</v>
      </c>
      <c r="C203" s="126" t="s">
        <v>203</v>
      </c>
      <c r="D203" s="108">
        <v>5.03</v>
      </c>
      <c r="E203" s="108"/>
      <c r="F203" s="127"/>
      <c r="G203" s="108"/>
      <c r="H203" s="539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34"/>
      <c r="P203" s="534"/>
      <c r="Q203" s="534"/>
      <c r="R203" s="534"/>
      <c r="S203" s="534"/>
      <c r="T203" s="534"/>
      <c r="U203" s="53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31" t="s">
        <v>206</v>
      </c>
      <c r="C204" s="126" t="s">
        <v>207</v>
      </c>
      <c r="D204" s="108">
        <v>5.03</v>
      </c>
      <c r="E204" s="108"/>
      <c r="F204" s="127"/>
      <c r="G204" s="108"/>
      <c r="H204" s="539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34"/>
      <c r="P204" s="534"/>
      <c r="Q204" s="534"/>
      <c r="R204" s="534"/>
      <c r="S204" s="534"/>
      <c r="T204" s="534"/>
      <c r="U204" s="534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31" t="s">
        <v>414</v>
      </c>
      <c r="C205" s="187" t="s">
        <v>415</v>
      </c>
      <c r="D205" s="108">
        <v>5.03</v>
      </c>
      <c r="E205" s="108"/>
      <c r="F205" s="127"/>
      <c r="G205" s="108"/>
      <c r="H205" s="539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34"/>
      <c r="P205" s="534"/>
      <c r="Q205" s="534"/>
      <c r="R205" s="534"/>
      <c r="S205" s="534"/>
      <c r="T205" s="534"/>
      <c r="U205" s="53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31" t="s">
        <v>414</v>
      </c>
      <c r="C206" s="187" t="s">
        <v>416</v>
      </c>
      <c r="D206" s="108">
        <v>5.03</v>
      </c>
      <c r="E206" s="108"/>
      <c r="F206" s="127"/>
      <c r="G206" s="108"/>
      <c r="H206" s="539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34"/>
      <c r="P206" s="534"/>
      <c r="Q206" s="534"/>
      <c r="R206" s="534"/>
      <c r="S206" s="534"/>
      <c r="T206" s="534"/>
      <c r="U206" s="53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31" t="s">
        <v>414</v>
      </c>
      <c r="C207" s="187" t="s">
        <v>61</v>
      </c>
      <c r="D207" s="108">
        <v>5.03</v>
      </c>
      <c r="E207" s="108"/>
      <c r="F207" s="127"/>
      <c r="G207" s="108"/>
      <c r="H207" s="539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34"/>
      <c r="P207" s="534"/>
      <c r="Q207" s="534"/>
      <c r="R207" s="534"/>
      <c r="S207" s="534"/>
      <c r="T207" s="534"/>
      <c r="U207" s="534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31" t="s">
        <v>208</v>
      </c>
      <c r="C208" s="126" t="s">
        <v>179</v>
      </c>
      <c r="D208" s="108">
        <v>5.08</v>
      </c>
      <c r="E208" s="108"/>
      <c r="F208" s="127"/>
      <c r="G208" s="108"/>
      <c r="H208" s="53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534"/>
      <c r="P208" s="534"/>
      <c r="Q208" s="534"/>
      <c r="R208" s="534"/>
      <c r="S208" s="534"/>
      <c r="T208" s="534"/>
      <c r="U208" s="534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531" t="s">
        <v>208</v>
      </c>
      <c r="C209" s="126" t="s">
        <v>204</v>
      </c>
      <c r="D209" s="108">
        <v>5.08</v>
      </c>
      <c r="E209" s="108"/>
      <c r="F209" s="127">
        <v>42746</v>
      </c>
      <c r="G209" s="108">
        <f>48+108*7</f>
        <v>804</v>
      </c>
      <c r="H209" s="539">
        <f t="shared" si="91"/>
        <v>4084.32</v>
      </c>
      <c r="I209" s="129">
        <f>11.5*3</f>
        <v>34.5</v>
      </c>
      <c r="J209" s="130">
        <f t="array" ref="J209">IF(ISERROR(G209/I209),"",G209/I209)</f>
        <v>23.304347826086957</v>
      </c>
      <c r="K209" s="131">
        <f t="array" ref="K209">IF(ISERROR(G209/L209),"",G209/L209)</f>
        <v>38.285714285714285</v>
      </c>
      <c r="L209" s="129">
        <v>21</v>
      </c>
      <c r="M209" s="109">
        <f t="shared" si="101"/>
        <v>-3.7857142857142847</v>
      </c>
      <c r="N209" s="130">
        <f t="shared" si="102"/>
        <v>0</v>
      </c>
      <c r="O209" s="534"/>
      <c r="P209" s="534"/>
      <c r="Q209" s="534"/>
      <c r="R209" s="534"/>
      <c r="S209" s="534"/>
      <c r="T209" s="534"/>
      <c r="U209" s="534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31" t="s">
        <v>208</v>
      </c>
      <c r="C210" s="126" t="s">
        <v>205</v>
      </c>
      <c r="D210" s="108">
        <v>5.08</v>
      </c>
      <c r="E210" s="108"/>
      <c r="F210" s="127"/>
      <c r="G210" s="108"/>
      <c r="H210" s="539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34"/>
      <c r="P210" s="534"/>
      <c r="Q210" s="534"/>
      <c r="R210" s="534"/>
      <c r="S210" s="534"/>
      <c r="T210" s="534"/>
      <c r="U210" s="53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31" t="s">
        <v>208</v>
      </c>
      <c r="C211" s="126" t="s">
        <v>186</v>
      </c>
      <c r="D211" s="108">
        <v>5.08</v>
      </c>
      <c r="E211" s="108"/>
      <c r="F211" s="127"/>
      <c r="G211" s="108"/>
      <c r="H211" s="53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34"/>
      <c r="P211" s="534"/>
      <c r="Q211" s="534"/>
      <c r="R211" s="534"/>
      <c r="S211" s="534"/>
      <c r="T211" s="534"/>
      <c r="U211" s="53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31" t="s">
        <v>208</v>
      </c>
      <c r="C212" s="126" t="s">
        <v>203</v>
      </c>
      <c r="D212" s="108">
        <v>5.08</v>
      </c>
      <c r="E212" s="108"/>
      <c r="F212" s="127"/>
      <c r="G212" s="108"/>
      <c r="H212" s="539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34"/>
      <c r="P212" s="534"/>
      <c r="Q212" s="534"/>
      <c r="R212" s="534"/>
      <c r="S212" s="534"/>
      <c r="T212" s="534"/>
      <c r="U212" s="53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31" t="s">
        <v>208</v>
      </c>
      <c r="C213" s="126" t="s">
        <v>199</v>
      </c>
      <c r="D213" s="108">
        <v>5.08</v>
      </c>
      <c r="E213" s="108"/>
      <c r="F213" s="127"/>
      <c r="G213" s="108"/>
      <c r="H213" s="53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30"/>
      <c r="P213" s="530"/>
      <c r="Q213" s="530"/>
      <c r="R213" s="530"/>
      <c r="S213" s="530"/>
      <c r="T213" s="530"/>
      <c r="U213" s="53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31" t="s">
        <v>208</v>
      </c>
      <c r="C214" s="126" t="s">
        <v>187</v>
      </c>
      <c r="D214" s="108">
        <v>5.08</v>
      </c>
      <c r="E214" s="108"/>
      <c r="F214" s="127"/>
      <c r="G214" s="108"/>
      <c r="H214" s="53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34"/>
      <c r="P214" s="534"/>
      <c r="Q214" s="534"/>
      <c r="R214" s="534"/>
      <c r="S214" s="534"/>
      <c r="T214" s="534"/>
      <c r="U214" s="53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31" t="s">
        <v>208</v>
      </c>
      <c r="C215" s="126" t="s">
        <v>207</v>
      </c>
      <c r="D215" s="108">
        <v>5.08</v>
      </c>
      <c r="E215" s="108"/>
      <c r="F215" s="127"/>
      <c r="G215" s="108"/>
      <c r="H215" s="539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30"/>
      <c r="P215" s="530"/>
      <c r="Q215" s="530"/>
      <c r="R215" s="530"/>
      <c r="S215" s="530"/>
      <c r="T215" s="530"/>
      <c r="U215" s="53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31" t="s">
        <v>209</v>
      </c>
      <c r="C216" s="126" t="s">
        <v>194</v>
      </c>
      <c r="D216" s="108">
        <v>5.03</v>
      </c>
      <c r="E216" s="108"/>
      <c r="F216" s="127"/>
      <c r="G216" s="108"/>
      <c r="H216" s="53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34"/>
      <c r="P216" s="534"/>
      <c r="Q216" s="534"/>
      <c r="R216" s="534"/>
      <c r="S216" s="534"/>
      <c r="T216" s="534"/>
      <c r="U216" s="53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531" t="s">
        <v>209</v>
      </c>
      <c r="C217" s="126" t="s">
        <v>179</v>
      </c>
      <c r="D217" s="108">
        <v>5.03</v>
      </c>
      <c r="E217" s="108"/>
      <c r="F217" s="127">
        <v>42746</v>
      </c>
      <c r="G217" s="108">
        <f>102+108*7+102-102</f>
        <v>858</v>
      </c>
      <c r="H217" s="539">
        <f t="shared" si="91"/>
        <v>4315.74</v>
      </c>
      <c r="I217" s="129">
        <v>9</v>
      </c>
      <c r="J217" s="130">
        <f t="array" ref="J217">IF(ISERROR(G217/I217),"",G217/I217)</f>
        <v>95.333333333333329</v>
      </c>
      <c r="K217" s="131">
        <f t="array" ref="K217">IF(ISERROR(G217/L217),"",G217/L217)</f>
        <v>15.321428571428571</v>
      </c>
      <c r="L217" s="129">
        <v>56</v>
      </c>
      <c r="M217" s="109">
        <f t="shared" si="101"/>
        <v>-6.3214285714285712</v>
      </c>
      <c r="N217" s="130">
        <f t="shared" si="102"/>
        <v>0</v>
      </c>
      <c r="O217" s="534"/>
      <c r="P217" s="534"/>
      <c r="Q217" s="534"/>
      <c r="R217" s="534"/>
      <c r="S217" s="534"/>
      <c r="T217" s="534"/>
      <c r="U217" s="534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31" t="s">
        <v>209</v>
      </c>
      <c r="C218" s="126" t="s">
        <v>195</v>
      </c>
      <c r="D218" s="108">
        <v>5.03</v>
      </c>
      <c r="E218" s="108"/>
      <c r="F218" s="127">
        <v>42746</v>
      </c>
      <c r="G218" s="108">
        <f>108+83</f>
        <v>191</v>
      </c>
      <c r="H218" s="539">
        <f t="shared" si="91"/>
        <v>960.73</v>
      </c>
      <c r="I218" s="129">
        <v>1</v>
      </c>
      <c r="J218" s="130">
        <f t="array" ref="J218">IF(ISERROR(G218/I218),"",G218/I218)</f>
        <v>191</v>
      </c>
      <c r="K218" s="131">
        <f t="array" ref="K218">IF(ISERROR(G218/L218),"",G218/L218)</f>
        <v>3.4107142857142856</v>
      </c>
      <c r="L218" s="129">
        <v>56</v>
      </c>
      <c r="M218" s="109">
        <f t="shared" si="101"/>
        <v>-2.4107142857142856</v>
      </c>
      <c r="N218" s="130">
        <f t="shared" si="102"/>
        <v>0</v>
      </c>
      <c r="O218" s="534"/>
      <c r="P218" s="534"/>
      <c r="Q218" s="534"/>
      <c r="R218" s="534"/>
      <c r="S218" s="534"/>
      <c r="T218" s="534"/>
      <c r="U218" s="53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531" t="s">
        <v>209</v>
      </c>
      <c r="C219" s="126" t="s">
        <v>204</v>
      </c>
      <c r="D219" s="108">
        <v>5.03</v>
      </c>
      <c r="E219" s="108"/>
      <c r="F219" s="127">
        <v>42746</v>
      </c>
      <c r="G219" s="108">
        <f>31+77</f>
        <v>108</v>
      </c>
      <c r="H219" s="539">
        <f t="shared" si="91"/>
        <v>543.24</v>
      </c>
      <c r="I219" s="129">
        <v>2</v>
      </c>
      <c r="J219" s="130">
        <f t="array" ref="J219">IF(ISERROR(G219/I219),"",G219/I219)</f>
        <v>54</v>
      </c>
      <c r="K219" s="131">
        <f t="array" ref="K219">IF(ISERROR(G219/L219),"",G219/L219)</f>
        <v>1.9285714285714286</v>
      </c>
      <c r="L219" s="129">
        <v>56</v>
      </c>
      <c r="M219" s="109">
        <f t="shared" si="101"/>
        <v>7.1428571428571397E-2</v>
      </c>
      <c r="N219" s="130">
        <f t="shared" si="102"/>
        <v>0</v>
      </c>
      <c r="O219" s="534"/>
      <c r="P219" s="534"/>
      <c r="Q219" s="534"/>
      <c r="R219" s="534"/>
      <c r="S219" s="534"/>
      <c r="T219" s="534"/>
      <c r="U219" s="534"/>
      <c r="V219" s="132">
        <f t="shared" si="103"/>
        <v>0</v>
      </c>
      <c r="W219" s="133">
        <f t="shared" si="104"/>
        <v>0</v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531" t="s">
        <v>382</v>
      </c>
      <c r="C220" s="187" t="s">
        <v>383</v>
      </c>
      <c r="D220" s="108">
        <v>5.03</v>
      </c>
      <c r="E220" s="108"/>
      <c r="F220" s="127">
        <v>42747</v>
      </c>
      <c r="G220" s="108">
        <f>55+90*6+84-55</f>
        <v>624</v>
      </c>
      <c r="H220" s="539">
        <f t="shared" si="91"/>
        <v>3138.7200000000003</v>
      </c>
      <c r="I220" s="129">
        <v>13</v>
      </c>
      <c r="J220" s="130">
        <f t="array" ref="J220">IF(ISERROR(G220/I220),"",G220/I220)</f>
        <v>48</v>
      </c>
      <c r="K220" s="131">
        <f t="array" ref="K220">IF(ISERROR(G220/L220),"",G220/L220)</f>
        <v>11.555555555555555</v>
      </c>
      <c r="L220" s="129">
        <v>54</v>
      </c>
      <c r="M220" s="109">
        <f t="shared" si="101"/>
        <v>1.4444444444444446</v>
      </c>
      <c r="N220" s="130">
        <f t="shared" si="102"/>
        <v>0</v>
      </c>
      <c r="O220" s="534"/>
      <c r="P220" s="534"/>
      <c r="Q220" s="534"/>
      <c r="R220" s="534"/>
      <c r="S220" s="534"/>
      <c r="T220" s="534"/>
      <c r="U220" s="53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31" t="s">
        <v>382</v>
      </c>
      <c r="C221" s="187" t="s">
        <v>384</v>
      </c>
      <c r="D221" s="108">
        <v>5.03</v>
      </c>
      <c r="E221" s="108"/>
      <c r="F221" s="127"/>
      <c r="G221" s="108"/>
      <c r="H221" s="53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34"/>
      <c r="P221" s="534"/>
      <c r="Q221" s="534"/>
      <c r="R221" s="534"/>
      <c r="S221" s="534"/>
      <c r="T221" s="534"/>
      <c r="U221" s="53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31" t="s">
        <v>382</v>
      </c>
      <c r="C222" s="187" t="s">
        <v>389</v>
      </c>
      <c r="D222" s="108">
        <v>5.03</v>
      </c>
      <c r="E222" s="108"/>
      <c r="F222" s="127"/>
      <c r="G222" s="108"/>
      <c r="H222" s="53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34"/>
      <c r="P222" s="534"/>
      <c r="Q222" s="534"/>
      <c r="R222" s="534"/>
      <c r="S222" s="534"/>
      <c r="T222" s="534"/>
      <c r="U222" s="53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31" t="s">
        <v>382</v>
      </c>
      <c r="C223" s="187" t="s">
        <v>391</v>
      </c>
      <c r="D223" s="108">
        <v>5.03</v>
      </c>
      <c r="E223" s="108"/>
      <c r="F223" s="127"/>
      <c r="G223" s="108"/>
      <c r="H223" s="53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34"/>
      <c r="P223" s="534"/>
      <c r="Q223" s="534"/>
      <c r="R223" s="534"/>
      <c r="S223" s="534"/>
      <c r="T223" s="534"/>
      <c r="U223" s="53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31" t="s">
        <v>418</v>
      </c>
      <c r="C224" s="187" t="s">
        <v>364</v>
      </c>
      <c r="D224" s="108">
        <v>5.03</v>
      </c>
      <c r="E224" s="108"/>
      <c r="F224" s="127"/>
      <c r="G224" s="108"/>
      <c r="H224" s="53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34"/>
      <c r="P224" s="534"/>
      <c r="Q224" s="534"/>
      <c r="R224" s="534"/>
      <c r="S224" s="534"/>
      <c r="T224" s="534"/>
      <c r="U224" s="53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31" t="s">
        <v>418</v>
      </c>
      <c r="C225" s="187" t="s">
        <v>365</v>
      </c>
      <c r="D225" s="108">
        <v>5.03</v>
      </c>
      <c r="E225" s="108"/>
      <c r="F225" s="127"/>
      <c r="G225" s="108"/>
      <c r="H225" s="539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34"/>
      <c r="P225" s="534"/>
      <c r="Q225" s="534"/>
      <c r="R225" s="534"/>
      <c r="S225" s="534"/>
      <c r="T225" s="534"/>
      <c r="U225" s="53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31" t="s">
        <v>418</v>
      </c>
      <c r="C226" s="187" t="s">
        <v>366</v>
      </c>
      <c r="D226" s="108">
        <v>5.03</v>
      </c>
      <c r="E226" s="108"/>
      <c r="F226" s="127"/>
      <c r="G226" s="108"/>
      <c r="H226" s="539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34"/>
      <c r="P226" s="534"/>
      <c r="Q226" s="534"/>
      <c r="R226" s="534"/>
      <c r="S226" s="534"/>
      <c r="T226" s="534"/>
      <c r="U226" s="53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31" t="s">
        <v>418</v>
      </c>
      <c r="C227" s="187" t="s">
        <v>367</v>
      </c>
      <c r="D227" s="108">
        <v>5.03</v>
      </c>
      <c r="E227" s="108"/>
      <c r="F227" s="127"/>
      <c r="G227" s="108"/>
      <c r="H227" s="539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34"/>
      <c r="P227" s="534"/>
      <c r="Q227" s="534"/>
      <c r="R227" s="534"/>
      <c r="S227" s="534"/>
      <c r="T227" s="534"/>
      <c r="U227" s="534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08"/>
      <c r="H228" s="539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30"/>
      <c r="P228" s="530"/>
      <c r="Q228" s="530"/>
      <c r="R228" s="530"/>
      <c r="S228" s="530"/>
      <c r="T228" s="530"/>
      <c r="U228" s="530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08"/>
      <c r="H229" s="53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30"/>
      <c r="P229" s="530"/>
      <c r="Q229" s="530"/>
      <c r="R229" s="530"/>
      <c r="S229" s="530"/>
      <c r="T229" s="530"/>
      <c r="U229" s="530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08"/>
      <c r="H230" s="53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30"/>
      <c r="P230" s="530"/>
      <c r="Q230" s="530"/>
      <c r="R230" s="530"/>
      <c r="S230" s="530"/>
      <c r="T230" s="530"/>
      <c r="U230" s="530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08"/>
      <c r="H231" s="53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30"/>
      <c r="P231" s="530"/>
      <c r="Q231" s="530"/>
      <c r="R231" s="530"/>
      <c r="S231" s="530"/>
      <c r="T231" s="530"/>
      <c r="U231" s="530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08"/>
      <c r="H232" s="53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30"/>
      <c r="P232" s="530"/>
      <c r="Q232" s="530"/>
      <c r="R232" s="530"/>
      <c r="S232" s="530"/>
      <c r="T232" s="530"/>
      <c r="U232" s="530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08"/>
      <c r="H233" s="53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30"/>
      <c r="P233" s="530"/>
      <c r="Q233" s="530"/>
      <c r="R233" s="530"/>
      <c r="S233" s="530"/>
      <c r="T233" s="530"/>
      <c r="U233" s="530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08"/>
      <c r="H234" s="53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30"/>
      <c r="P234" s="530"/>
      <c r="Q234" s="530"/>
      <c r="R234" s="530"/>
      <c r="S234" s="530"/>
      <c r="T234" s="530"/>
      <c r="U234" s="530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08"/>
      <c r="H235" s="539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30"/>
      <c r="P235" s="530"/>
      <c r="Q235" s="530"/>
      <c r="R235" s="530"/>
      <c r="S235" s="530"/>
      <c r="T235" s="530"/>
      <c r="U235" s="530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08"/>
      <c r="H236" s="539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30"/>
      <c r="P236" s="530"/>
      <c r="Q236" s="530"/>
      <c r="R236" s="530"/>
      <c r="S236" s="530"/>
      <c r="T236" s="530"/>
      <c r="U236" s="530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08"/>
      <c r="H237" s="539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30"/>
      <c r="P237" s="530"/>
      <c r="Q237" s="530"/>
      <c r="R237" s="530"/>
      <c r="S237" s="530"/>
      <c r="T237" s="530"/>
      <c r="U237" s="530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08"/>
      <c r="H238" s="539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30"/>
      <c r="P238" s="530"/>
      <c r="Q238" s="530"/>
      <c r="R238" s="530"/>
      <c r="S238" s="530"/>
      <c r="T238" s="530"/>
      <c r="U238" s="53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08"/>
      <c r="H239" s="539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30"/>
      <c r="P239" s="530"/>
      <c r="Q239" s="530"/>
      <c r="R239" s="530"/>
      <c r="S239" s="530"/>
      <c r="T239" s="530"/>
      <c r="U239" s="530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08"/>
      <c r="H240" s="539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30"/>
      <c r="P240" s="530"/>
      <c r="Q240" s="530"/>
      <c r="R240" s="530"/>
      <c r="S240" s="530"/>
      <c r="T240" s="530"/>
      <c r="U240" s="530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08"/>
      <c r="H241" s="539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30"/>
      <c r="P241" s="530"/>
      <c r="Q241" s="530"/>
      <c r="R241" s="530"/>
      <c r="S241" s="530"/>
      <c r="T241" s="530"/>
      <c r="U241" s="530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08"/>
      <c r="H242" s="539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30"/>
      <c r="P242" s="530"/>
      <c r="Q242" s="530"/>
      <c r="R242" s="530"/>
      <c r="S242" s="530"/>
      <c r="T242" s="530"/>
      <c r="U242" s="530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08"/>
      <c r="H243" s="53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30"/>
      <c r="P243" s="530"/>
      <c r="Q243" s="530"/>
      <c r="R243" s="530"/>
      <c r="S243" s="530"/>
      <c r="T243" s="530"/>
      <c r="U243" s="530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08"/>
      <c r="H244" s="539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30"/>
      <c r="P244" s="530"/>
      <c r="Q244" s="530"/>
      <c r="R244" s="530"/>
      <c r="S244" s="530"/>
      <c r="T244" s="530"/>
      <c r="U244" s="530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08"/>
      <c r="H245" s="539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30"/>
      <c r="P245" s="530"/>
      <c r="Q245" s="530"/>
      <c r="R245" s="530"/>
      <c r="S245" s="530"/>
      <c r="T245" s="530"/>
      <c r="U245" s="530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08"/>
      <c r="H246" s="539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30"/>
      <c r="P246" s="530"/>
      <c r="Q246" s="530"/>
      <c r="R246" s="530"/>
      <c r="S246" s="530"/>
      <c r="T246" s="530"/>
      <c r="U246" s="530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08"/>
      <c r="H247" s="53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30"/>
      <c r="P247" s="530"/>
      <c r="Q247" s="530"/>
      <c r="R247" s="530"/>
      <c r="S247" s="530"/>
      <c r="T247" s="530"/>
      <c r="U247" s="53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08"/>
      <c r="H248" s="539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30"/>
      <c r="P248" s="530"/>
      <c r="Q248" s="530"/>
      <c r="R248" s="530"/>
      <c r="S248" s="530"/>
      <c r="T248" s="530"/>
      <c r="U248" s="53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08"/>
      <c r="H249" s="539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30"/>
      <c r="P249" s="530"/>
      <c r="Q249" s="530"/>
      <c r="R249" s="530"/>
      <c r="S249" s="530"/>
      <c r="T249" s="530"/>
      <c r="U249" s="53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08"/>
      <c r="H250" s="539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30"/>
      <c r="P250" s="530"/>
      <c r="Q250" s="530"/>
      <c r="R250" s="530"/>
      <c r="S250" s="530"/>
      <c r="T250" s="530"/>
      <c r="U250" s="53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08"/>
      <c r="H251" s="53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30"/>
      <c r="P251" s="530"/>
      <c r="Q251" s="530"/>
      <c r="R251" s="530"/>
      <c r="S251" s="530"/>
      <c r="T251" s="530"/>
      <c r="U251" s="53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08"/>
      <c r="H252" s="53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30"/>
      <c r="P252" s="530"/>
      <c r="Q252" s="530"/>
      <c r="R252" s="530"/>
      <c r="S252" s="530"/>
      <c r="T252" s="530"/>
      <c r="U252" s="53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08"/>
      <c r="H253" s="53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30"/>
      <c r="P253" s="530"/>
      <c r="Q253" s="530"/>
      <c r="R253" s="530"/>
      <c r="S253" s="530"/>
      <c r="T253" s="530"/>
      <c r="U253" s="53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08"/>
      <c r="H254" s="539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30"/>
      <c r="P254" s="530"/>
      <c r="Q254" s="530"/>
      <c r="R254" s="530"/>
      <c r="S254" s="530"/>
      <c r="T254" s="530"/>
      <c r="U254" s="53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08"/>
      <c r="H255" s="539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30"/>
      <c r="P255" s="530"/>
      <c r="Q255" s="530"/>
      <c r="R255" s="530"/>
      <c r="S255" s="530"/>
      <c r="T255" s="530"/>
      <c r="U255" s="530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08"/>
      <c r="H256" s="539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30"/>
      <c r="P256" s="530"/>
      <c r="Q256" s="530"/>
      <c r="R256" s="530"/>
      <c r="S256" s="530"/>
      <c r="T256" s="530"/>
      <c r="U256" s="530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37" t="s">
        <v>202</v>
      </c>
      <c r="D257" s="143"/>
      <c r="E257" s="143"/>
      <c r="F257" s="144"/>
      <c r="G257" s="143">
        <f>SUM(G200:G256)</f>
        <v>2585</v>
      </c>
      <c r="H257" s="146">
        <f>SUM(H200:H256)</f>
        <v>13042.75</v>
      </c>
      <c r="I257" s="146">
        <f>SUM(I200:I256)</f>
        <v>59.5</v>
      </c>
      <c r="J257" s="130">
        <f t="array" ref="J257">IF(ISERROR(G257/I257),"",G257/I257)</f>
        <v>43.445378151260506</v>
      </c>
      <c r="K257" s="146">
        <f>SUM(K200:K256)</f>
        <v>70.501984126984127</v>
      </c>
      <c r="L257" s="147"/>
      <c r="M257" s="150">
        <f t="shared" ref="M257:V257" si="114">SUM(M200:M256)</f>
        <v>-11.001984126984127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31" t="s">
        <v>217</v>
      </c>
      <c r="C258" s="126" t="s">
        <v>179</v>
      </c>
      <c r="D258" s="108">
        <v>5.03</v>
      </c>
      <c r="E258" s="108"/>
      <c r="F258" s="127"/>
      <c r="G258" s="108"/>
      <c r="H258" s="539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30"/>
      <c r="P258" s="530"/>
      <c r="Q258" s="530"/>
      <c r="R258" s="530"/>
      <c r="S258" s="530"/>
      <c r="T258" s="530"/>
      <c r="U258" s="530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31" t="s">
        <v>217</v>
      </c>
      <c r="C259" s="126" t="s">
        <v>186</v>
      </c>
      <c r="D259" s="108">
        <v>5.03</v>
      </c>
      <c r="E259" s="108"/>
      <c r="F259" s="127"/>
      <c r="G259" s="108"/>
      <c r="H259" s="53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30"/>
      <c r="P259" s="530"/>
      <c r="Q259" s="530"/>
      <c r="R259" s="530"/>
      <c r="S259" s="530"/>
      <c r="T259" s="530"/>
      <c r="U259" s="530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31" t="s">
        <v>217</v>
      </c>
      <c r="C260" s="126" t="s">
        <v>204</v>
      </c>
      <c r="D260" s="108">
        <v>5.03</v>
      </c>
      <c r="E260" s="108"/>
      <c r="F260" s="127"/>
      <c r="G260" s="108"/>
      <c r="H260" s="539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30"/>
      <c r="P260" s="530"/>
      <c r="Q260" s="530"/>
      <c r="R260" s="530"/>
      <c r="S260" s="530"/>
      <c r="T260" s="530"/>
      <c r="U260" s="530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08"/>
      <c r="H261" s="539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30"/>
      <c r="P261" s="530"/>
      <c r="Q261" s="530"/>
      <c r="R261" s="530"/>
      <c r="S261" s="530"/>
      <c r="T261" s="530"/>
      <c r="U261" s="530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08"/>
      <c r="H262" s="539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30"/>
      <c r="P262" s="530"/>
      <c r="Q262" s="530"/>
      <c r="R262" s="530"/>
      <c r="S262" s="530"/>
      <c r="T262" s="530"/>
      <c r="U262" s="530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08"/>
      <c r="H263" s="53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30"/>
      <c r="P263" s="530"/>
      <c r="Q263" s="530"/>
      <c r="R263" s="530"/>
      <c r="S263" s="530"/>
      <c r="T263" s="530"/>
      <c r="U263" s="530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08"/>
      <c r="H264" s="539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30"/>
      <c r="P264" s="530"/>
      <c r="Q264" s="530"/>
      <c r="R264" s="530"/>
      <c r="S264" s="530"/>
      <c r="T264" s="530"/>
      <c r="U264" s="530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08"/>
      <c r="H265" s="539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30"/>
      <c r="P265" s="530"/>
      <c r="Q265" s="530"/>
      <c r="R265" s="530"/>
      <c r="S265" s="530"/>
      <c r="T265" s="530"/>
      <c r="U265" s="530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08"/>
      <c r="H266" s="53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30"/>
      <c r="P266" s="530"/>
      <c r="Q266" s="530"/>
      <c r="R266" s="530"/>
      <c r="S266" s="530"/>
      <c r="T266" s="530"/>
      <c r="U266" s="53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08"/>
      <c r="H267" s="53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30"/>
      <c r="P267" s="530"/>
      <c r="Q267" s="530"/>
      <c r="R267" s="530"/>
      <c r="S267" s="530"/>
      <c r="T267" s="530"/>
      <c r="U267" s="53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08"/>
      <c r="H268" s="539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30"/>
      <c r="P268" s="530"/>
      <c r="Q268" s="530"/>
      <c r="R268" s="530"/>
      <c r="S268" s="530"/>
      <c r="T268" s="530"/>
      <c r="U268" s="53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08"/>
      <c r="H269" s="539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30"/>
      <c r="P269" s="530"/>
      <c r="Q269" s="530"/>
      <c r="R269" s="530"/>
      <c r="S269" s="530"/>
      <c r="T269" s="530"/>
      <c r="U269" s="530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08"/>
      <c r="H270" s="539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30"/>
      <c r="P270" s="530"/>
      <c r="Q270" s="530"/>
      <c r="R270" s="530"/>
      <c r="S270" s="530"/>
      <c r="T270" s="530"/>
      <c r="U270" s="530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08"/>
      <c r="H271" s="539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30"/>
      <c r="P271" s="530"/>
      <c r="Q271" s="530"/>
      <c r="R271" s="530"/>
      <c r="S271" s="530"/>
      <c r="T271" s="530"/>
      <c r="U271" s="530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08"/>
      <c r="H272" s="539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30"/>
      <c r="P272" s="530"/>
      <c r="Q272" s="530"/>
      <c r="R272" s="530"/>
      <c r="S272" s="530"/>
      <c r="T272" s="530"/>
      <c r="U272" s="530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08"/>
      <c r="H273" s="539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30"/>
      <c r="P273" s="530"/>
      <c r="Q273" s="530"/>
      <c r="R273" s="530"/>
      <c r="S273" s="530"/>
      <c r="T273" s="530"/>
      <c r="U273" s="530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31" t="s">
        <v>222</v>
      </c>
      <c r="C274" s="126" t="s">
        <v>181</v>
      </c>
      <c r="D274" s="108">
        <v>9.36</v>
      </c>
      <c r="E274" s="108"/>
      <c r="F274" s="127"/>
      <c r="G274" s="108"/>
      <c r="H274" s="53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30"/>
      <c r="P274" s="530"/>
      <c r="Q274" s="530"/>
      <c r="R274" s="530"/>
      <c r="S274" s="530"/>
      <c r="T274" s="530"/>
      <c r="U274" s="530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31" t="s">
        <v>222</v>
      </c>
      <c r="C275" s="126" t="s">
        <v>179</v>
      </c>
      <c r="D275" s="108">
        <v>9.36</v>
      </c>
      <c r="E275" s="108"/>
      <c r="F275" s="127"/>
      <c r="G275" s="108"/>
      <c r="H275" s="539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30"/>
      <c r="P275" s="530"/>
      <c r="Q275" s="530"/>
      <c r="R275" s="530"/>
      <c r="S275" s="530"/>
      <c r="T275" s="530"/>
      <c r="U275" s="530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31" t="s">
        <v>222</v>
      </c>
      <c r="C276" s="126" t="s">
        <v>221</v>
      </c>
      <c r="D276" s="108">
        <v>9.36</v>
      </c>
      <c r="E276" s="108"/>
      <c r="F276" s="127"/>
      <c r="G276" s="108"/>
      <c r="H276" s="539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30"/>
      <c r="P276" s="530"/>
      <c r="Q276" s="530"/>
      <c r="R276" s="530"/>
      <c r="S276" s="530"/>
      <c r="T276" s="530"/>
      <c r="U276" s="530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31" t="s">
        <v>222</v>
      </c>
      <c r="C277" s="126" t="s">
        <v>186</v>
      </c>
      <c r="D277" s="108">
        <v>9.36</v>
      </c>
      <c r="E277" s="108"/>
      <c r="F277" s="127"/>
      <c r="G277" s="108"/>
      <c r="H277" s="539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30"/>
      <c r="P277" s="530"/>
      <c r="Q277" s="530"/>
      <c r="R277" s="530"/>
      <c r="S277" s="530"/>
      <c r="T277" s="530"/>
      <c r="U277" s="530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31" t="s">
        <v>393</v>
      </c>
      <c r="C278" s="187" t="s">
        <v>395</v>
      </c>
      <c r="D278" s="108">
        <v>5</v>
      </c>
      <c r="E278" s="108"/>
      <c r="F278" s="127"/>
      <c r="G278" s="108"/>
      <c r="H278" s="539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30"/>
      <c r="P278" s="530"/>
      <c r="Q278" s="530"/>
      <c r="R278" s="530"/>
      <c r="S278" s="530"/>
      <c r="T278" s="530"/>
      <c r="U278" s="530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31" t="s">
        <v>393</v>
      </c>
      <c r="C279" s="187" t="s">
        <v>402</v>
      </c>
      <c r="D279" s="108">
        <v>5</v>
      </c>
      <c r="E279" s="108"/>
      <c r="F279" s="127"/>
      <c r="G279" s="108"/>
      <c r="H279" s="539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30"/>
      <c r="P279" s="530"/>
      <c r="Q279" s="530"/>
      <c r="R279" s="530"/>
      <c r="S279" s="530"/>
      <c r="T279" s="530"/>
      <c r="U279" s="530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531" t="s">
        <v>404</v>
      </c>
      <c r="C280" s="187" t="s">
        <v>405</v>
      </c>
      <c r="D280" s="108">
        <v>5</v>
      </c>
      <c r="E280" s="108"/>
      <c r="F280" s="127">
        <v>42746</v>
      </c>
      <c r="G280" s="108">
        <f>90*2+83</f>
        <v>263</v>
      </c>
      <c r="H280" s="539">
        <f t="shared" si="116"/>
        <v>1315</v>
      </c>
      <c r="I280" s="129">
        <v>179</v>
      </c>
      <c r="J280" s="130">
        <f t="array" ref="J280">IF(ISERROR(G280/I280),"",G280/I280)</f>
        <v>1.4692737430167597</v>
      </c>
      <c r="K280" s="131">
        <f t="array" ref="K280">IF(ISERROR(G280/L280),"",G280/L280)</f>
        <v>52.6</v>
      </c>
      <c r="L280" s="129">
        <v>5</v>
      </c>
      <c r="M280" s="109">
        <f t="shared" si="120"/>
        <v>126.4</v>
      </c>
      <c r="N280" s="130">
        <f t="shared" si="121"/>
        <v>0</v>
      </c>
      <c r="O280" s="530"/>
      <c r="P280" s="530"/>
      <c r="Q280" s="530"/>
      <c r="R280" s="530"/>
      <c r="S280" s="530"/>
      <c r="T280" s="530"/>
      <c r="U280" s="53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31" t="s">
        <v>342</v>
      </c>
      <c r="C281" s="187" t="s">
        <v>372</v>
      </c>
      <c r="D281" s="108">
        <v>5</v>
      </c>
      <c r="E281" s="108"/>
      <c r="F281" s="127"/>
      <c r="G281" s="108"/>
      <c r="H281" s="539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30"/>
      <c r="P281" s="530"/>
      <c r="Q281" s="530"/>
      <c r="R281" s="530"/>
      <c r="S281" s="530"/>
      <c r="T281" s="530"/>
      <c r="U281" s="53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31" t="s">
        <v>343</v>
      </c>
      <c r="C282" s="126" t="s">
        <v>345</v>
      </c>
      <c r="D282" s="108">
        <v>5</v>
      </c>
      <c r="E282" s="108"/>
      <c r="F282" s="127"/>
      <c r="G282" s="108"/>
      <c r="H282" s="539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30"/>
      <c r="P282" s="530"/>
      <c r="Q282" s="530"/>
      <c r="R282" s="530"/>
      <c r="S282" s="530"/>
      <c r="T282" s="530"/>
      <c r="U282" s="53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31" t="s">
        <v>343</v>
      </c>
      <c r="C283" s="126" t="s">
        <v>347</v>
      </c>
      <c r="D283" s="108">
        <v>5</v>
      </c>
      <c r="E283" s="108"/>
      <c r="F283" s="127"/>
      <c r="G283" s="108"/>
      <c r="H283" s="539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30"/>
      <c r="P283" s="530"/>
      <c r="Q283" s="530"/>
      <c r="R283" s="530"/>
      <c r="S283" s="530"/>
      <c r="T283" s="530"/>
      <c r="U283" s="530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08"/>
      <c r="H284" s="539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30"/>
      <c r="P284" s="530"/>
      <c r="Q284" s="530"/>
      <c r="R284" s="530"/>
      <c r="S284" s="530"/>
      <c r="T284" s="530"/>
      <c r="U284" s="530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08"/>
      <c r="H285" s="539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30"/>
      <c r="P285" s="530"/>
      <c r="Q285" s="530"/>
      <c r="R285" s="530"/>
      <c r="S285" s="530"/>
      <c r="T285" s="530"/>
      <c r="U285" s="530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08"/>
      <c r="H286" s="539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30"/>
      <c r="P286" s="530"/>
      <c r="Q286" s="530"/>
      <c r="R286" s="530"/>
      <c r="S286" s="530"/>
      <c r="T286" s="530"/>
      <c r="U286" s="53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08"/>
      <c r="H287" s="539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30"/>
      <c r="P287" s="530"/>
      <c r="Q287" s="530"/>
      <c r="R287" s="530"/>
      <c r="S287" s="530"/>
      <c r="T287" s="530"/>
      <c r="U287" s="53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08"/>
      <c r="H288" s="539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30"/>
      <c r="P288" s="530"/>
      <c r="Q288" s="530"/>
      <c r="R288" s="530"/>
      <c r="S288" s="530"/>
      <c r="T288" s="530"/>
      <c r="U288" s="530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08"/>
      <c r="H289" s="539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30"/>
      <c r="P289" s="530"/>
      <c r="Q289" s="530"/>
      <c r="R289" s="530"/>
      <c r="S289" s="530"/>
      <c r="T289" s="530"/>
      <c r="U289" s="530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08"/>
      <c r="H290" s="539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30"/>
      <c r="P290" s="530"/>
      <c r="Q290" s="530"/>
      <c r="R290" s="530"/>
      <c r="S290" s="530"/>
      <c r="T290" s="530"/>
      <c r="U290" s="530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08"/>
      <c r="H291" s="539">
        <f t="shared" si="116"/>
        <v>0</v>
      </c>
      <c r="I291" s="129"/>
      <c r="J291" s="130" t="str">
        <f t="array" ref="J291">IF(ISERROR(G291/I291),"",G291/I291)</f>
        <v/>
      </c>
      <c r="K291" s="539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530"/>
      <c r="P291" s="530"/>
      <c r="Q291" s="530"/>
      <c r="R291" s="530"/>
      <c r="S291" s="530"/>
      <c r="T291" s="530"/>
      <c r="U291" s="530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537" t="s">
        <v>202</v>
      </c>
      <c r="D292" s="143"/>
      <c r="E292" s="143"/>
      <c r="F292" s="144"/>
      <c r="G292" s="143">
        <f>SUM(G258:G291)</f>
        <v>263</v>
      </c>
      <c r="H292" s="146">
        <f>SUM(H258:H291)</f>
        <v>1315</v>
      </c>
      <c r="I292" s="146">
        <f>SUM(I258:I291)</f>
        <v>179</v>
      </c>
      <c r="J292" s="130">
        <f t="array" ref="J292">IF(ISERROR(G292/I292),"",G292/I292)</f>
        <v>1.4692737430167597</v>
      </c>
      <c r="K292" s="146">
        <f>SUM(K258:K291)</f>
        <v>52.6</v>
      </c>
      <c r="L292" s="147"/>
      <c r="M292" s="150">
        <f t="shared" ref="M292:V292" si="131">SUM(M258:M291)</f>
        <v>126.4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08"/>
      <c r="H293" s="539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30"/>
      <c r="P293" s="530"/>
      <c r="Q293" s="530"/>
      <c r="R293" s="530"/>
      <c r="S293" s="530"/>
      <c r="T293" s="530"/>
      <c r="U293" s="530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111">
        <f>47+90*6+70-70</f>
        <v>587</v>
      </c>
      <c r="H294" s="539">
        <f>D294*G294</f>
        <v>2952.61</v>
      </c>
      <c r="I294" s="129">
        <f>11.5*2</f>
        <v>23</v>
      </c>
      <c r="J294" s="130">
        <f t="array" ref="J294">IF(ISERROR(G294/I294),"",G294/I294)</f>
        <v>25.521739130434781</v>
      </c>
      <c r="K294" s="131">
        <f t="array" ref="K294">IF(ISERROR(G294/L294),"",G294/L294)</f>
        <v>23.48</v>
      </c>
      <c r="L294" s="129">
        <v>25</v>
      </c>
      <c r="M294" s="109">
        <f t="shared" si="133"/>
        <v>-0.48000000000000043</v>
      </c>
      <c r="N294" s="130">
        <f t="shared" si="134"/>
        <v>0</v>
      </c>
      <c r="O294" s="530"/>
      <c r="P294" s="530"/>
      <c r="Q294" s="530"/>
      <c r="R294" s="530"/>
      <c r="S294" s="530"/>
      <c r="T294" s="530"/>
      <c r="U294" s="530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08"/>
      <c r="H295" s="53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30"/>
      <c r="P295" s="530"/>
      <c r="Q295" s="530"/>
      <c r="R295" s="530"/>
      <c r="S295" s="530"/>
      <c r="T295" s="530"/>
      <c r="U295" s="530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08"/>
      <c r="H296" s="53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30"/>
      <c r="P296" s="530"/>
      <c r="Q296" s="530"/>
      <c r="R296" s="530"/>
      <c r="S296" s="530"/>
      <c r="T296" s="530"/>
      <c r="U296" s="530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35" t="s">
        <v>203</v>
      </c>
      <c r="D297" s="108">
        <v>5.03</v>
      </c>
      <c r="E297" s="108"/>
      <c r="F297" s="127"/>
      <c r="G297" s="108"/>
      <c r="H297" s="53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30"/>
      <c r="P297" s="530"/>
      <c r="Q297" s="530"/>
      <c r="R297" s="530"/>
      <c r="S297" s="530"/>
      <c r="T297" s="530"/>
      <c r="U297" s="530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08"/>
      <c r="H298" s="539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30"/>
      <c r="P298" s="530"/>
      <c r="Q298" s="530"/>
      <c r="R298" s="530"/>
      <c r="S298" s="530"/>
      <c r="T298" s="530"/>
      <c r="U298" s="530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08"/>
      <c r="H299" s="539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30"/>
      <c r="P299" s="530"/>
      <c r="Q299" s="530"/>
      <c r="R299" s="530"/>
      <c r="S299" s="530"/>
      <c r="T299" s="530"/>
      <c r="U299" s="530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35" t="s">
        <v>228</v>
      </c>
      <c r="D300" s="108">
        <v>5.03</v>
      </c>
      <c r="E300" s="108"/>
      <c r="F300" s="127"/>
      <c r="G300" s="108"/>
      <c r="H300" s="539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30"/>
      <c r="P300" s="530"/>
      <c r="Q300" s="530"/>
      <c r="R300" s="530"/>
      <c r="S300" s="530"/>
      <c r="T300" s="530"/>
      <c r="U300" s="530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35" t="s">
        <v>212</v>
      </c>
      <c r="D301" s="108">
        <v>5.03</v>
      </c>
      <c r="E301" s="108"/>
      <c r="F301" s="127"/>
      <c r="G301" s="108"/>
      <c r="H301" s="53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30"/>
      <c r="P301" s="530"/>
      <c r="Q301" s="530"/>
      <c r="R301" s="530"/>
      <c r="S301" s="530"/>
      <c r="T301" s="530"/>
      <c r="U301" s="530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35" t="s">
        <v>203</v>
      </c>
      <c r="D302" s="108">
        <v>5.03</v>
      </c>
      <c r="E302" s="108"/>
      <c r="F302" s="127"/>
      <c r="G302" s="108"/>
      <c r="H302" s="53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30"/>
      <c r="P302" s="530"/>
      <c r="Q302" s="530"/>
      <c r="R302" s="530"/>
      <c r="S302" s="530"/>
      <c r="T302" s="530"/>
      <c r="U302" s="530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35" t="s">
        <v>186</v>
      </c>
      <c r="D303" s="108">
        <v>5.03</v>
      </c>
      <c r="E303" s="108"/>
      <c r="F303" s="127"/>
      <c r="G303" s="108"/>
      <c r="H303" s="539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30"/>
      <c r="P303" s="530"/>
      <c r="Q303" s="530"/>
      <c r="R303" s="530"/>
      <c r="S303" s="530"/>
      <c r="T303" s="530"/>
      <c r="U303" s="530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35" t="s">
        <v>228</v>
      </c>
      <c r="D304" s="108">
        <v>5.03</v>
      </c>
      <c r="E304" s="108"/>
      <c r="F304" s="127"/>
      <c r="G304" s="108"/>
      <c r="H304" s="539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30"/>
      <c r="P304" s="530"/>
      <c r="Q304" s="530"/>
      <c r="R304" s="530"/>
      <c r="S304" s="530"/>
      <c r="T304" s="530"/>
      <c r="U304" s="530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35" t="s">
        <v>199</v>
      </c>
      <c r="D305" s="108">
        <v>5.03</v>
      </c>
      <c r="E305" s="108"/>
      <c r="F305" s="127"/>
      <c r="G305" s="108"/>
      <c r="H305" s="539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30"/>
      <c r="P305" s="530"/>
      <c r="Q305" s="530"/>
      <c r="R305" s="530"/>
      <c r="S305" s="530"/>
      <c r="T305" s="530"/>
      <c r="U305" s="530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08"/>
      <c r="H306" s="539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30"/>
      <c r="P306" s="530"/>
      <c r="Q306" s="530"/>
      <c r="R306" s="530"/>
      <c r="S306" s="530"/>
      <c r="T306" s="530"/>
      <c r="U306" s="530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42745</v>
      </c>
      <c r="G307" s="108">
        <v>20</v>
      </c>
      <c r="H307" s="539">
        <f t="shared" si="132"/>
        <v>101.19999999999999</v>
      </c>
      <c r="I307" s="129">
        <v>1</v>
      </c>
      <c r="J307" s="130">
        <f t="array" ref="J307">IF(ISERROR(G307/I307),"",G307/I307)</f>
        <v>20</v>
      </c>
      <c r="K307" s="131">
        <f t="array" ref="K307">IF(ISERROR(G307/L307),"",G307/L307)</f>
        <v>0.8</v>
      </c>
      <c r="L307" s="129">
        <v>25</v>
      </c>
      <c r="M307" s="109">
        <f t="shared" si="133"/>
        <v>0.19999999999999996</v>
      </c>
      <c r="N307" s="130">
        <f t="shared" si="134"/>
        <v>0</v>
      </c>
      <c r="O307" s="530"/>
      <c r="P307" s="530"/>
      <c r="Q307" s="530"/>
      <c r="R307" s="530"/>
      <c r="S307" s="530"/>
      <c r="T307" s="530"/>
      <c r="U307" s="530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537" t="s">
        <v>202</v>
      </c>
      <c r="D308" s="143"/>
      <c r="E308" s="143"/>
      <c r="F308" s="144"/>
      <c r="G308" s="143">
        <f>SUM(G293:G307)</f>
        <v>607</v>
      </c>
      <c r="H308" s="146">
        <f>SUM(H293:H307)</f>
        <v>3053.81</v>
      </c>
      <c r="I308" s="146">
        <f>SUM(I293:I307)</f>
        <v>24</v>
      </c>
      <c r="J308" s="130">
        <f t="array" ref="J308">IF(ISERROR(G308/I308),"",G308/I308)</f>
        <v>25.291666666666668</v>
      </c>
      <c r="K308" s="146">
        <f>SUM(K293:K307)</f>
        <v>24.28</v>
      </c>
      <c r="L308" s="146"/>
      <c r="M308" s="150">
        <f>SUM(M293:M307)</f>
        <v>-0.28000000000000047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08"/>
      <c r="H309" s="539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30"/>
      <c r="P309" s="530"/>
      <c r="Q309" s="530"/>
      <c r="R309" s="530"/>
      <c r="S309" s="530"/>
      <c r="T309" s="530"/>
      <c r="U309" s="530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08"/>
      <c r="H310" s="53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30"/>
      <c r="P310" s="530"/>
      <c r="Q310" s="530"/>
      <c r="R310" s="530"/>
      <c r="S310" s="530"/>
      <c r="T310" s="530"/>
      <c r="U310" s="530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08"/>
      <c r="H311" s="539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30"/>
      <c r="P311" s="530"/>
      <c r="Q311" s="530"/>
      <c r="R311" s="530"/>
      <c r="S311" s="530"/>
      <c r="T311" s="530"/>
      <c r="U311" s="530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08"/>
      <c r="H312" s="539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30"/>
      <c r="P312" s="530"/>
      <c r="Q312" s="530"/>
      <c r="R312" s="530"/>
      <c r="S312" s="530"/>
      <c r="T312" s="530"/>
      <c r="U312" s="530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08"/>
      <c r="H313" s="539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30"/>
      <c r="P313" s="530"/>
      <c r="Q313" s="530"/>
      <c r="R313" s="530"/>
      <c r="S313" s="530"/>
      <c r="T313" s="530"/>
      <c r="U313" s="530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08"/>
      <c r="H314" s="53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30"/>
      <c r="P314" s="530"/>
      <c r="Q314" s="530"/>
      <c r="R314" s="530"/>
      <c r="S314" s="530"/>
      <c r="T314" s="530"/>
      <c r="U314" s="530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08"/>
      <c r="H315" s="539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30"/>
      <c r="P315" s="530"/>
      <c r="Q315" s="530"/>
      <c r="R315" s="530"/>
      <c r="S315" s="530"/>
      <c r="T315" s="530"/>
      <c r="U315" s="530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08"/>
      <c r="H316" s="539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30"/>
      <c r="P316" s="530"/>
      <c r="Q316" s="530"/>
      <c r="R316" s="530"/>
      <c r="S316" s="530"/>
      <c r="T316" s="530"/>
      <c r="U316" s="530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08"/>
      <c r="H317" s="539">
        <f t="shared" si="136"/>
        <v>0</v>
      </c>
      <c r="I317" s="129"/>
      <c r="J317" s="130"/>
      <c r="K317" s="131"/>
      <c r="L317" s="129"/>
      <c r="M317" s="109"/>
      <c r="N317" s="130"/>
      <c r="O317" s="530"/>
      <c r="P317" s="530"/>
      <c r="Q317" s="530"/>
      <c r="R317" s="530"/>
      <c r="S317" s="530"/>
      <c r="T317" s="530"/>
      <c r="U317" s="530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08"/>
      <c r="H318" s="539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30"/>
      <c r="P318" s="530"/>
      <c r="Q318" s="530"/>
      <c r="R318" s="530"/>
      <c r="S318" s="530"/>
      <c r="T318" s="530"/>
      <c r="U318" s="530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18" t="s">
        <v>234</v>
      </c>
      <c r="B319" s="619"/>
      <c r="C319" s="537" t="s">
        <v>202</v>
      </c>
      <c r="D319" s="143"/>
      <c r="E319" s="143"/>
      <c r="F319" s="144"/>
      <c r="G319" s="143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29"/>
      <c r="D320" s="108">
        <v>3.65</v>
      </c>
      <c r="E320" s="108"/>
      <c r="F320" s="153"/>
      <c r="G320" s="108"/>
      <c r="H320" s="539">
        <f t="shared" ref="H320:H333" si="144">D320*G320</f>
        <v>0</v>
      </c>
      <c r="I320" s="129"/>
      <c r="J320" s="130" t="str">
        <f t="array" ref="J320">IF(ISERROR(G320/I320),"",G320/I320)</f>
        <v/>
      </c>
      <c r="K320" s="539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30"/>
      <c r="P320" s="530"/>
      <c r="Q320" s="530"/>
      <c r="R320" s="530"/>
      <c r="S320" s="530"/>
      <c r="T320" s="530"/>
      <c r="U320" s="530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529"/>
      <c r="D321" s="108">
        <v>6.58</v>
      </c>
      <c r="E321" s="108"/>
      <c r="F321" s="127">
        <v>42738</v>
      </c>
      <c r="G321" s="111">
        <v>5</v>
      </c>
      <c r="H321" s="539">
        <f t="shared" si="144"/>
        <v>32.9</v>
      </c>
      <c r="I321" s="129">
        <v>1</v>
      </c>
      <c r="J321" s="130">
        <f t="array" ref="J321">IF(ISERROR(G321/I321),"",G321/I321)</f>
        <v>5</v>
      </c>
      <c r="K321" s="131">
        <f t="array" ref="K321">IF(ISERROR(G321/L321),"",G321/L321)</f>
        <v>1</v>
      </c>
      <c r="L321" s="129">
        <v>5</v>
      </c>
      <c r="M321" s="109">
        <f t="shared" si="145"/>
        <v>0</v>
      </c>
      <c r="N321" s="130">
        <f t="shared" si="146"/>
        <v>0</v>
      </c>
      <c r="O321" s="530"/>
      <c r="P321" s="530"/>
      <c r="Q321" s="530"/>
      <c r="R321" s="530"/>
      <c r="S321" s="530"/>
      <c r="T321" s="530"/>
      <c r="U321" s="530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29"/>
      <c r="D322" s="108">
        <v>7.8</v>
      </c>
      <c r="E322" s="108"/>
      <c r="F322" s="127">
        <v>42745</v>
      </c>
      <c r="G322" s="108">
        <f>32+31+32*2-32</f>
        <v>95</v>
      </c>
      <c r="H322" s="539">
        <f t="shared" si="144"/>
        <v>741</v>
      </c>
      <c r="I322" s="129">
        <v>28</v>
      </c>
      <c r="J322" s="130">
        <f t="array" ref="J322">IF(ISERROR(G322/I322),"",G322/I322)</f>
        <v>3.3928571428571428</v>
      </c>
      <c r="K322" s="131">
        <f t="array" ref="K322">IF(ISERROR(G322/L322),"",G322/L322)</f>
        <v>20.65217391304348</v>
      </c>
      <c r="L322" s="129">
        <v>4.5999999999999996</v>
      </c>
      <c r="M322" s="109">
        <f t="shared" si="145"/>
        <v>7.3478260869565197</v>
      </c>
      <c r="N322" s="130">
        <f t="shared" si="146"/>
        <v>0</v>
      </c>
      <c r="O322" s="530"/>
      <c r="P322" s="530"/>
      <c r="Q322" s="530"/>
      <c r="R322" s="530"/>
      <c r="S322" s="530"/>
      <c r="T322" s="530"/>
      <c r="U322" s="530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529"/>
      <c r="D323" s="108">
        <v>4.4000000000000004</v>
      </c>
      <c r="E323" s="108"/>
      <c r="F323" s="127">
        <v>42745</v>
      </c>
      <c r="G323" s="108">
        <f>38+33</f>
        <v>71</v>
      </c>
      <c r="H323" s="539">
        <f t="shared" si="144"/>
        <v>312.40000000000003</v>
      </c>
      <c r="I323" s="129">
        <v>12</v>
      </c>
      <c r="J323" s="130">
        <f t="array" ref="J323">IF(ISERROR(G323/I323),"",G323/I323)</f>
        <v>5.916666666666667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-0.2413793103448274</v>
      </c>
      <c r="N323" s="130">
        <f t="shared" si="146"/>
        <v>0</v>
      </c>
      <c r="O323" s="530"/>
      <c r="P323" s="530"/>
      <c r="Q323" s="530"/>
      <c r="R323" s="530"/>
      <c r="S323" s="530"/>
      <c r="T323" s="530"/>
      <c r="U323" s="530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29"/>
      <c r="D324" s="108"/>
      <c r="E324" s="108"/>
      <c r="F324" s="127"/>
      <c r="G324" s="108"/>
      <c r="H324" s="539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30"/>
      <c r="P324" s="530"/>
      <c r="Q324" s="530"/>
      <c r="R324" s="530"/>
      <c r="S324" s="530"/>
      <c r="T324" s="530"/>
      <c r="U324" s="530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29" t="s">
        <v>239</v>
      </c>
      <c r="C325" s="529" t="s">
        <v>179</v>
      </c>
      <c r="D325" s="108">
        <v>6.04</v>
      </c>
      <c r="E325" s="108"/>
      <c r="F325" s="127"/>
      <c r="G325" s="108"/>
      <c r="H325" s="539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7" si="148">IF(ISERROR(I325-K325),"",I325-K325)</f>
        <v>0</v>
      </c>
      <c r="N325" s="130">
        <f t="shared" ref="N325:N326" si="149">SUM(O325:U325)</f>
        <v>0</v>
      </c>
      <c r="O325" s="530"/>
      <c r="P325" s="530"/>
      <c r="Q325" s="530"/>
      <c r="R325" s="530"/>
      <c r="S325" s="530"/>
      <c r="T325" s="530"/>
      <c r="U325" s="530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29" t="s">
        <v>239</v>
      </c>
      <c r="C326" s="529" t="s">
        <v>186</v>
      </c>
      <c r="D326" s="108">
        <v>6.04</v>
      </c>
      <c r="E326" s="108"/>
      <c r="F326" s="127"/>
      <c r="G326" s="108"/>
      <c r="H326" s="539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30"/>
      <c r="P326" s="530"/>
      <c r="Q326" s="530"/>
      <c r="R326" s="530"/>
      <c r="S326" s="530"/>
      <c r="T326" s="530"/>
      <c r="U326" s="530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29" t="s">
        <v>443</v>
      </c>
      <c r="C327" s="529" t="s">
        <v>179</v>
      </c>
      <c r="D327" s="108">
        <v>6</v>
      </c>
      <c r="E327" s="108"/>
      <c r="F327" s="127">
        <v>42746</v>
      </c>
      <c r="G327" s="108">
        <f>42+42+2</f>
        <v>86</v>
      </c>
      <c r="H327" s="539">
        <f t="shared" si="144"/>
        <v>516</v>
      </c>
      <c r="I327" s="129">
        <f>11.5*4</f>
        <v>46</v>
      </c>
      <c r="J327" s="130">
        <f t="array" ref="J327">IF(ISERROR(G327/I327),"",G327/I327)</f>
        <v>1.8695652173913044</v>
      </c>
      <c r="K327" s="131">
        <f t="array" ref="K327">IF(ISERROR(G327/L327),"",G327/L327)</f>
        <v>14.827586206896552</v>
      </c>
      <c r="L327" s="129">
        <v>5.8</v>
      </c>
      <c r="M327" s="109">
        <f t="shared" si="148"/>
        <v>31.172413793103448</v>
      </c>
      <c r="N327" s="130"/>
      <c r="O327" s="530"/>
      <c r="P327" s="530"/>
      <c r="Q327" s="530"/>
      <c r="R327" s="530"/>
      <c r="S327" s="530"/>
      <c r="T327" s="530"/>
      <c r="U327" s="53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529" t="s">
        <v>443</v>
      </c>
      <c r="C328" s="529" t="s">
        <v>60</v>
      </c>
      <c r="D328" s="108">
        <v>6</v>
      </c>
      <c r="E328" s="108"/>
      <c r="F328" s="127"/>
      <c r="G328" s="108"/>
      <c r="H328" s="539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530"/>
      <c r="P328" s="530"/>
      <c r="Q328" s="530"/>
      <c r="R328" s="530"/>
      <c r="S328" s="530"/>
      <c r="T328" s="530"/>
      <c r="U328" s="530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31" t="s">
        <v>240</v>
      </c>
      <c r="C329" s="126"/>
      <c r="D329" s="108">
        <v>7.3</v>
      </c>
      <c r="E329" s="108"/>
      <c r="F329" s="127"/>
      <c r="G329" s="108"/>
      <c r="H329" s="539">
        <f t="shared" si="144"/>
        <v>0</v>
      </c>
      <c r="I329" s="129"/>
      <c r="J329" s="130"/>
      <c r="K329" s="131"/>
      <c r="L329" s="129"/>
      <c r="M329" s="109"/>
      <c r="N329" s="130"/>
      <c r="O329" s="530"/>
      <c r="P329" s="530"/>
      <c r="Q329" s="530"/>
      <c r="R329" s="530"/>
      <c r="S329" s="530"/>
      <c r="T329" s="530"/>
      <c r="U329" s="53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31" t="s">
        <v>241</v>
      </c>
      <c r="C330" s="126"/>
      <c r="D330" s="108">
        <f>78*120/1000</f>
        <v>9.36</v>
      </c>
      <c r="E330" s="108"/>
      <c r="F330" s="127"/>
      <c r="G330" s="108"/>
      <c r="H330" s="539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30"/>
      <c r="P330" s="530"/>
      <c r="Q330" s="530"/>
      <c r="R330" s="530"/>
      <c r="S330" s="530"/>
      <c r="T330" s="530"/>
      <c r="U330" s="530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31" t="s">
        <v>242</v>
      </c>
      <c r="C331" s="126"/>
      <c r="D331" s="108">
        <v>4.5</v>
      </c>
      <c r="E331" s="108"/>
      <c r="F331" s="127"/>
      <c r="G331" s="108"/>
      <c r="H331" s="539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30"/>
      <c r="P331" s="530"/>
      <c r="Q331" s="530"/>
      <c r="R331" s="530"/>
      <c r="S331" s="530"/>
      <c r="T331" s="530"/>
      <c r="U331" s="530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31" t="s">
        <v>243</v>
      </c>
      <c r="C332" s="126"/>
      <c r="D332" s="108">
        <v>4.5</v>
      </c>
      <c r="E332" s="108"/>
      <c r="F332" s="127"/>
      <c r="G332" s="108"/>
      <c r="H332" s="539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30"/>
      <c r="P332" s="530"/>
      <c r="Q332" s="530"/>
      <c r="R332" s="530"/>
      <c r="S332" s="530"/>
      <c r="T332" s="530"/>
      <c r="U332" s="530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08"/>
      <c r="H333" s="539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30"/>
      <c r="P333" s="530"/>
      <c r="Q333" s="530"/>
      <c r="R333" s="530"/>
      <c r="S333" s="530"/>
      <c r="T333" s="530"/>
      <c r="U333" s="530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537" t="s">
        <v>202</v>
      </c>
      <c r="D334" s="143"/>
      <c r="E334" s="143"/>
      <c r="F334" s="144"/>
      <c r="G334" s="143">
        <f>SUM(G320:G333)</f>
        <v>257</v>
      </c>
      <c r="H334" s="146">
        <f>SUM(H320:H330)</f>
        <v>1602.3</v>
      </c>
      <c r="I334" s="146">
        <f>SUM(I320:I333)</f>
        <v>87</v>
      </c>
      <c r="J334" s="130">
        <f t="array" ref="J334">IF(ISERROR(G334/I334),"",G334/I334)</f>
        <v>2.9540229885057472</v>
      </c>
      <c r="K334" s="146">
        <f>SUM(K320:K330)</f>
        <v>48.721139430284865</v>
      </c>
      <c r="L334" s="147"/>
      <c r="M334" s="150">
        <f t="shared" ref="M334:AA334" si="155">SUM(M320:M330)</f>
        <v>38.278860569715143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553">
        <f>SUM(G199,G257,G292,G308,G319,G334)</f>
        <v>5618</v>
      </c>
      <c r="H335" s="154">
        <f>SUM(H199,H257,H292,H308,H319,H334)</f>
        <v>28678.77</v>
      </c>
      <c r="I335" s="154">
        <f>SUM(I199,I257,I292,I308,I319,I334)</f>
        <v>477.5</v>
      </c>
      <c r="J335" s="155">
        <f t="array" ref="J335">IF(ISERROR(G335/I335),"",G335/I335)</f>
        <v>11.765445026178011</v>
      </c>
      <c r="K335" s="154">
        <f>SUM(K199,K257,K292,K308,K319,K334)</f>
        <v>312.46970497244376</v>
      </c>
      <c r="L335" s="155">
        <f>IF(ISERROR(G335/K335),"",G335/K335)</f>
        <v>17.979342991012338</v>
      </c>
      <c r="M335" s="154">
        <f t="shared" ref="M335:AA335" si="156">SUM(M199,M257,M292,M308,M319,M334)</f>
        <v>165.03029502755626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3" t="s">
        <v>476</v>
      </c>
      <c r="B336" s="536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536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536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536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536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536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536">
        <f>G335</f>
        <v>5618</v>
      </c>
      <c r="C342" s="638" t="s">
        <v>269</v>
      </c>
      <c r="D342" s="639"/>
      <c r="E342" s="631">
        <f>H335</f>
        <v>28678.77</v>
      </c>
      <c r="F342" s="631"/>
      <c r="G342" s="631" t="s">
        <v>270</v>
      </c>
      <c r="H342" s="631"/>
      <c r="I342" s="640">
        <f>L335</f>
        <v>17.979342991012338</v>
      </c>
      <c r="J342" s="640"/>
      <c r="K342" s="628" t="s">
        <v>271</v>
      </c>
      <c r="L342" s="628"/>
      <c r="M342" s="640">
        <f>J335</f>
        <v>11.765445026178011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536">
        <f>I335+C341</f>
        <v>479.5</v>
      </c>
      <c r="C343" s="641" t="s">
        <v>251</v>
      </c>
      <c r="D343" s="642"/>
      <c r="E343" s="643">
        <f>K335+I341</f>
        <v>342.46970497244376</v>
      </c>
      <c r="F343" s="643"/>
      <c r="G343" s="631" t="s">
        <v>274</v>
      </c>
      <c r="H343" s="631"/>
      <c r="I343" s="640">
        <f>B343-E343</f>
        <v>137.03029502755624</v>
      </c>
      <c r="J343" s="640"/>
      <c r="K343" s="628" t="s">
        <v>275</v>
      </c>
      <c r="L343" s="628"/>
      <c r="M343" s="632">
        <f>IF(ISERROR(I343/E343),"",I343/E343)</f>
        <v>0.40012384464366607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536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547" t="s">
        <v>550</v>
      </c>
      <c r="H348" s="529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531" t="s">
        <v>178</v>
      </c>
      <c r="C349" s="126" t="s">
        <v>179</v>
      </c>
      <c r="D349" s="108">
        <v>5.03</v>
      </c>
      <c r="E349" s="108"/>
      <c r="F349" s="127"/>
      <c r="G349" s="108"/>
      <c r="H349" s="539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30"/>
      <c r="P349" s="530"/>
      <c r="Q349" s="530"/>
      <c r="R349" s="530"/>
      <c r="S349" s="530"/>
      <c r="T349" s="530"/>
      <c r="U349" s="530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08"/>
      <c r="H350" s="539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30"/>
      <c r="P350" s="530"/>
      <c r="Q350" s="530"/>
      <c r="R350" s="530"/>
      <c r="S350" s="530"/>
      <c r="T350" s="530"/>
      <c r="U350" s="530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08"/>
      <c r="H351" s="539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30"/>
      <c r="P351" s="530"/>
      <c r="Q351" s="530"/>
      <c r="R351" s="530"/>
      <c r="S351" s="530"/>
      <c r="T351" s="530"/>
      <c r="U351" s="530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08"/>
      <c r="H352" s="539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30"/>
      <c r="P352" s="530"/>
      <c r="Q352" s="530"/>
      <c r="R352" s="530"/>
      <c r="S352" s="530"/>
      <c r="T352" s="530"/>
      <c r="U352" s="530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08"/>
      <c r="H353" s="539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30"/>
      <c r="P353" s="530"/>
      <c r="Q353" s="530"/>
      <c r="R353" s="530"/>
      <c r="S353" s="530"/>
      <c r="T353" s="530"/>
      <c r="U353" s="530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552"/>
      <c r="H354" s="539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30"/>
      <c r="P354" s="530"/>
      <c r="Q354" s="530"/>
      <c r="R354" s="530"/>
      <c r="S354" s="530"/>
      <c r="T354" s="530"/>
      <c r="U354" s="530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08"/>
      <c r="H355" s="539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30"/>
      <c r="P355" s="530"/>
      <c r="Q355" s="530"/>
      <c r="R355" s="530"/>
      <c r="S355" s="530"/>
      <c r="T355" s="530"/>
      <c r="U355" s="530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08"/>
      <c r="H356" s="539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30"/>
      <c r="P356" s="530"/>
      <c r="Q356" s="530"/>
      <c r="R356" s="530"/>
      <c r="S356" s="530"/>
      <c r="T356" s="530"/>
      <c r="U356" s="530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08"/>
      <c r="H357" s="539">
        <f t="shared" si="157"/>
        <v>0</v>
      </c>
      <c r="I357" s="539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30"/>
      <c r="P357" s="530"/>
      <c r="Q357" s="530"/>
      <c r="R357" s="530"/>
      <c r="S357" s="530"/>
      <c r="T357" s="530"/>
      <c r="U357" s="530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08"/>
      <c r="H358" s="539">
        <f t="shared" si="157"/>
        <v>0</v>
      </c>
      <c r="I358" s="539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30"/>
      <c r="P358" s="530"/>
      <c r="Q358" s="530"/>
      <c r="R358" s="530"/>
      <c r="S358" s="530"/>
      <c r="T358" s="530"/>
      <c r="U358" s="530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08"/>
      <c r="H359" s="539">
        <f t="shared" si="157"/>
        <v>0</v>
      </c>
      <c r="I359" s="539"/>
      <c r="J359" s="130"/>
      <c r="K359" s="131"/>
      <c r="L359" s="129"/>
      <c r="M359" s="109"/>
      <c r="N359" s="130"/>
      <c r="O359" s="530"/>
      <c r="P359" s="530"/>
      <c r="Q359" s="530"/>
      <c r="R359" s="530"/>
      <c r="S359" s="530"/>
      <c r="T359" s="530"/>
      <c r="U359" s="530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08"/>
      <c r="H360" s="539">
        <f t="shared" si="157"/>
        <v>0</v>
      </c>
      <c r="I360" s="539"/>
      <c r="J360" s="130"/>
      <c r="K360" s="131"/>
      <c r="L360" s="129"/>
      <c r="M360" s="109"/>
      <c r="N360" s="130"/>
      <c r="O360" s="530"/>
      <c r="P360" s="530"/>
      <c r="Q360" s="530"/>
      <c r="R360" s="530"/>
      <c r="S360" s="530"/>
      <c r="T360" s="530"/>
      <c r="U360" s="530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08"/>
      <c r="H361" s="539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30"/>
      <c r="P361" s="530"/>
      <c r="Q361" s="530"/>
      <c r="R361" s="530"/>
      <c r="S361" s="530"/>
      <c r="T361" s="530"/>
      <c r="U361" s="530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08"/>
      <c r="H362" s="539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30"/>
      <c r="P362" s="530"/>
      <c r="Q362" s="530"/>
      <c r="R362" s="530"/>
      <c r="S362" s="530"/>
      <c r="T362" s="530"/>
      <c r="U362" s="530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08"/>
      <c r="H363" s="539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30"/>
      <c r="P363" s="530"/>
      <c r="Q363" s="530"/>
      <c r="R363" s="530"/>
      <c r="S363" s="530"/>
      <c r="T363" s="530"/>
      <c r="U363" s="530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29" t="s">
        <v>190</v>
      </c>
      <c r="D364" s="108">
        <v>4.8</v>
      </c>
      <c r="E364" s="108"/>
      <c r="F364" s="127"/>
      <c r="G364" s="108"/>
      <c r="H364" s="539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30"/>
      <c r="P364" s="530"/>
      <c r="Q364" s="530"/>
      <c r="R364" s="530"/>
      <c r="S364" s="530"/>
      <c r="T364" s="530"/>
      <c r="U364" s="53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29" t="s">
        <v>187</v>
      </c>
      <c r="D365" s="108">
        <v>4.8</v>
      </c>
      <c r="E365" s="108"/>
      <c r="F365" s="127"/>
      <c r="G365" s="108"/>
      <c r="H365" s="539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30"/>
      <c r="P365" s="530"/>
      <c r="Q365" s="530"/>
      <c r="R365" s="530"/>
      <c r="S365" s="530"/>
      <c r="T365" s="530"/>
      <c r="U365" s="53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29" t="s">
        <v>179</v>
      </c>
      <c r="D366" s="108">
        <v>4.8</v>
      </c>
      <c r="E366" s="108"/>
      <c r="F366" s="127"/>
      <c r="G366" s="108"/>
      <c r="H366" s="539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30"/>
      <c r="P366" s="530"/>
      <c r="Q366" s="530"/>
      <c r="R366" s="530"/>
      <c r="S366" s="530"/>
      <c r="T366" s="530"/>
      <c r="U366" s="530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29" t="s">
        <v>199</v>
      </c>
      <c r="D367" s="108">
        <v>4.8</v>
      </c>
      <c r="E367" s="108"/>
      <c r="F367" s="127"/>
      <c r="G367" s="108"/>
      <c r="H367" s="539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30"/>
      <c r="P367" s="530"/>
      <c r="Q367" s="530"/>
      <c r="R367" s="530"/>
      <c r="S367" s="530"/>
      <c r="T367" s="530"/>
      <c r="U367" s="530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08"/>
      <c r="H368" s="539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30"/>
      <c r="P368" s="530"/>
      <c r="Q368" s="530"/>
      <c r="R368" s="530"/>
      <c r="S368" s="530"/>
      <c r="T368" s="530"/>
      <c r="U368" s="530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08"/>
      <c r="H369" s="539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30"/>
      <c r="P369" s="530"/>
      <c r="Q369" s="530"/>
      <c r="R369" s="530"/>
      <c r="S369" s="530"/>
      <c r="T369" s="530"/>
      <c r="U369" s="530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537" t="s">
        <v>202</v>
      </c>
      <c r="D370" s="143"/>
      <c r="E370" s="143"/>
      <c r="F370" s="144"/>
      <c r="G370" s="143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31" t="s">
        <v>206</v>
      </c>
      <c r="C371" s="126" t="s">
        <v>199</v>
      </c>
      <c r="D371" s="108">
        <v>5.03</v>
      </c>
      <c r="E371" s="108"/>
      <c r="F371" s="127"/>
      <c r="G371" s="108"/>
      <c r="H371" s="539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34"/>
      <c r="P371" s="534"/>
      <c r="Q371" s="534"/>
      <c r="R371" s="534"/>
      <c r="S371" s="534"/>
      <c r="T371" s="534"/>
      <c r="U371" s="534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31" t="s">
        <v>425</v>
      </c>
      <c r="C372" s="187" t="s">
        <v>427</v>
      </c>
      <c r="D372" s="108">
        <v>5.03</v>
      </c>
      <c r="E372" s="108"/>
      <c r="F372" s="127"/>
      <c r="G372" s="108"/>
      <c r="H372" s="539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34"/>
      <c r="P372" s="534"/>
      <c r="Q372" s="534"/>
      <c r="R372" s="534"/>
      <c r="S372" s="534"/>
      <c r="T372" s="534"/>
      <c r="U372" s="534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31" t="s">
        <v>206</v>
      </c>
      <c r="C373" s="126" t="s">
        <v>186</v>
      </c>
      <c r="D373" s="108">
        <v>5.03</v>
      </c>
      <c r="E373" s="108"/>
      <c r="F373" s="127"/>
      <c r="G373" s="108"/>
      <c r="H373" s="539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34"/>
      <c r="P373" s="534"/>
      <c r="Q373" s="534"/>
      <c r="R373" s="534"/>
      <c r="S373" s="534"/>
      <c r="T373" s="534"/>
      <c r="U373" s="534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31" t="s">
        <v>206</v>
      </c>
      <c r="C374" s="126" t="s">
        <v>203</v>
      </c>
      <c r="D374" s="108">
        <v>5.03</v>
      </c>
      <c r="E374" s="108"/>
      <c r="F374" s="127"/>
      <c r="G374" s="108"/>
      <c r="H374" s="539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34"/>
      <c r="P374" s="534"/>
      <c r="Q374" s="534"/>
      <c r="R374" s="534"/>
      <c r="S374" s="534"/>
      <c r="T374" s="534"/>
      <c r="U374" s="534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31" t="s">
        <v>206</v>
      </c>
      <c r="C375" s="126" t="s">
        <v>207</v>
      </c>
      <c r="D375" s="108">
        <v>5.03</v>
      </c>
      <c r="E375" s="108"/>
      <c r="F375" s="127"/>
      <c r="G375" s="108"/>
      <c r="H375" s="539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34"/>
      <c r="P375" s="534"/>
      <c r="Q375" s="534"/>
      <c r="R375" s="534"/>
      <c r="S375" s="534"/>
      <c r="T375" s="534"/>
      <c r="U375" s="534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31" t="s">
        <v>414</v>
      </c>
      <c r="C376" s="187" t="s">
        <v>415</v>
      </c>
      <c r="D376" s="108"/>
      <c r="E376" s="108"/>
      <c r="F376" s="127"/>
      <c r="G376" s="108"/>
      <c r="H376" s="539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34"/>
      <c r="P376" s="534"/>
      <c r="Q376" s="534"/>
      <c r="R376" s="534"/>
      <c r="S376" s="534"/>
      <c r="T376" s="534"/>
      <c r="U376" s="53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31" t="s">
        <v>414</v>
      </c>
      <c r="C377" s="187" t="s">
        <v>416</v>
      </c>
      <c r="D377" s="108"/>
      <c r="E377" s="108"/>
      <c r="F377" s="127"/>
      <c r="G377" s="108"/>
      <c r="H377" s="539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34"/>
      <c r="P377" s="534"/>
      <c r="Q377" s="534"/>
      <c r="R377" s="534"/>
      <c r="S377" s="534"/>
      <c r="T377" s="534"/>
      <c r="U377" s="534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31" t="s">
        <v>414</v>
      </c>
      <c r="C378" s="187" t="s">
        <v>61</v>
      </c>
      <c r="D378" s="108"/>
      <c r="E378" s="108"/>
      <c r="F378" s="127"/>
      <c r="G378" s="108"/>
      <c r="H378" s="539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34"/>
      <c r="P378" s="534"/>
      <c r="Q378" s="534"/>
      <c r="R378" s="534"/>
      <c r="S378" s="534"/>
      <c r="T378" s="534"/>
      <c r="U378" s="534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31" t="s">
        <v>208</v>
      </c>
      <c r="C379" s="126" t="s">
        <v>179</v>
      </c>
      <c r="D379" s="108">
        <v>5.08</v>
      </c>
      <c r="E379" s="108"/>
      <c r="F379" s="127"/>
      <c r="G379" s="108"/>
      <c r="H379" s="539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34"/>
      <c r="P379" s="534"/>
      <c r="Q379" s="534"/>
      <c r="R379" s="534"/>
      <c r="S379" s="534"/>
      <c r="T379" s="534"/>
      <c r="U379" s="534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31" t="s">
        <v>208</v>
      </c>
      <c r="C380" s="126" t="s">
        <v>204</v>
      </c>
      <c r="D380" s="108">
        <v>5.08</v>
      </c>
      <c r="E380" s="108"/>
      <c r="F380" s="127"/>
      <c r="G380" s="108"/>
      <c r="H380" s="539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34"/>
      <c r="P380" s="534"/>
      <c r="Q380" s="534"/>
      <c r="R380" s="534"/>
      <c r="S380" s="534"/>
      <c r="T380" s="534"/>
      <c r="U380" s="534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31" t="s">
        <v>208</v>
      </c>
      <c r="C381" s="126" t="s">
        <v>205</v>
      </c>
      <c r="D381" s="108">
        <v>5.08</v>
      </c>
      <c r="E381" s="108"/>
      <c r="F381" s="127"/>
      <c r="G381" s="108"/>
      <c r="H381" s="539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34"/>
      <c r="P381" s="534"/>
      <c r="Q381" s="534"/>
      <c r="R381" s="534"/>
      <c r="S381" s="534"/>
      <c r="T381" s="534"/>
      <c r="U381" s="534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31" t="s">
        <v>208</v>
      </c>
      <c r="C382" s="126" t="s">
        <v>186</v>
      </c>
      <c r="D382" s="108">
        <v>5.08</v>
      </c>
      <c r="E382" s="108"/>
      <c r="F382" s="127"/>
      <c r="G382" s="108"/>
      <c r="H382" s="539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34"/>
      <c r="P382" s="534"/>
      <c r="Q382" s="534"/>
      <c r="R382" s="534"/>
      <c r="S382" s="534"/>
      <c r="T382" s="534"/>
      <c r="U382" s="534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31" t="s">
        <v>208</v>
      </c>
      <c r="C383" s="126" t="s">
        <v>203</v>
      </c>
      <c r="D383" s="108">
        <v>5.08</v>
      </c>
      <c r="E383" s="108"/>
      <c r="F383" s="127"/>
      <c r="G383" s="108"/>
      <c r="H383" s="539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34"/>
      <c r="P383" s="534"/>
      <c r="Q383" s="534"/>
      <c r="R383" s="534"/>
      <c r="S383" s="534"/>
      <c r="T383" s="534"/>
      <c r="U383" s="534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31" t="s">
        <v>208</v>
      </c>
      <c r="C384" s="126" t="s">
        <v>199</v>
      </c>
      <c r="D384" s="108">
        <v>5.08</v>
      </c>
      <c r="E384" s="108"/>
      <c r="F384" s="127"/>
      <c r="G384" s="108"/>
      <c r="H384" s="539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30"/>
      <c r="P384" s="530"/>
      <c r="Q384" s="530"/>
      <c r="R384" s="530"/>
      <c r="S384" s="530"/>
      <c r="T384" s="530"/>
      <c r="U384" s="530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31" t="s">
        <v>208</v>
      </c>
      <c r="C385" s="126" t="s">
        <v>187</v>
      </c>
      <c r="D385" s="108">
        <v>5.08</v>
      </c>
      <c r="E385" s="108"/>
      <c r="F385" s="127"/>
      <c r="G385" s="108"/>
      <c r="H385" s="539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34"/>
      <c r="P385" s="534"/>
      <c r="Q385" s="534"/>
      <c r="R385" s="534"/>
      <c r="S385" s="534"/>
      <c r="T385" s="534"/>
      <c r="U385" s="534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31" t="s">
        <v>208</v>
      </c>
      <c r="C386" s="126" t="s">
        <v>207</v>
      </c>
      <c r="D386" s="108">
        <v>5.08</v>
      </c>
      <c r="E386" s="108"/>
      <c r="F386" s="127"/>
      <c r="G386" s="108"/>
      <c r="H386" s="539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30"/>
      <c r="P386" s="530"/>
      <c r="Q386" s="530"/>
      <c r="R386" s="530"/>
      <c r="S386" s="530"/>
      <c r="T386" s="530"/>
      <c r="U386" s="530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31" t="s">
        <v>209</v>
      </c>
      <c r="C387" s="126" t="s">
        <v>194</v>
      </c>
      <c r="D387" s="108">
        <v>5.03</v>
      </c>
      <c r="E387" s="108"/>
      <c r="F387" s="127"/>
      <c r="G387" s="108"/>
      <c r="H387" s="539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34"/>
      <c r="P387" s="534"/>
      <c r="Q387" s="534"/>
      <c r="R387" s="534"/>
      <c r="S387" s="534"/>
      <c r="T387" s="534"/>
      <c r="U387" s="534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31" t="s">
        <v>209</v>
      </c>
      <c r="C388" s="126" t="s">
        <v>179</v>
      </c>
      <c r="D388" s="108">
        <v>5.03</v>
      </c>
      <c r="E388" s="108"/>
      <c r="F388" s="127"/>
      <c r="G388" s="108"/>
      <c r="H388" s="539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34"/>
      <c r="P388" s="534"/>
      <c r="Q388" s="534"/>
      <c r="R388" s="534"/>
      <c r="S388" s="534"/>
      <c r="T388" s="534"/>
      <c r="U388" s="534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31" t="s">
        <v>209</v>
      </c>
      <c r="C389" s="126" t="s">
        <v>195</v>
      </c>
      <c r="D389" s="108">
        <v>5.03</v>
      </c>
      <c r="E389" s="108"/>
      <c r="F389" s="127"/>
      <c r="G389" s="108"/>
      <c r="H389" s="539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34"/>
      <c r="P389" s="534"/>
      <c r="Q389" s="534"/>
      <c r="R389" s="534"/>
      <c r="S389" s="534"/>
      <c r="T389" s="534"/>
      <c r="U389" s="534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31" t="s">
        <v>209</v>
      </c>
      <c r="C390" s="126" t="s">
        <v>204</v>
      </c>
      <c r="D390" s="108">
        <v>5.03</v>
      </c>
      <c r="E390" s="108"/>
      <c r="F390" s="127"/>
      <c r="G390" s="108"/>
      <c r="H390" s="539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34"/>
      <c r="P390" s="534"/>
      <c r="Q390" s="534"/>
      <c r="R390" s="534"/>
      <c r="S390" s="534"/>
      <c r="T390" s="534"/>
      <c r="U390" s="534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31" t="s">
        <v>382</v>
      </c>
      <c r="C391" s="187" t="s">
        <v>383</v>
      </c>
      <c r="D391" s="108">
        <v>5.03</v>
      </c>
      <c r="E391" s="108"/>
      <c r="F391" s="127"/>
      <c r="G391" s="108"/>
      <c r="H391" s="539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34"/>
      <c r="P391" s="534"/>
      <c r="Q391" s="534"/>
      <c r="R391" s="534"/>
      <c r="S391" s="534"/>
      <c r="T391" s="534"/>
      <c r="U391" s="53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31" t="s">
        <v>382</v>
      </c>
      <c r="C392" s="187" t="s">
        <v>384</v>
      </c>
      <c r="D392" s="108">
        <v>5.03</v>
      </c>
      <c r="E392" s="108"/>
      <c r="F392" s="127"/>
      <c r="G392" s="108"/>
      <c r="H392" s="539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34"/>
      <c r="P392" s="534"/>
      <c r="Q392" s="534"/>
      <c r="R392" s="534"/>
      <c r="S392" s="534"/>
      <c r="T392" s="534"/>
      <c r="U392" s="53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31" t="s">
        <v>382</v>
      </c>
      <c r="C393" s="187" t="s">
        <v>389</v>
      </c>
      <c r="D393" s="108">
        <v>5.03</v>
      </c>
      <c r="E393" s="108"/>
      <c r="F393" s="127"/>
      <c r="G393" s="108"/>
      <c r="H393" s="539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34"/>
      <c r="P393" s="534"/>
      <c r="Q393" s="534"/>
      <c r="R393" s="534"/>
      <c r="S393" s="534"/>
      <c r="T393" s="534"/>
      <c r="U393" s="53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31" t="s">
        <v>382</v>
      </c>
      <c r="C394" s="187" t="s">
        <v>391</v>
      </c>
      <c r="D394" s="108">
        <v>5.03</v>
      </c>
      <c r="E394" s="108"/>
      <c r="F394" s="127"/>
      <c r="G394" s="108"/>
      <c r="H394" s="539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34"/>
      <c r="P394" s="534"/>
      <c r="Q394" s="534"/>
      <c r="R394" s="534"/>
      <c r="S394" s="534"/>
      <c r="T394" s="534"/>
      <c r="U394" s="53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31" t="s">
        <v>418</v>
      </c>
      <c r="C395" s="187" t="s">
        <v>364</v>
      </c>
      <c r="D395" s="108">
        <v>5.03</v>
      </c>
      <c r="E395" s="108"/>
      <c r="F395" s="127"/>
      <c r="G395" s="108"/>
      <c r="H395" s="539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34"/>
      <c r="P395" s="534"/>
      <c r="Q395" s="534"/>
      <c r="R395" s="534"/>
      <c r="S395" s="534"/>
      <c r="T395" s="534"/>
      <c r="U395" s="53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31" t="s">
        <v>418</v>
      </c>
      <c r="C396" s="187" t="s">
        <v>365</v>
      </c>
      <c r="D396" s="108">
        <v>5.03</v>
      </c>
      <c r="E396" s="108"/>
      <c r="F396" s="127"/>
      <c r="G396" s="108"/>
      <c r="H396" s="539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34"/>
      <c r="P396" s="534"/>
      <c r="Q396" s="534"/>
      <c r="R396" s="534"/>
      <c r="S396" s="534"/>
      <c r="T396" s="534"/>
      <c r="U396" s="53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31" t="s">
        <v>418</v>
      </c>
      <c r="C397" s="187" t="s">
        <v>366</v>
      </c>
      <c r="D397" s="108">
        <v>5.03</v>
      </c>
      <c r="E397" s="108"/>
      <c r="F397" s="127"/>
      <c r="G397" s="108"/>
      <c r="H397" s="539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34"/>
      <c r="P397" s="534"/>
      <c r="Q397" s="534"/>
      <c r="R397" s="534"/>
      <c r="S397" s="534"/>
      <c r="T397" s="534"/>
      <c r="U397" s="534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31" t="s">
        <v>418</v>
      </c>
      <c r="C398" s="187" t="s">
        <v>367</v>
      </c>
      <c r="D398" s="108">
        <v>5.03</v>
      </c>
      <c r="E398" s="108"/>
      <c r="F398" s="127"/>
      <c r="G398" s="108"/>
      <c r="H398" s="539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34"/>
      <c r="P398" s="534"/>
      <c r="Q398" s="534"/>
      <c r="R398" s="534"/>
      <c r="S398" s="534"/>
      <c r="T398" s="534"/>
      <c r="U398" s="534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08"/>
      <c r="H399" s="539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30"/>
      <c r="P399" s="530"/>
      <c r="Q399" s="530"/>
      <c r="R399" s="530"/>
      <c r="S399" s="530"/>
      <c r="T399" s="530"/>
      <c r="U399" s="530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08"/>
      <c r="H400" s="539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30"/>
      <c r="P400" s="530"/>
      <c r="Q400" s="530"/>
      <c r="R400" s="530"/>
      <c r="S400" s="530"/>
      <c r="T400" s="530"/>
      <c r="U400" s="530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08"/>
      <c r="H401" s="539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30"/>
      <c r="P401" s="530"/>
      <c r="Q401" s="530"/>
      <c r="R401" s="530"/>
      <c r="S401" s="530"/>
      <c r="T401" s="530"/>
      <c r="U401" s="530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08"/>
      <c r="H402" s="539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30"/>
      <c r="P402" s="530"/>
      <c r="Q402" s="530"/>
      <c r="R402" s="530"/>
      <c r="S402" s="530"/>
      <c r="T402" s="530"/>
      <c r="U402" s="530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08"/>
      <c r="H403" s="539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30"/>
      <c r="P403" s="530"/>
      <c r="Q403" s="530"/>
      <c r="R403" s="530"/>
      <c r="S403" s="530"/>
      <c r="T403" s="530"/>
      <c r="U403" s="530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08"/>
      <c r="H404" s="539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30"/>
      <c r="P404" s="530"/>
      <c r="Q404" s="530"/>
      <c r="R404" s="530"/>
      <c r="S404" s="530"/>
      <c r="T404" s="530"/>
      <c r="U404" s="530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08"/>
      <c r="H405" s="539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30"/>
      <c r="P405" s="530"/>
      <c r="Q405" s="530"/>
      <c r="R405" s="530"/>
      <c r="S405" s="530"/>
      <c r="T405" s="530"/>
      <c r="U405" s="530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08"/>
      <c r="H406" s="539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30"/>
      <c r="P406" s="530"/>
      <c r="Q406" s="530"/>
      <c r="R406" s="530"/>
      <c r="S406" s="530"/>
      <c r="T406" s="530"/>
      <c r="U406" s="530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08"/>
      <c r="H407" s="539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30"/>
      <c r="P407" s="530"/>
      <c r="Q407" s="530"/>
      <c r="R407" s="530"/>
      <c r="S407" s="530"/>
      <c r="T407" s="530"/>
      <c r="U407" s="530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08"/>
      <c r="H408" s="539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30"/>
      <c r="P408" s="530"/>
      <c r="Q408" s="530"/>
      <c r="R408" s="530"/>
      <c r="S408" s="530"/>
      <c r="T408" s="530"/>
      <c r="U408" s="530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08"/>
      <c r="H409" s="539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30"/>
      <c r="P409" s="530"/>
      <c r="Q409" s="530"/>
      <c r="R409" s="530"/>
      <c r="S409" s="530"/>
      <c r="T409" s="530"/>
      <c r="U409" s="530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08"/>
      <c r="H410" s="539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30"/>
      <c r="P410" s="530"/>
      <c r="Q410" s="530"/>
      <c r="R410" s="530"/>
      <c r="S410" s="530"/>
      <c r="T410" s="530"/>
      <c r="U410" s="530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08"/>
      <c r="H411" s="539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30"/>
      <c r="P411" s="530"/>
      <c r="Q411" s="530"/>
      <c r="R411" s="530"/>
      <c r="S411" s="530"/>
      <c r="T411" s="530"/>
      <c r="U411" s="530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08"/>
      <c r="H412" s="539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30"/>
      <c r="P412" s="530"/>
      <c r="Q412" s="530"/>
      <c r="R412" s="530"/>
      <c r="S412" s="530"/>
      <c r="T412" s="530"/>
      <c r="U412" s="530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08"/>
      <c r="H413" s="539">
        <f t="shared" si="170"/>
        <v>0</v>
      </c>
      <c r="I413" s="129"/>
      <c r="J413" s="130"/>
      <c r="K413" s="131"/>
      <c r="L413" s="129"/>
      <c r="M413" s="109"/>
      <c r="N413" s="130"/>
      <c r="O413" s="530"/>
      <c r="P413" s="530"/>
      <c r="Q413" s="530"/>
      <c r="R413" s="530"/>
      <c r="S413" s="530"/>
      <c r="T413" s="530"/>
      <c r="U413" s="530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08"/>
      <c r="H414" s="539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30"/>
      <c r="P414" s="530"/>
      <c r="Q414" s="530"/>
      <c r="R414" s="530"/>
      <c r="S414" s="530"/>
      <c r="T414" s="530"/>
      <c r="U414" s="530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08"/>
      <c r="H415" s="539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30"/>
      <c r="P415" s="530"/>
      <c r="Q415" s="530"/>
      <c r="R415" s="530"/>
      <c r="S415" s="530"/>
      <c r="T415" s="530"/>
      <c r="U415" s="530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08"/>
      <c r="H416" s="539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30"/>
      <c r="P416" s="530"/>
      <c r="Q416" s="530"/>
      <c r="R416" s="530"/>
      <c r="S416" s="530"/>
      <c r="T416" s="530"/>
      <c r="U416" s="530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08"/>
      <c r="H417" s="539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30"/>
      <c r="P417" s="530"/>
      <c r="Q417" s="530"/>
      <c r="R417" s="530"/>
      <c r="S417" s="530"/>
      <c r="T417" s="530"/>
      <c r="U417" s="530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08"/>
      <c r="H418" s="539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30"/>
      <c r="P418" s="530"/>
      <c r="Q418" s="530"/>
      <c r="R418" s="530"/>
      <c r="S418" s="530"/>
      <c r="T418" s="530"/>
      <c r="U418" s="53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08"/>
      <c r="H419" s="539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30"/>
      <c r="P419" s="530"/>
      <c r="Q419" s="530"/>
      <c r="R419" s="530"/>
      <c r="S419" s="530"/>
      <c r="T419" s="530"/>
      <c r="U419" s="53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08"/>
      <c r="H420" s="539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30"/>
      <c r="P420" s="530"/>
      <c r="Q420" s="530"/>
      <c r="R420" s="530"/>
      <c r="S420" s="530"/>
      <c r="T420" s="530"/>
      <c r="U420" s="53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08"/>
      <c r="H421" s="539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30"/>
      <c r="P421" s="530"/>
      <c r="Q421" s="530"/>
      <c r="R421" s="530"/>
      <c r="S421" s="530"/>
      <c r="T421" s="530"/>
      <c r="U421" s="53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08"/>
      <c r="H422" s="539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30"/>
      <c r="P422" s="530"/>
      <c r="Q422" s="530"/>
      <c r="R422" s="530"/>
      <c r="S422" s="530"/>
      <c r="T422" s="530"/>
      <c r="U422" s="53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08"/>
      <c r="H423" s="539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30"/>
      <c r="P423" s="530"/>
      <c r="Q423" s="530"/>
      <c r="R423" s="530"/>
      <c r="S423" s="530"/>
      <c r="T423" s="530"/>
      <c r="U423" s="53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08"/>
      <c r="H424" s="539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30"/>
      <c r="P424" s="530"/>
      <c r="Q424" s="530"/>
      <c r="R424" s="530"/>
      <c r="S424" s="530"/>
      <c r="T424" s="530"/>
      <c r="U424" s="53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08"/>
      <c r="H425" s="539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30"/>
      <c r="P425" s="530"/>
      <c r="Q425" s="530"/>
      <c r="R425" s="530"/>
      <c r="S425" s="530"/>
      <c r="T425" s="530"/>
      <c r="U425" s="53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08"/>
      <c r="H426" s="539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30"/>
      <c r="P426" s="530"/>
      <c r="Q426" s="530"/>
      <c r="R426" s="530"/>
      <c r="S426" s="530"/>
      <c r="T426" s="530"/>
      <c r="U426" s="530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08"/>
      <c r="H427" s="539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30"/>
      <c r="P427" s="530"/>
      <c r="Q427" s="530"/>
      <c r="R427" s="530"/>
      <c r="S427" s="530"/>
      <c r="T427" s="530"/>
      <c r="U427" s="530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37" t="s">
        <v>202</v>
      </c>
      <c r="D428" s="143"/>
      <c r="E428" s="143"/>
      <c r="F428" s="144"/>
      <c r="G428" s="143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31" t="s">
        <v>217</v>
      </c>
      <c r="C429" s="126" t="s">
        <v>179</v>
      </c>
      <c r="D429" s="108">
        <v>5.03</v>
      </c>
      <c r="E429" s="108"/>
      <c r="F429" s="127"/>
      <c r="G429" s="108"/>
      <c r="H429" s="539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530"/>
      <c r="P429" s="530"/>
      <c r="Q429" s="530"/>
      <c r="R429" s="530"/>
      <c r="S429" s="530"/>
      <c r="T429" s="530"/>
      <c r="U429" s="530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31" t="s">
        <v>217</v>
      </c>
      <c r="C430" s="126" t="s">
        <v>186</v>
      </c>
      <c r="D430" s="108">
        <v>5.03</v>
      </c>
      <c r="E430" s="108"/>
      <c r="F430" s="127"/>
      <c r="G430" s="108"/>
      <c r="H430" s="539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30"/>
      <c r="P430" s="530"/>
      <c r="Q430" s="530"/>
      <c r="R430" s="530"/>
      <c r="S430" s="530"/>
      <c r="T430" s="530"/>
      <c r="U430" s="530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31" t="s">
        <v>217</v>
      </c>
      <c r="C431" s="126" t="s">
        <v>204</v>
      </c>
      <c r="D431" s="108">
        <v>5.03</v>
      </c>
      <c r="E431" s="108"/>
      <c r="F431" s="127"/>
      <c r="G431" s="108"/>
      <c r="H431" s="539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30"/>
      <c r="P431" s="530"/>
      <c r="Q431" s="530"/>
      <c r="R431" s="530"/>
      <c r="S431" s="530"/>
      <c r="T431" s="530"/>
      <c r="U431" s="530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08"/>
      <c r="H432" s="539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30"/>
      <c r="P432" s="530"/>
      <c r="Q432" s="530"/>
      <c r="R432" s="530"/>
      <c r="S432" s="530"/>
      <c r="T432" s="530"/>
      <c r="U432" s="530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08"/>
      <c r="H433" s="539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30"/>
      <c r="P433" s="530"/>
      <c r="Q433" s="530"/>
      <c r="R433" s="530"/>
      <c r="S433" s="530"/>
      <c r="T433" s="530"/>
      <c r="U433" s="530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08"/>
      <c r="H434" s="539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530"/>
      <c r="P434" s="530"/>
      <c r="Q434" s="530"/>
      <c r="R434" s="530"/>
      <c r="S434" s="530"/>
      <c r="T434" s="530"/>
      <c r="U434" s="530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08"/>
      <c r="H435" s="539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30"/>
      <c r="P435" s="530"/>
      <c r="Q435" s="530"/>
      <c r="R435" s="530"/>
      <c r="S435" s="530"/>
      <c r="T435" s="530"/>
      <c r="U435" s="530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08"/>
      <c r="H436" s="539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30"/>
      <c r="P436" s="530"/>
      <c r="Q436" s="530"/>
      <c r="R436" s="530"/>
      <c r="S436" s="530"/>
      <c r="T436" s="530"/>
      <c r="U436" s="530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08"/>
      <c r="H437" s="539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30"/>
      <c r="P437" s="530"/>
      <c r="Q437" s="530"/>
      <c r="R437" s="530"/>
      <c r="S437" s="530"/>
      <c r="T437" s="530"/>
      <c r="U437" s="53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08"/>
      <c r="H438" s="539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30"/>
      <c r="P438" s="530"/>
      <c r="Q438" s="530"/>
      <c r="R438" s="530"/>
      <c r="S438" s="530"/>
      <c r="T438" s="530"/>
      <c r="U438" s="53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08"/>
      <c r="H439" s="539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30"/>
      <c r="P439" s="530"/>
      <c r="Q439" s="530"/>
      <c r="R439" s="530"/>
      <c r="S439" s="530"/>
      <c r="T439" s="530"/>
      <c r="U439" s="530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08"/>
      <c r="H440" s="539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30"/>
      <c r="P440" s="530"/>
      <c r="Q440" s="530"/>
      <c r="R440" s="530"/>
      <c r="S440" s="530"/>
      <c r="T440" s="530"/>
      <c r="U440" s="530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08"/>
      <c r="H441" s="539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30"/>
      <c r="P441" s="530"/>
      <c r="Q441" s="530"/>
      <c r="R441" s="530"/>
      <c r="S441" s="530"/>
      <c r="T441" s="530"/>
      <c r="U441" s="530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08"/>
      <c r="H442" s="539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30"/>
      <c r="P442" s="530"/>
      <c r="Q442" s="530"/>
      <c r="R442" s="530"/>
      <c r="S442" s="530"/>
      <c r="T442" s="530"/>
      <c r="U442" s="530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08"/>
      <c r="H443" s="539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30"/>
      <c r="P443" s="530"/>
      <c r="Q443" s="530"/>
      <c r="R443" s="530"/>
      <c r="S443" s="530"/>
      <c r="T443" s="530"/>
      <c r="U443" s="530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08"/>
      <c r="H444" s="539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30"/>
      <c r="P444" s="530"/>
      <c r="Q444" s="530"/>
      <c r="R444" s="530"/>
      <c r="S444" s="530"/>
      <c r="T444" s="530"/>
      <c r="U444" s="530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31" t="s">
        <v>222</v>
      </c>
      <c r="C445" s="126" t="s">
        <v>181</v>
      </c>
      <c r="D445" s="108">
        <v>9.36</v>
      </c>
      <c r="E445" s="108"/>
      <c r="F445" s="127"/>
      <c r="G445" s="108"/>
      <c r="H445" s="539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30"/>
      <c r="P445" s="530"/>
      <c r="Q445" s="530"/>
      <c r="R445" s="530"/>
      <c r="S445" s="530"/>
      <c r="T445" s="530"/>
      <c r="U445" s="530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31" t="s">
        <v>222</v>
      </c>
      <c r="C446" s="126" t="s">
        <v>179</v>
      </c>
      <c r="D446" s="108">
        <v>9.36</v>
      </c>
      <c r="E446" s="108"/>
      <c r="F446" s="127"/>
      <c r="G446" s="108"/>
      <c r="H446" s="539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30"/>
      <c r="P446" s="530"/>
      <c r="Q446" s="530"/>
      <c r="R446" s="530"/>
      <c r="S446" s="530"/>
      <c r="T446" s="530"/>
      <c r="U446" s="530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31" t="s">
        <v>222</v>
      </c>
      <c r="C447" s="126" t="s">
        <v>221</v>
      </c>
      <c r="D447" s="108">
        <v>9.36</v>
      </c>
      <c r="E447" s="108"/>
      <c r="F447" s="127"/>
      <c r="G447" s="108"/>
      <c r="H447" s="539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30"/>
      <c r="P447" s="530"/>
      <c r="Q447" s="530"/>
      <c r="R447" s="530"/>
      <c r="S447" s="530"/>
      <c r="T447" s="530"/>
      <c r="U447" s="530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31" t="s">
        <v>222</v>
      </c>
      <c r="C448" s="126" t="s">
        <v>186</v>
      </c>
      <c r="D448" s="108">
        <v>9.36</v>
      </c>
      <c r="E448" s="108"/>
      <c r="F448" s="127"/>
      <c r="G448" s="108"/>
      <c r="H448" s="539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30"/>
      <c r="P448" s="530"/>
      <c r="Q448" s="530"/>
      <c r="R448" s="530"/>
      <c r="S448" s="530"/>
      <c r="T448" s="530"/>
      <c r="U448" s="530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31" t="s">
        <v>393</v>
      </c>
      <c r="C449" s="187" t="s">
        <v>395</v>
      </c>
      <c r="D449" s="108">
        <v>5</v>
      </c>
      <c r="E449" s="108"/>
      <c r="F449" s="127"/>
      <c r="G449" s="108"/>
      <c r="H449" s="539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30"/>
      <c r="P449" s="530"/>
      <c r="Q449" s="530"/>
      <c r="R449" s="530"/>
      <c r="S449" s="530"/>
      <c r="T449" s="530"/>
      <c r="U449" s="53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31" t="s">
        <v>393</v>
      </c>
      <c r="C450" s="187" t="s">
        <v>402</v>
      </c>
      <c r="D450" s="108">
        <v>5</v>
      </c>
      <c r="E450" s="108"/>
      <c r="F450" s="127"/>
      <c r="G450" s="108"/>
      <c r="H450" s="539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30"/>
      <c r="P450" s="530"/>
      <c r="Q450" s="530"/>
      <c r="R450" s="530"/>
      <c r="S450" s="530"/>
      <c r="T450" s="530"/>
      <c r="U450" s="53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31" t="s">
        <v>404</v>
      </c>
      <c r="C451" s="187" t="s">
        <v>405</v>
      </c>
      <c r="D451" s="108">
        <v>5</v>
      </c>
      <c r="E451" s="108"/>
      <c r="F451" s="127"/>
      <c r="G451" s="108"/>
      <c r="H451" s="539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530"/>
      <c r="P451" s="530"/>
      <c r="Q451" s="530"/>
      <c r="R451" s="530"/>
      <c r="S451" s="530"/>
      <c r="T451" s="530"/>
      <c r="U451" s="53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31" t="s">
        <v>342</v>
      </c>
      <c r="C452" s="187" t="s">
        <v>372</v>
      </c>
      <c r="D452" s="108">
        <v>5</v>
      </c>
      <c r="E452" s="108"/>
      <c r="F452" s="127"/>
      <c r="G452" s="108"/>
      <c r="H452" s="539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30"/>
      <c r="P452" s="530"/>
      <c r="Q452" s="530"/>
      <c r="R452" s="530"/>
      <c r="S452" s="530"/>
      <c r="T452" s="530"/>
      <c r="U452" s="53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31" t="s">
        <v>343</v>
      </c>
      <c r="C453" s="126" t="s">
        <v>345</v>
      </c>
      <c r="D453" s="108">
        <v>5</v>
      </c>
      <c r="E453" s="108"/>
      <c r="F453" s="127"/>
      <c r="G453" s="108"/>
      <c r="H453" s="539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30"/>
      <c r="P453" s="530"/>
      <c r="Q453" s="530"/>
      <c r="R453" s="530"/>
      <c r="S453" s="530"/>
      <c r="T453" s="530"/>
      <c r="U453" s="530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31" t="s">
        <v>343</v>
      </c>
      <c r="C454" s="126" t="s">
        <v>347</v>
      </c>
      <c r="D454" s="108">
        <v>5</v>
      </c>
      <c r="E454" s="108"/>
      <c r="F454" s="127"/>
      <c r="G454" s="108"/>
      <c r="H454" s="539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30"/>
      <c r="P454" s="530"/>
      <c r="Q454" s="530"/>
      <c r="R454" s="530"/>
      <c r="S454" s="530"/>
      <c r="T454" s="530"/>
      <c r="U454" s="530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08"/>
      <c r="H455" s="539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30"/>
      <c r="P455" s="530"/>
      <c r="Q455" s="530"/>
      <c r="R455" s="530"/>
      <c r="S455" s="530"/>
      <c r="T455" s="530"/>
      <c r="U455" s="530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08"/>
      <c r="H456" s="539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30"/>
      <c r="P456" s="530"/>
      <c r="Q456" s="530"/>
      <c r="R456" s="530"/>
      <c r="S456" s="530"/>
      <c r="T456" s="530"/>
      <c r="U456" s="530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08"/>
      <c r="H457" s="53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30"/>
      <c r="P457" s="530"/>
      <c r="Q457" s="530"/>
      <c r="R457" s="530"/>
      <c r="S457" s="530"/>
      <c r="T457" s="530"/>
      <c r="U457" s="53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08"/>
      <c r="H458" s="53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30"/>
      <c r="P458" s="530"/>
      <c r="Q458" s="530"/>
      <c r="R458" s="530"/>
      <c r="S458" s="530"/>
      <c r="T458" s="530"/>
      <c r="U458" s="530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08"/>
      <c r="H459" s="53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30"/>
      <c r="P459" s="530"/>
      <c r="Q459" s="530"/>
      <c r="R459" s="530"/>
      <c r="S459" s="530"/>
      <c r="T459" s="530"/>
      <c r="U459" s="530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08"/>
      <c r="H460" s="53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30"/>
      <c r="P460" s="530"/>
      <c r="Q460" s="530"/>
      <c r="R460" s="530"/>
      <c r="S460" s="530"/>
      <c r="T460" s="530"/>
      <c r="U460" s="530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08"/>
      <c r="H461" s="53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30"/>
      <c r="P461" s="530"/>
      <c r="Q461" s="530"/>
      <c r="R461" s="530"/>
      <c r="S461" s="530"/>
      <c r="T461" s="530"/>
      <c r="U461" s="530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08"/>
      <c r="H462" s="539">
        <f t="shared" si="195"/>
        <v>0</v>
      </c>
      <c r="I462" s="129"/>
      <c r="J462" s="130" t="str">
        <f t="array" ref="J462">IF(ISERROR(G462/I462),"",G462/I462)</f>
        <v/>
      </c>
      <c r="K462" s="539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30"/>
      <c r="P462" s="530"/>
      <c r="Q462" s="530"/>
      <c r="R462" s="530"/>
      <c r="S462" s="530"/>
      <c r="T462" s="530"/>
      <c r="U462" s="530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hidden="1" customHeight="1">
      <c r="A463" s="618" t="s">
        <v>224</v>
      </c>
      <c r="B463" s="619"/>
      <c r="C463" s="537" t="s">
        <v>202</v>
      </c>
      <c r="D463" s="143"/>
      <c r="E463" s="143"/>
      <c r="F463" s="144"/>
      <c r="G463" s="143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09">SUM(M429:M462)</f>
        <v>0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08"/>
      <c r="H464" s="539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30"/>
      <c r="P464" s="530"/>
      <c r="Q464" s="530"/>
      <c r="R464" s="530"/>
      <c r="S464" s="530"/>
      <c r="T464" s="530"/>
      <c r="U464" s="530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08"/>
      <c r="H465" s="539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30"/>
      <c r="P465" s="530"/>
      <c r="Q465" s="530"/>
      <c r="R465" s="530"/>
      <c r="S465" s="530"/>
      <c r="T465" s="530"/>
      <c r="U465" s="530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08"/>
      <c r="H466" s="539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30"/>
      <c r="P466" s="530"/>
      <c r="Q466" s="530"/>
      <c r="R466" s="530"/>
      <c r="S466" s="530"/>
      <c r="T466" s="530"/>
      <c r="U466" s="530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08"/>
      <c r="H467" s="539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30"/>
      <c r="P467" s="530"/>
      <c r="Q467" s="530"/>
      <c r="R467" s="530"/>
      <c r="S467" s="530"/>
      <c r="T467" s="530"/>
      <c r="U467" s="530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35" t="s">
        <v>203</v>
      </c>
      <c r="D468" s="108">
        <v>5.03</v>
      </c>
      <c r="E468" s="108"/>
      <c r="F468" s="127"/>
      <c r="G468" s="108"/>
      <c r="H468" s="539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30"/>
      <c r="P468" s="530"/>
      <c r="Q468" s="530"/>
      <c r="R468" s="530"/>
      <c r="S468" s="530"/>
      <c r="T468" s="530"/>
      <c r="U468" s="530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08"/>
      <c r="H469" s="539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30"/>
      <c r="P469" s="530"/>
      <c r="Q469" s="530"/>
      <c r="R469" s="530"/>
      <c r="S469" s="530"/>
      <c r="T469" s="530"/>
      <c r="U469" s="530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08"/>
      <c r="H470" s="539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30"/>
      <c r="P470" s="530"/>
      <c r="Q470" s="530"/>
      <c r="R470" s="530"/>
      <c r="S470" s="530"/>
      <c r="T470" s="530"/>
      <c r="U470" s="530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35" t="s">
        <v>228</v>
      </c>
      <c r="D471" s="108">
        <v>5.03</v>
      </c>
      <c r="E471" s="108"/>
      <c r="F471" s="127"/>
      <c r="G471" s="108"/>
      <c r="H471" s="539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30"/>
      <c r="P471" s="530"/>
      <c r="Q471" s="530"/>
      <c r="R471" s="530"/>
      <c r="S471" s="530"/>
      <c r="T471" s="530"/>
      <c r="U471" s="530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35" t="s">
        <v>212</v>
      </c>
      <c r="D472" s="108">
        <v>5.03</v>
      </c>
      <c r="E472" s="108"/>
      <c r="F472" s="127"/>
      <c r="G472" s="108"/>
      <c r="H472" s="539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30"/>
      <c r="P472" s="530"/>
      <c r="Q472" s="530"/>
      <c r="R472" s="530"/>
      <c r="S472" s="530"/>
      <c r="T472" s="530"/>
      <c r="U472" s="530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35" t="s">
        <v>203</v>
      </c>
      <c r="D473" s="108">
        <v>5.03</v>
      </c>
      <c r="E473" s="108"/>
      <c r="F473" s="127"/>
      <c r="G473" s="108"/>
      <c r="H473" s="539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30"/>
      <c r="P473" s="530"/>
      <c r="Q473" s="530"/>
      <c r="R473" s="530"/>
      <c r="S473" s="530"/>
      <c r="T473" s="530"/>
      <c r="U473" s="530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35" t="s">
        <v>186</v>
      </c>
      <c r="D474" s="108">
        <v>5.03</v>
      </c>
      <c r="E474" s="108"/>
      <c r="F474" s="127"/>
      <c r="G474" s="108"/>
      <c r="H474" s="539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30"/>
      <c r="P474" s="530"/>
      <c r="Q474" s="530"/>
      <c r="R474" s="530"/>
      <c r="S474" s="530"/>
      <c r="T474" s="530"/>
      <c r="U474" s="530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35" t="s">
        <v>228</v>
      </c>
      <c r="D475" s="108">
        <v>5.03</v>
      </c>
      <c r="E475" s="108"/>
      <c r="F475" s="127"/>
      <c r="G475" s="108"/>
      <c r="H475" s="539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30"/>
      <c r="P475" s="530"/>
      <c r="Q475" s="530"/>
      <c r="R475" s="530"/>
      <c r="S475" s="530"/>
      <c r="T475" s="530"/>
      <c r="U475" s="530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35" t="s">
        <v>199</v>
      </c>
      <c r="D476" s="108">
        <v>5.03</v>
      </c>
      <c r="E476" s="108"/>
      <c r="F476" s="127"/>
      <c r="G476" s="108"/>
      <c r="H476" s="539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30"/>
      <c r="P476" s="530"/>
      <c r="Q476" s="530"/>
      <c r="R476" s="530"/>
      <c r="S476" s="530"/>
      <c r="T476" s="530"/>
      <c r="U476" s="530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08"/>
      <c r="H477" s="539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30"/>
      <c r="P477" s="530"/>
      <c r="Q477" s="530"/>
      <c r="R477" s="530"/>
      <c r="S477" s="530"/>
      <c r="T477" s="530"/>
      <c r="U477" s="530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08"/>
      <c r="H478" s="539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30"/>
      <c r="P478" s="530"/>
      <c r="Q478" s="530"/>
      <c r="R478" s="530"/>
      <c r="S478" s="530"/>
      <c r="T478" s="530"/>
      <c r="U478" s="530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537" t="s">
        <v>202</v>
      </c>
      <c r="D479" s="143"/>
      <c r="E479" s="143"/>
      <c r="F479" s="144"/>
      <c r="G479" s="143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08"/>
      <c r="H480" s="539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30"/>
      <c r="P480" s="530"/>
      <c r="Q480" s="530"/>
      <c r="R480" s="530"/>
      <c r="S480" s="530"/>
      <c r="T480" s="530"/>
      <c r="U480" s="530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08"/>
      <c r="H481" s="539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30"/>
      <c r="P481" s="530"/>
      <c r="Q481" s="530"/>
      <c r="R481" s="530"/>
      <c r="S481" s="530"/>
      <c r="T481" s="530"/>
      <c r="U481" s="530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08"/>
      <c r="H482" s="539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30"/>
      <c r="P482" s="530"/>
      <c r="Q482" s="530"/>
      <c r="R482" s="530"/>
      <c r="S482" s="530"/>
      <c r="T482" s="530"/>
      <c r="U482" s="530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08"/>
      <c r="H483" s="539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30"/>
      <c r="P483" s="530"/>
      <c r="Q483" s="530"/>
      <c r="R483" s="530"/>
      <c r="S483" s="530"/>
      <c r="T483" s="530"/>
      <c r="U483" s="530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08"/>
      <c r="H484" s="539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30"/>
      <c r="P484" s="530"/>
      <c r="Q484" s="530"/>
      <c r="R484" s="530"/>
      <c r="S484" s="530"/>
      <c r="T484" s="530"/>
      <c r="U484" s="530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08"/>
      <c r="H485" s="539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30"/>
      <c r="P485" s="530"/>
      <c r="Q485" s="530"/>
      <c r="R485" s="530"/>
      <c r="S485" s="530"/>
      <c r="T485" s="530"/>
      <c r="U485" s="530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08"/>
      <c r="H486" s="539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30"/>
      <c r="P486" s="530"/>
      <c r="Q486" s="530"/>
      <c r="R486" s="530"/>
      <c r="S486" s="530"/>
      <c r="T486" s="530"/>
      <c r="U486" s="530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08"/>
      <c r="H487" s="539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30"/>
      <c r="P487" s="530"/>
      <c r="Q487" s="530"/>
      <c r="R487" s="530"/>
      <c r="S487" s="530"/>
      <c r="T487" s="530"/>
      <c r="U487" s="530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08"/>
      <c r="H488" s="539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30"/>
      <c r="P488" s="530"/>
      <c r="Q488" s="530"/>
      <c r="R488" s="530"/>
      <c r="S488" s="530"/>
      <c r="T488" s="530"/>
      <c r="U488" s="530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08"/>
      <c r="H489" s="539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30"/>
      <c r="P489" s="530"/>
      <c r="Q489" s="530"/>
      <c r="R489" s="530"/>
      <c r="S489" s="530"/>
      <c r="T489" s="530"/>
      <c r="U489" s="530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537" t="s">
        <v>202</v>
      </c>
      <c r="D490" s="143"/>
      <c r="E490" s="143"/>
      <c r="F490" s="144"/>
      <c r="G490" s="143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29"/>
      <c r="D491" s="108">
        <v>3.65</v>
      </c>
      <c r="E491" s="108"/>
      <c r="F491" s="153"/>
      <c r="G491" s="108"/>
      <c r="H491" s="539">
        <f t="shared" ref="H491:H505" si="222">D491*G491</f>
        <v>0</v>
      </c>
      <c r="I491" s="129"/>
      <c r="J491" s="130" t="str">
        <f t="array" ref="J491">IF(ISERROR(G491/I491),"",G491/I491)</f>
        <v/>
      </c>
      <c r="K491" s="539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30"/>
      <c r="P491" s="530"/>
      <c r="Q491" s="530"/>
      <c r="R491" s="530"/>
      <c r="S491" s="530"/>
      <c r="T491" s="530"/>
      <c r="U491" s="530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29"/>
      <c r="D492" s="108">
        <v>6.58</v>
      </c>
      <c r="E492" s="108"/>
      <c r="F492" s="127"/>
      <c r="G492" s="108"/>
      <c r="H492" s="539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30"/>
      <c r="P492" s="530"/>
      <c r="Q492" s="530"/>
      <c r="R492" s="530"/>
      <c r="S492" s="530"/>
      <c r="T492" s="530"/>
      <c r="U492" s="530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29"/>
      <c r="D493" s="108">
        <v>7.8</v>
      </c>
      <c r="E493" s="108"/>
      <c r="F493" s="127"/>
      <c r="G493" s="108"/>
      <c r="H493" s="539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30"/>
      <c r="P493" s="530"/>
      <c r="Q493" s="530"/>
      <c r="R493" s="530"/>
      <c r="S493" s="530"/>
      <c r="T493" s="530"/>
      <c r="U493" s="530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29"/>
      <c r="D494" s="108">
        <v>4.4000000000000004</v>
      </c>
      <c r="E494" s="108"/>
      <c r="F494" s="127"/>
      <c r="G494" s="108"/>
      <c r="H494" s="539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30"/>
      <c r="P494" s="530"/>
      <c r="Q494" s="530"/>
      <c r="R494" s="530"/>
      <c r="S494" s="530"/>
      <c r="T494" s="530"/>
      <c r="U494" s="530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08"/>
      <c r="H495" s="539">
        <f t="shared" si="222"/>
        <v>0</v>
      </c>
      <c r="I495" s="129"/>
      <c r="J495" s="130"/>
      <c r="K495" s="131"/>
      <c r="L495" s="129"/>
      <c r="M495" s="109"/>
      <c r="N495" s="130"/>
      <c r="O495" s="530"/>
      <c r="P495" s="530"/>
      <c r="Q495" s="530"/>
      <c r="R495" s="530"/>
      <c r="S495" s="530"/>
      <c r="T495" s="530"/>
      <c r="U495" s="530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29"/>
      <c r="D496" s="108"/>
      <c r="E496" s="108"/>
      <c r="F496" s="127"/>
      <c r="G496" s="108"/>
      <c r="H496" s="539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30"/>
      <c r="P496" s="530"/>
      <c r="Q496" s="530"/>
      <c r="R496" s="530"/>
      <c r="S496" s="530"/>
      <c r="T496" s="530"/>
      <c r="U496" s="53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29" t="s">
        <v>239</v>
      </c>
      <c r="C497" s="529" t="s">
        <v>179</v>
      </c>
      <c r="D497" s="108">
        <v>6.04</v>
      </c>
      <c r="E497" s="108"/>
      <c r="F497" s="127"/>
      <c r="G497" s="108"/>
      <c r="H497" s="539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30"/>
      <c r="P497" s="530"/>
      <c r="Q497" s="530"/>
      <c r="R497" s="530"/>
      <c r="S497" s="530"/>
      <c r="T497" s="530"/>
      <c r="U497" s="530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29" t="s">
        <v>239</v>
      </c>
      <c r="C498" s="529" t="s">
        <v>186</v>
      </c>
      <c r="D498" s="108">
        <v>6.04</v>
      </c>
      <c r="E498" s="108"/>
      <c r="F498" s="127"/>
      <c r="G498" s="108"/>
      <c r="H498" s="539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30"/>
      <c r="P498" s="530"/>
      <c r="Q498" s="530"/>
      <c r="R498" s="530"/>
      <c r="S498" s="530"/>
      <c r="T498" s="530"/>
      <c r="U498" s="530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29" t="s">
        <v>443</v>
      </c>
      <c r="C499" s="529" t="s">
        <v>179</v>
      </c>
      <c r="D499" s="108"/>
      <c r="E499" s="108"/>
      <c r="F499" s="127"/>
      <c r="G499" s="108"/>
      <c r="H499" s="539">
        <f t="shared" si="222"/>
        <v>0</v>
      </c>
      <c r="I499" s="129"/>
      <c r="J499" s="130"/>
      <c r="K499" s="131"/>
      <c r="L499" s="129"/>
      <c r="M499" s="109"/>
      <c r="N499" s="130"/>
      <c r="O499" s="530"/>
      <c r="P499" s="530"/>
      <c r="Q499" s="530"/>
      <c r="R499" s="530"/>
      <c r="S499" s="530"/>
      <c r="T499" s="530"/>
      <c r="U499" s="53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29" t="s">
        <v>443</v>
      </c>
      <c r="C500" s="529" t="s">
        <v>186</v>
      </c>
      <c r="D500" s="108"/>
      <c r="E500" s="108"/>
      <c r="F500" s="127"/>
      <c r="G500" s="108"/>
      <c r="H500" s="539">
        <f t="shared" si="222"/>
        <v>0</v>
      </c>
      <c r="I500" s="129"/>
      <c r="J500" s="130"/>
      <c r="K500" s="131"/>
      <c r="L500" s="129"/>
      <c r="M500" s="109"/>
      <c r="N500" s="130"/>
      <c r="O500" s="530"/>
      <c r="P500" s="530"/>
      <c r="Q500" s="530"/>
      <c r="R500" s="530"/>
      <c r="S500" s="530"/>
      <c r="T500" s="530"/>
      <c r="U500" s="53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31" t="s">
        <v>240</v>
      </c>
      <c r="C501" s="126"/>
      <c r="D501" s="108">
        <v>7.3</v>
      </c>
      <c r="E501" s="108"/>
      <c r="F501" s="127"/>
      <c r="G501" s="108"/>
      <c r="H501" s="539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30"/>
      <c r="P501" s="530"/>
      <c r="Q501" s="530"/>
      <c r="R501" s="530"/>
      <c r="S501" s="530"/>
      <c r="T501" s="530"/>
      <c r="U501" s="530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31" t="s">
        <v>241</v>
      </c>
      <c r="C502" s="126"/>
      <c r="D502" s="108">
        <f>78*120/1000</f>
        <v>9.36</v>
      </c>
      <c r="E502" s="108"/>
      <c r="F502" s="127"/>
      <c r="G502" s="108"/>
      <c r="H502" s="539">
        <f t="shared" si="222"/>
        <v>0</v>
      </c>
      <c r="I502" s="129"/>
      <c r="J502" s="130"/>
      <c r="K502" s="131"/>
      <c r="L502" s="129"/>
      <c r="M502" s="109"/>
      <c r="N502" s="130"/>
      <c r="O502" s="530"/>
      <c r="P502" s="530"/>
      <c r="Q502" s="530"/>
      <c r="R502" s="530"/>
      <c r="S502" s="530"/>
      <c r="T502" s="530"/>
      <c r="U502" s="53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31" t="s">
        <v>242</v>
      </c>
      <c r="C503" s="126"/>
      <c r="D503" s="108">
        <v>4.5</v>
      </c>
      <c r="E503" s="108"/>
      <c r="F503" s="127"/>
      <c r="G503" s="108"/>
      <c r="H503" s="539">
        <f t="shared" si="222"/>
        <v>0</v>
      </c>
      <c r="I503" s="129"/>
      <c r="J503" s="130"/>
      <c r="K503" s="131"/>
      <c r="L503" s="129"/>
      <c r="M503" s="109"/>
      <c r="N503" s="130"/>
      <c r="O503" s="530"/>
      <c r="P503" s="530"/>
      <c r="Q503" s="530"/>
      <c r="R503" s="530"/>
      <c r="S503" s="530"/>
      <c r="T503" s="530"/>
      <c r="U503" s="530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31" t="s">
        <v>243</v>
      </c>
      <c r="C504" s="126"/>
      <c r="D504" s="108">
        <v>4.5</v>
      </c>
      <c r="E504" s="108"/>
      <c r="F504" s="127"/>
      <c r="G504" s="108"/>
      <c r="H504" s="539">
        <f t="shared" si="222"/>
        <v>0</v>
      </c>
      <c r="I504" s="129"/>
      <c r="J504" s="130"/>
      <c r="K504" s="131"/>
      <c r="L504" s="129"/>
      <c r="M504" s="109"/>
      <c r="N504" s="130"/>
      <c r="O504" s="530"/>
      <c r="P504" s="530"/>
      <c r="Q504" s="530"/>
      <c r="R504" s="530"/>
      <c r="S504" s="530"/>
      <c r="T504" s="530"/>
      <c r="U504" s="530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31"/>
      <c r="C505" s="126"/>
      <c r="D505" s="108"/>
      <c r="E505" s="108"/>
      <c r="F505" s="127"/>
      <c r="G505" s="108"/>
      <c r="H505" s="539">
        <f t="shared" si="222"/>
        <v>0</v>
      </c>
      <c r="I505" s="129"/>
      <c r="J505" s="130"/>
      <c r="K505" s="131"/>
      <c r="L505" s="129"/>
      <c r="M505" s="109"/>
      <c r="N505" s="130"/>
      <c r="O505" s="530"/>
      <c r="P505" s="530"/>
      <c r="Q505" s="530"/>
      <c r="R505" s="530"/>
      <c r="S505" s="530"/>
      <c r="T505" s="530"/>
      <c r="U505" s="530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537" t="s">
        <v>202</v>
      </c>
      <c r="D506" s="143"/>
      <c r="E506" s="143"/>
      <c r="F506" s="144"/>
      <c r="G506" s="143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553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5">SUM(M370,M428,M463,M479,M490,M506)</f>
        <v>0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 t="str">
        <f t="shared" ref="W507" si="236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536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536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536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536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536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536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536">
        <f>G507</f>
        <v>0</v>
      </c>
      <c r="C514" s="638" t="s">
        <v>269</v>
      </c>
      <c r="D514" s="639"/>
      <c r="E514" s="631">
        <f>H507</f>
        <v>0</v>
      </c>
      <c r="F514" s="631"/>
      <c r="G514" s="631" t="s">
        <v>270</v>
      </c>
      <c r="H514" s="631"/>
      <c r="I514" s="640" t="str">
        <f>L507</f>
        <v/>
      </c>
      <c r="J514" s="640"/>
      <c r="K514" s="628" t="s">
        <v>271</v>
      </c>
      <c r="L514" s="628"/>
      <c r="M514" s="640" t="str">
        <f>J507</f>
        <v/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536">
        <f>I507+C513</f>
        <v>1</v>
      </c>
      <c r="C515" s="641" t="s">
        <v>251</v>
      </c>
      <c r="D515" s="642"/>
      <c r="E515" s="643">
        <f>K507+I513</f>
        <v>11</v>
      </c>
      <c r="F515" s="643"/>
      <c r="G515" s="631" t="s">
        <v>274</v>
      </c>
      <c r="H515" s="631"/>
      <c r="I515" s="640">
        <f>B515-E515</f>
        <v>-10</v>
      </c>
      <c r="J515" s="640"/>
      <c r="K515" s="628" t="s">
        <v>275</v>
      </c>
      <c r="L515" s="628"/>
      <c r="M515" s="632">
        <f>IF(ISERROR(I515/E515),"",I515/E515)</f>
        <v>-0.90909090909090906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536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 t="str">
        <f t="array" ref="M516">IF(ISERROR(I516/B514),"",I516/B514)</f>
        <v/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53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2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11388</v>
      </c>
      <c r="D519" s="627"/>
      <c r="E519" s="673" t="s">
        <v>269</v>
      </c>
      <c r="F519" s="673"/>
      <c r="G519" s="643">
        <f>SUM(E171,E342,E514)</f>
        <v>57917.61</v>
      </c>
      <c r="H519" s="643"/>
      <c r="I519" s="631" t="s">
        <v>270</v>
      </c>
      <c r="J519" s="673"/>
      <c r="K519" s="626">
        <f>IF(ISERROR(C519/G520),"",C519/G520)</f>
        <v>13.683401311808543</v>
      </c>
      <c r="L519" s="627"/>
      <c r="M519" s="631" t="s">
        <v>271</v>
      </c>
      <c r="N519" s="631"/>
      <c r="O519" s="668">
        <f t="array" ref="O519">IF(ISERROR(C519/C520),"",C519/C520)</f>
        <v>14.799220272904483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769.5</v>
      </c>
      <c r="D520" s="627"/>
      <c r="E520" s="631" t="s">
        <v>251</v>
      </c>
      <c r="F520" s="631"/>
      <c r="G520" s="643">
        <f>SUM(E172,E343,E515)</f>
        <v>832.24921497934497</v>
      </c>
      <c r="H520" s="643"/>
      <c r="I520" s="641" t="s">
        <v>274</v>
      </c>
      <c r="J520" s="642"/>
      <c r="K520" s="638">
        <f>C520-G520</f>
        <v>-62.74921497934497</v>
      </c>
      <c r="L520" s="639"/>
      <c r="M520" s="638" t="s">
        <v>275</v>
      </c>
      <c r="N520" s="639"/>
      <c r="O520" s="671">
        <f>IF(ISERROR(K520/C520),"",K520/C520)</f>
        <v>-8.154543856964909E-2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544"/>
      <c r="H522" s="168"/>
      <c r="I522" s="53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3145</v>
      </c>
      <c r="D524" s="642"/>
      <c r="E524" s="681">
        <f>IF(ISERROR(C524/C530),"",C524/C530)</f>
        <v>0.27616789603090974</v>
      </c>
      <c r="F524" s="682"/>
      <c r="G524" s="676"/>
      <c r="H524" s="677"/>
      <c r="I524" s="683" t="s">
        <v>301</v>
      </c>
      <c r="J524" s="684"/>
      <c r="K524" s="638">
        <f t="shared" ref="K524:K529" si="237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8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5119</v>
      </c>
      <c r="D525" s="642"/>
      <c r="E525" s="681">
        <f>IF(ISERROR(C525/C530),"",C525/C530)</f>
        <v>0.44950825430277486</v>
      </c>
      <c r="F525" s="682"/>
      <c r="G525" s="676"/>
      <c r="H525" s="677"/>
      <c r="I525" s="683" t="s">
        <v>302</v>
      </c>
      <c r="J525" s="684"/>
      <c r="K525" s="638">
        <f t="shared" si="237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8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1491</v>
      </c>
      <c r="D526" s="642"/>
      <c r="E526" s="681">
        <f>IF(ISERROR(C526/C530),"",C526/C530)</f>
        <v>0.13092729188619601</v>
      </c>
      <c r="F526" s="682"/>
      <c r="G526" s="676"/>
      <c r="H526" s="677"/>
      <c r="I526" s="683" t="s">
        <v>303</v>
      </c>
      <c r="J526" s="684"/>
      <c r="K526" s="638">
        <f t="shared" si="237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8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1238</v>
      </c>
      <c r="D527" s="642"/>
      <c r="E527" s="681">
        <f>IF(ISERROR(C527/C530),"",C527/C530)</f>
        <v>0.10871092377941693</v>
      </c>
      <c r="F527" s="682"/>
      <c r="G527" s="676"/>
      <c r="H527" s="677"/>
      <c r="I527" s="683" t="s">
        <v>304</v>
      </c>
      <c r="J527" s="684"/>
      <c r="K527" s="638">
        <f t="shared" si="237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8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0</v>
      </c>
      <c r="D528" s="642"/>
      <c r="E528" s="681">
        <f>IF(ISERROR(C528/C530),"",C528/C530)</f>
        <v>0</v>
      </c>
      <c r="F528" s="682"/>
      <c r="G528" s="676"/>
      <c r="H528" s="677"/>
      <c r="I528" s="683" t="s">
        <v>306</v>
      </c>
      <c r="J528" s="684"/>
      <c r="K528" s="638">
        <f t="shared" si="237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8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395</v>
      </c>
      <c r="D529" s="642"/>
      <c r="E529" s="681">
        <f>IF(ISERROR(C529/C530),"",C529/C530)</f>
        <v>3.4685634000702494E-2</v>
      </c>
      <c r="F529" s="682"/>
      <c r="G529" s="676"/>
      <c r="H529" s="677"/>
      <c r="I529" s="683" t="s">
        <v>307</v>
      </c>
      <c r="J529" s="684"/>
      <c r="K529" s="638">
        <f t="shared" si="237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8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11388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5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529" t="s">
        <v>309</v>
      </c>
      <c r="D532" s="529" t="s">
        <v>310</v>
      </c>
      <c r="E532" s="529" t="s">
        <v>311</v>
      </c>
      <c r="F532" s="529" t="s">
        <v>312</v>
      </c>
      <c r="G532" s="547" t="s">
        <v>549</v>
      </c>
      <c r="H532" s="129" t="s">
        <v>314</v>
      </c>
      <c r="I532" s="129" t="s">
        <v>315</v>
      </c>
      <c r="J532" s="129" t="s">
        <v>316</v>
      </c>
      <c r="K532" s="530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39" t="s">
        <v>322</v>
      </c>
      <c r="Q532" s="129" t="s">
        <v>323</v>
      </c>
      <c r="R532" s="109" t="s">
        <v>324</v>
      </c>
      <c r="S532" s="529" t="s">
        <v>325</v>
      </c>
      <c r="T532" s="529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+'11'!C533</f>
        <v>46</v>
      </c>
      <c r="E533" s="106"/>
      <c r="F533" s="106"/>
      <c r="G533" s="106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32">
        <f t="array" ref="S533">IF(ISERROR(Q533/J533),"",Q533/J533)</f>
        <v>1</v>
      </c>
      <c r="T533" s="5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40</v>
      </c>
      <c r="D534" s="106">
        <f>+'11'!C534</f>
        <v>40</v>
      </c>
      <c r="E534" s="110"/>
      <c r="F534" s="110"/>
      <c r="G534" s="106"/>
      <c r="H534" s="106"/>
      <c r="I534" s="106"/>
      <c r="J534" s="106">
        <f>C534-H534-I534</f>
        <v>40</v>
      </c>
      <c r="K534" s="106">
        <v>1</v>
      </c>
      <c r="L534" s="106"/>
      <c r="M534" s="106"/>
      <c r="N534" s="106"/>
      <c r="O534" s="110"/>
      <c r="P534" s="111"/>
      <c r="Q534" s="106">
        <f>J534-K534-L534</f>
        <v>39</v>
      </c>
      <c r="R534" s="109">
        <f>Q534*11-M534-N534</f>
        <v>429</v>
      </c>
      <c r="S534" s="532">
        <f t="array" ref="S534">IF(ISERROR(Q534/J534),"",Q534/J534)</f>
        <v>0.97499999999999998</v>
      </c>
      <c r="T534" s="5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+'11'!C535</f>
        <v>10</v>
      </c>
      <c r="E535" s="110"/>
      <c r="F535" s="110"/>
      <c r="G535" s="106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32">
        <f t="array" ref="S535">IF(ISERROR(Q535/J535),"",Q535/J535)</f>
        <v>1</v>
      </c>
      <c r="T535" s="5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96</v>
      </c>
      <c r="D536" s="112">
        <f t="shared" ref="D536:N536" si="239">SUM(D533:D535)</f>
        <v>96</v>
      </c>
      <c r="E536" s="112">
        <f t="shared" si="239"/>
        <v>0</v>
      </c>
      <c r="F536" s="112">
        <f t="shared" si="239"/>
        <v>0</v>
      </c>
      <c r="G536" s="112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96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95</v>
      </c>
      <c r="R536" s="114">
        <f>SUM(R533:R535)</f>
        <v>1045</v>
      </c>
      <c r="S536" s="115">
        <f t="array" ref="S536">IF(ISERROR(Q536/J536),"",Q536/J536)</f>
        <v>0.98958333333333337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8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8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22" activePane="bottomRight" state="frozen"/>
      <selection activeCell="E487" sqref="E487"/>
      <selection pane="topRight" activeCell="E487" sqref="E487"/>
      <selection pane="bottomLeft" activeCell="E487" sqref="E487"/>
      <selection pane="bottomRight" activeCell="F533" sqref="F5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551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540" t="s">
        <v>178</v>
      </c>
      <c r="C7" s="126" t="s">
        <v>179</v>
      </c>
      <c r="D7" s="108">
        <v>5.03</v>
      </c>
      <c r="E7" s="108"/>
      <c r="F7" s="127"/>
      <c r="G7" s="128"/>
      <c r="H7" s="54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549"/>
      <c r="P7" s="549"/>
      <c r="Q7" s="549"/>
      <c r="R7" s="549"/>
      <c r="S7" s="549"/>
      <c r="T7" s="549"/>
      <c r="U7" s="54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4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49"/>
      <c r="Q8" s="549"/>
      <c r="R8" s="549"/>
      <c r="S8" s="549"/>
      <c r="T8" s="549"/>
      <c r="U8" s="54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4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49"/>
      <c r="P9" s="549"/>
      <c r="Q9" s="549"/>
      <c r="R9" s="549"/>
      <c r="S9" s="549"/>
      <c r="T9" s="549"/>
      <c r="U9" s="54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4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49"/>
      <c r="P10" s="549"/>
      <c r="Q10" s="549"/>
      <c r="R10" s="549"/>
      <c r="S10" s="549"/>
      <c r="T10" s="549"/>
      <c r="U10" s="54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4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49"/>
      <c r="P11" s="549"/>
      <c r="Q11" s="549"/>
      <c r="R11" s="549"/>
      <c r="S11" s="549"/>
      <c r="T11" s="549"/>
      <c r="U11" s="54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4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49"/>
      <c r="P12" s="549"/>
      <c r="Q12" s="549"/>
      <c r="R12" s="549"/>
      <c r="S12" s="549"/>
      <c r="T12" s="549"/>
      <c r="U12" s="54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4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49"/>
      <c r="P13" s="549"/>
      <c r="Q13" s="549"/>
      <c r="R13" s="549"/>
      <c r="S13" s="549"/>
      <c r="T13" s="549"/>
      <c r="U13" s="54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28">
        <v>30</v>
      </c>
      <c r="H14" s="541">
        <f t="shared" si="0"/>
        <v>150.9</v>
      </c>
      <c r="I14" s="129">
        <f>1*2</f>
        <v>2</v>
      </c>
      <c r="J14" s="130">
        <f t="array" ref="J14">IF(ISERROR(G14/I14),"",G14/I14)</f>
        <v>15</v>
      </c>
      <c r="K14" s="131">
        <f t="array" ref="K14">IF(ISERROR(G14/L14),"",G14/L14)</f>
        <v>10</v>
      </c>
      <c r="L14" s="129">
        <v>3</v>
      </c>
      <c r="M14" s="109">
        <f t="shared" si="1"/>
        <v>-8</v>
      </c>
      <c r="N14" s="130">
        <f t="shared" si="4"/>
        <v>0</v>
      </c>
      <c r="O14" s="549"/>
      <c r="P14" s="549"/>
      <c r="Q14" s="549"/>
      <c r="R14" s="549"/>
      <c r="S14" s="549"/>
      <c r="T14" s="549"/>
      <c r="U14" s="54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42747</v>
      </c>
      <c r="G15" s="128">
        <f>100*2+84+16+100*2+94</f>
        <v>594</v>
      </c>
      <c r="H15" s="541">
        <f t="shared" si="0"/>
        <v>2993.76</v>
      </c>
      <c r="I15" s="541">
        <f>11*5</f>
        <v>55</v>
      </c>
      <c r="J15" s="130">
        <f t="array" ref="J15">IF(ISERROR(G15/I15),"",G15/I15)</f>
        <v>10.8</v>
      </c>
      <c r="K15" s="131">
        <f t="array" ref="K15">IF(ISERROR(G15/L15),"",G15/L15)</f>
        <v>34.941176470588232</v>
      </c>
      <c r="L15" s="129">
        <v>17</v>
      </c>
      <c r="M15" s="109">
        <f t="shared" si="1"/>
        <v>20.058823529411768</v>
      </c>
      <c r="N15" s="130">
        <f t="shared" si="4"/>
        <v>0</v>
      </c>
      <c r="O15" s="549"/>
      <c r="P15" s="549"/>
      <c r="Q15" s="549"/>
      <c r="R15" s="549"/>
      <c r="S15" s="549"/>
      <c r="T15" s="549"/>
      <c r="U15" s="549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41">
        <f t="shared" si="0"/>
        <v>0</v>
      </c>
      <c r="I16" s="54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49"/>
      <c r="P16" s="549"/>
      <c r="Q16" s="549"/>
      <c r="R16" s="549"/>
      <c r="S16" s="549"/>
      <c r="T16" s="549"/>
      <c r="U16" s="54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4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49"/>
      <c r="P17" s="549"/>
      <c r="Q17" s="549"/>
      <c r="R17" s="549"/>
      <c r="S17" s="549"/>
      <c r="T17" s="549"/>
      <c r="U17" s="54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4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49"/>
      <c r="P18" s="549"/>
      <c r="Q18" s="549"/>
      <c r="R18" s="549"/>
      <c r="S18" s="549"/>
      <c r="T18" s="549"/>
      <c r="U18" s="54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4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549"/>
      <c r="P19" s="549"/>
      <c r="Q19" s="549"/>
      <c r="R19" s="549"/>
      <c r="S19" s="549"/>
      <c r="T19" s="549"/>
      <c r="U19" s="549"/>
      <c r="V19" s="132">
        <f t="shared" ref="V19:V21" si="5">SUM(X19:AA19)</f>
        <v>0</v>
      </c>
      <c r="W19" s="54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42745</v>
      </c>
      <c r="G20" s="128">
        <f>18+11+100*9</f>
        <v>929</v>
      </c>
      <c r="H20" s="541">
        <f t="shared" si="0"/>
        <v>4728.6099999999997</v>
      </c>
      <c r="I20" s="129">
        <f>11*5</f>
        <v>55</v>
      </c>
      <c r="J20" s="130">
        <f t="array" ref="J20">IF(ISERROR(G20/I20),"",G20/I20)</f>
        <v>16.890909090909091</v>
      </c>
      <c r="K20" s="131">
        <f t="array" ref="K20">IF(ISERROR(G20/L20),"",G20/L20)</f>
        <v>40.391304347826086</v>
      </c>
      <c r="L20" s="129">
        <v>23</v>
      </c>
      <c r="M20" s="109">
        <f t="shared" si="1"/>
        <v>14.608695652173914</v>
      </c>
      <c r="N20" s="130">
        <f t="shared" si="4"/>
        <v>0</v>
      </c>
      <c r="O20" s="549"/>
      <c r="P20" s="549"/>
      <c r="Q20" s="549"/>
      <c r="R20" s="549"/>
      <c r="S20" s="549"/>
      <c r="T20" s="549"/>
      <c r="U20" s="54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4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49"/>
      <c r="P21" s="549"/>
      <c r="Q21" s="549"/>
      <c r="R21" s="549"/>
      <c r="S21" s="549"/>
      <c r="T21" s="549"/>
      <c r="U21" s="54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47" t="s">
        <v>190</v>
      </c>
      <c r="D22" s="108">
        <v>4.8</v>
      </c>
      <c r="E22" s="108"/>
      <c r="F22" s="127"/>
      <c r="G22" s="128"/>
      <c r="H22" s="54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49"/>
      <c r="P22" s="549"/>
      <c r="Q22" s="549"/>
      <c r="R22" s="549"/>
      <c r="S22" s="549"/>
      <c r="T22" s="549"/>
      <c r="U22" s="54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47" t="s">
        <v>187</v>
      </c>
      <c r="D23" s="108">
        <v>4.8</v>
      </c>
      <c r="E23" s="108"/>
      <c r="F23" s="127"/>
      <c r="G23" s="128"/>
      <c r="H23" s="54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49"/>
      <c r="P23" s="549"/>
      <c r="Q23" s="549"/>
      <c r="R23" s="549"/>
      <c r="S23" s="549"/>
      <c r="T23" s="549"/>
      <c r="U23" s="54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47" t="s">
        <v>179</v>
      </c>
      <c r="D24" s="108">
        <v>4.8</v>
      </c>
      <c r="E24" s="108"/>
      <c r="F24" s="127"/>
      <c r="G24" s="128"/>
      <c r="H24" s="54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49"/>
      <c r="P24" s="549"/>
      <c r="Q24" s="549"/>
      <c r="R24" s="549"/>
      <c r="S24" s="549"/>
      <c r="T24" s="549"/>
      <c r="U24" s="54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47" t="s">
        <v>199</v>
      </c>
      <c r="D25" s="108">
        <v>4.8</v>
      </c>
      <c r="E25" s="108"/>
      <c r="F25" s="127"/>
      <c r="G25" s="128"/>
      <c r="H25" s="54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49"/>
      <c r="P25" s="549"/>
      <c r="Q25" s="549"/>
      <c r="R25" s="549"/>
      <c r="S25" s="549"/>
      <c r="T25" s="549"/>
      <c r="U25" s="54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4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49"/>
      <c r="P26" s="549"/>
      <c r="Q26" s="549"/>
      <c r="R26" s="549"/>
      <c r="S26" s="549"/>
      <c r="T26" s="549"/>
      <c r="U26" s="54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4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49"/>
      <c r="P27" s="549"/>
      <c r="Q27" s="549"/>
      <c r="R27" s="549"/>
      <c r="S27" s="549"/>
      <c r="T27" s="549"/>
      <c r="U27" s="54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550" t="s">
        <v>202</v>
      </c>
      <c r="D28" s="143"/>
      <c r="E28" s="143"/>
      <c r="F28" s="144"/>
      <c r="G28" s="145">
        <f>SUM(G7:G27)</f>
        <v>1553</v>
      </c>
      <c r="H28" s="146">
        <f>SUM(H7:H27)</f>
        <v>7873.27</v>
      </c>
      <c r="I28" s="146">
        <f>SUM(I7:I27)</f>
        <v>112</v>
      </c>
      <c r="J28" s="130">
        <f t="array" ref="J28">IF(ISERROR(G28/I28),"",G28/I28)</f>
        <v>13.866071428571429</v>
      </c>
      <c r="K28" s="146">
        <f>SUM(K7:K27)</f>
        <v>85.332480818414325</v>
      </c>
      <c r="L28" s="147"/>
      <c r="M28" s="146">
        <f t="shared" ref="M28:V28" si="10">SUM(M7:M27)</f>
        <v>26.667519181585682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40" t="s">
        <v>206</v>
      </c>
      <c r="C29" s="126" t="s">
        <v>199</v>
      </c>
      <c r="D29" s="108">
        <v>5.03</v>
      </c>
      <c r="E29" s="108"/>
      <c r="F29" s="127"/>
      <c r="G29" s="128"/>
      <c r="H29" s="54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45"/>
      <c r="P29" s="545"/>
      <c r="Q29" s="545"/>
      <c r="R29" s="545"/>
      <c r="S29" s="545"/>
      <c r="T29" s="545"/>
      <c r="U29" s="545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40" t="s">
        <v>425</v>
      </c>
      <c r="C30" s="187" t="s">
        <v>427</v>
      </c>
      <c r="D30" s="108">
        <v>5.03</v>
      </c>
      <c r="E30" s="108"/>
      <c r="F30" s="127"/>
      <c r="G30" s="128"/>
      <c r="H30" s="54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45"/>
      <c r="P30" s="545"/>
      <c r="Q30" s="545"/>
      <c r="R30" s="545"/>
      <c r="S30" s="545"/>
      <c r="T30" s="545"/>
      <c r="U30" s="545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40" t="s">
        <v>206</v>
      </c>
      <c r="C31" s="126" t="s">
        <v>186</v>
      </c>
      <c r="D31" s="108">
        <v>5.03</v>
      </c>
      <c r="E31" s="108"/>
      <c r="F31" s="127"/>
      <c r="G31" s="128"/>
      <c r="H31" s="54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45"/>
      <c r="P31" s="545"/>
      <c r="Q31" s="545"/>
      <c r="R31" s="545"/>
      <c r="S31" s="545"/>
      <c r="T31" s="545"/>
      <c r="U31" s="545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40" t="s">
        <v>206</v>
      </c>
      <c r="C32" s="126" t="s">
        <v>203</v>
      </c>
      <c r="D32" s="108">
        <v>5.03</v>
      </c>
      <c r="E32" s="108"/>
      <c r="F32" s="127"/>
      <c r="G32" s="128"/>
      <c r="H32" s="54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45"/>
      <c r="P32" s="545"/>
      <c r="Q32" s="545"/>
      <c r="R32" s="545"/>
      <c r="S32" s="545"/>
      <c r="T32" s="545"/>
      <c r="U32" s="545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40" t="s">
        <v>206</v>
      </c>
      <c r="C33" s="126" t="s">
        <v>207</v>
      </c>
      <c r="D33" s="108">
        <v>5.03</v>
      </c>
      <c r="E33" s="108"/>
      <c r="F33" s="127"/>
      <c r="G33" s="128"/>
      <c r="H33" s="54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45"/>
      <c r="P33" s="545"/>
      <c r="Q33" s="545"/>
      <c r="R33" s="545"/>
      <c r="S33" s="545"/>
      <c r="T33" s="545"/>
      <c r="U33" s="545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40" t="s">
        <v>414</v>
      </c>
      <c r="C34" s="187" t="s">
        <v>415</v>
      </c>
      <c r="D34" s="108">
        <v>5.03</v>
      </c>
      <c r="E34" s="108"/>
      <c r="F34" s="127"/>
      <c r="G34" s="128"/>
      <c r="H34" s="541">
        <f t="shared" si="11"/>
        <v>0</v>
      </c>
      <c r="I34" s="129"/>
      <c r="J34" s="130"/>
      <c r="K34" s="131"/>
      <c r="L34" s="129">
        <v>52</v>
      </c>
      <c r="M34" s="109"/>
      <c r="N34" s="130"/>
      <c r="O34" s="545"/>
      <c r="P34" s="545"/>
      <c r="Q34" s="545"/>
      <c r="R34" s="545"/>
      <c r="S34" s="545"/>
      <c r="T34" s="545"/>
      <c r="U34" s="545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40" t="s">
        <v>414</v>
      </c>
      <c r="C35" s="187" t="s">
        <v>416</v>
      </c>
      <c r="D35" s="108">
        <v>5.03</v>
      </c>
      <c r="E35" s="108"/>
      <c r="F35" s="127"/>
      <c r="G35" s="128"/>
      <c r="H35" s="541">
        <f t="shared" si="11"/>
        <v>0</v>
      </c>
      <c r="I35" s="129"/>
      <c r="J35" s="130"/>
      <c r="K35" s="131"/>
      <c r="L35" s="129">
        <v>52</v>
      </c>
      <c r="M35" s="109"/>
      <c r="N35" s="130"/>
      <c r="O35" s="545"/>
      <c r="P35" s="545"/>
      <c r="Q35" s="545"/>
      <c r="R35" s="545"/>
      <c r="S35" s="545"/>
      <c r="T35" s="545"/>
      <c r="U35" s="545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40" t="s">
        <v>414</v>
      </c>
      <c r="C36" s="187" t="s">
        <v>61</v>
      </c>
      <c r="D36" s="108">
        <v>5.03</v>
      </c>
      <c r="E36" s="108"/>
      <c r="F36" s="127"/>
      <c r="G36" s="128"/>
      <c r="H36" s="541">
        <f t="shared" si="11"/>
        <v>0</v>
      </c>
      <c r="I36" s="129"/>
      <c r="J36" s="130"/>
      <c r="K36" s="131"/>
      <c r="L36" s="129">
        <v>52</v>
      </c>
      <c r="M36" s="109"/>
      <c r="N36" s="130"/>
      <c r="O36" s="545"/>
      <c r="P36" s="545"/>
      <c r="Q36" s="545"/>
      <c r="R36" s="545"/>
      <c r="S36" s="545"/>
      <c r="T36" s="545"/>
      <c r="U36" s="545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40" t="s">
        <v>208</v>
      </c>
      <c r="C37" s="126" t="s">
        <v>179</v>
      </c>
      <c r="D37" s="108">
        <v>5.08</v>
      </c>
      <c r="E37" s="108"/>
      <c r="F37" s="127">
        <v>42746</v>
      </c>
      <c r="G37" s="128">
        <f>108*4+114</f>
        <v>546</v>
      </c>
      <c r="H37" s="541">
        <f t="shared" si="11"/>
        <v>2773.68</v>
      </c>
      <c r="I37" s="129">
        <f>7.5*2</f>
        <v>15</v>
      </c>
      <c r="J37" s="130">
        <f t="array" ref="J37">IF(ISERROR(G37/I37),"",G37/I37)</f>
        <v>36.4</v>
      </c>
      <c r="K37" s="131">
        <f t="array" ref="K37">IF(ISERROR(G37/L37),"",G37/L37)</f>
        <v>26</v>
      </c>
      <c r="L37" s="129">
        <v>21</v>
      </c>
      <c r="M37" s="109">
        <f t="shared" ref="M37:M66" si="19">IF(ISERROR(I37-K37),"",I37-K37)</f>
        <v>-11</v>
      </c>
      <c r="N37" s="130">
        <f t="shared" ref="N37:N52" si="20">SUM(O37:U37)</f>
        <v>0</v>
      </c>
      <c r="O37" s="545"/>
      <c r="P37" s="545"/>
      <c r="Q37" s="545"/>
      <c r="R37" s="545"/>
      <c r="S37" s="545"/>
      <c r="T37" s="545"/>
      <c r="U37" s="545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40" t="s">
        <v>208</v>
      </c>
      <c r="C38" s="126" t="s">
        <v>204</v>
      </c>
      <c r="D38" s="108">
        <v>5.08</v>
      </c>
      <c r="E38" s="108"/>
      <c r="F38" s="127">
        <v>42746</v>
      </c>
      <c r="G38" s="128">
        <f>108+103</f>
        <v>211</v>
      </c>
      <c r="H38" s="541">
        <f t="shared" si="11"/>
        <v>1071.8800000000001</v>
      </c>
      <c r="I38" s="129">
        <f>2.5*2</f>
        <v>5</v>
      </c>
      <c r="J38" s="130">
        <f t="array" ref="J38">IF(ISERROR(G38/I38),"",G38/I38)</f>
        <v>42.2</v>
      </c>
      <c r="K38" s="131">
        <f t="array" ref="K38">IF(ISERROR(G38/L38),"",G38/L38)</f>
        <v>10.047619047619047</v>
      </c>
      <c r="L38" s="129">
        <v>21</v>
      </c>
      <c r="M38" s="109">
        <f t="shared" si="19"/>
        <v>-5.0476190476190474</v>
      </c>
      <c r="N38" s="130">
        <f t="shared" si="20"/>
        <v>0</v>
      </c>
      <c r="O38" s="545"/>
      <c r="P38" s="545"/>
      <c r="Q38" s="545"/>
      <c r="R38" s="545"/>
      <c r="S38" s="545"/>
      <c r="T38" s="545"/>
      <c r="U38" s="545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40" t="s">
        <v>208</v>
      </c>
      <c r="C39" s="126" t="s">
        <v>205</v>
      </c>
      <c r="D39" s="108">
        <v>5.08</v>
      </c>
      <c r="E39" s="108"/>
      <c r="F39" s="127"/>
      <c r="G39" s="128"/>
      <c r="H39" s="54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45"/>
      <c r="P39" s="545"/>
      <c r="Q39" s="545"/>
      <c r="R39" s="545"/>
      <c r="S39" s="545"/>
      <c r="T39" s="545"/>
      <c r="U39" s="545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40" t="s">
        <v>208</v>
      </c>
      <c r="C40" s="126" t="s">
        <v>186</v>
      </c>
      <c r="D40" s="108">
        <v>5.08</v>
      </c>
      <c r="E40" s="108"/>
      <c r="F40" s="127"/>
      <c r="G40" s="128"/>
      <c r="H40" s="54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45"/>
      <c r="P40" s="545"/>
      <c r="Q40" s="545"/>
      <c r="R40" s="545"/>
      <c r="S40" s="545"/>
      <c r="T40" s="545"/>
      <c r="U40" s="545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40" t="s">
        <v>208</v>
      </c>
      <c r="C41" s="126" t="s">
        <v>203</v>
      </c>
      <c r="D41" s="108">
        <v>5.08</v>
      </c>
      <c r="E41" s="108"/>
      <c r="F41" s="127"/>
      <c r="G41" s="128"/>
      <c r="H41" s="54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45"/>
      <c r="P41" s="545"/>
      <c r="Q41" s="545"/>
      <c r="R41" s="545"/>
      <c r="S41" s="545"/>
      <c r="T41" s="545"/>
      <c r="U41" s="545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40" t="s">
        <v>208</v>
      </c>
      <c r="C42" s="126" t="s">
        <v>199</v>
      </c>
      <c r="D42" s="108">
        <v>5.08</v>
      </c>
      <c r="E42" s="108"/>
      <c r="F42" s="127"/>
      <c r="G42" s="128"/>
      <c r="H42" s="54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49"/>
      <c r="P42" s="549"/>
      <c r="Q42" s="549"/>
      <c r="R42" s="549"/>
      <c r="S42" s="549"/>
      <c r="T42" s="549"/>
      <c r="U42" s="54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40" t="s">
        <v>208</v>
      </c>
      <c r="C43" s="126" t="s">
        <v>187</v>
      </c>
      <c r="D43" s="108">
        <v>5.08</v>
      </c>
      <c r="E43" s="108"/>
      <c r="F43" s="127"/>
      <c r="G43" s="128"/>
      <c r="H43" s="54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45"/>
      <c r="P43" s="545"/>
      <c r="Q43" s="545"/>
      <c r="R43" s="545"/>
      <c r="S43" s="545"/>
      <c r="T43" s="545"/>
      <c r="U43" s="545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40" t="s">
        <v>208</v>
      </c>
      <c r="C44" s="126" t="s">
        <v>207</v>
      </c>
      <c r="D44" s="108">
        <v>5.08</v>
      </c>
      <c r="E44" s="108"/>
      <c r="F44" s="127"/>
      <c r="G44" s="128"/>
      <c r="H44" s="54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49"/>
      <c r="P44" s="549"/>
      <c r="Q44" s="549"/>
      <c r="R44" s="549"/>
      <c r="S44" s="549"/>
      <c r="T44" s="549"/>
      <c r="U44" s="54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540" t="s">
        <v>209</v>
      </c>
      <c r="C45" s="126" t="s">
        <v>194</v>
      </c>
      <c r="D45" s="108">
        <v>5.03</v>
      </c>
      <c r="E45" s="108"/>
      <c r="F45" s="127"/>
      <c r="G45" s="128"/>
      <c r="H45" s="54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45"/>
      <c r="P45" s="545"/>
      <c r="Q45" s="545"/>
      <c r="R45" s="545"/>
      <c r="S45" s="545"/>
      <c r="T45" s="545"/>
      <c r="U45" s="545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40" t="s">
        <v>209</v>
      </c>
      <c r="C46" s="126" t="s">
        <v>179</v>
      </c>
      <c r="D46" s="108">
        <v>5.03</v>
      </c>
      <c r="E46" s="108"/>
      <c r="F46" s="127"/>
      <c r="G46" s="128"/>
      <c r="H46" s="54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45"/>
      <c r="P46" s="545"/>
      <c r="Q46" s="545"/>
      <c r="R46" s="545"/>
      <c r="S46" s="545"/>
      <c r="T46" s="545"/>
      <c r="U46" s="545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540" t="s">
        <v>209</v>
      </c>
      <c r="C47" s="126" t="s">
        <v>195</v>
      </c>
      <c r="D47" s="108">
        <v>5.03</v>
      </c>
      <c r="E47" s="108"/>
      <c r="F47" s="127">
        <v>42746</v>
      </c>
      <c r="G47" s="128">
        <f>108*11</f>
        <v>1188</v>
      </c>
      <c r="H47" s="541">
        <f t="shared" si="11"/>
        <v>5975.64</v>
      </c>
      <c r="I47" s="129">
        <v>11</v>
      </c>
      <c r="J47" s="130">
        <f t="array" ref="J47">IF(ISERROR(G47/I47),"",G47/I47)</f>
        <v>108</v>
      </c>
      <c r="K47" s="131">
        <f t="array" ref="K47">IF(ISERROR(G47/L47),"",G47/L47)</f>
        <v>21.214285714285715</v>
      </c>
      <c r="L47" s="129">
        <v>56</v>
      </c>
      <c r="M47" s="109">
        <f t="shared" si="19"/>
        <v>-10.214285714285715</v>
      </c>
      <c r="N47" s="130">
        <f t="shared" si="20"/>
        <v>0</v>
      </c>
      <c r="O47" s="545"/>
      <c r="P47" s="545"/>
      <c r="Q47" s="545"/>
      <c r="R47" s="545"/>
      <c r="S47" s="545"/>
      <c r="T47" s="545"/>
      <c r="U47" s="545"/>
      <c r="V47" s="132">
        <f t="shared" si="21"/>
        <v>0</v>
      </c>
      <c r="W47" s="133">
        <f t="shared" si="22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40" t="s">
        <v>209</v>
      </c>
      <c r="C48" s="126" t="s">
        <v>204</v>
      </c>
      <c r="D48" s="108">
        <v>5.03</v>
      </c>
      <c r="E48" s="108"/>
      <c r="F48" s="127"/>
      <c r="G48" s="128"/>
      <c r="H48" s="54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45"/>
      <c r="P48" s="545"/>
      <c r="Q48" s="545"/>
      <c r="R48" s="545"/>
      <c r="S48" s="545"/>
      <c r="T48" s="545"/>
      <c r="U48" s="545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540" t="s">
        <v>382</v>
      </c>
      <c r="C49" s="187" t="s">
        <v>383</v>
      </c>
      <c r="D49" s="108">
        <v>5.03</v>
      </c>
      <c r="E49" s="108"/>
      <c r="F49" s="127">
        <v>42747</v>
      </c>
      <c r="G49" s="128">
        <f>90*3+95</f>
        <v>365</v>
      </c>
      <c r="H49" s="541">
        <f t="shared" si="11"/>
        <v>1835.95</v>
      </c>
      <c r="I49" s="129">
        <v>8.5</v>
      </c>
      <c r="J49" s="130">
        <f t="array" ref="J49">IF(ISERROR(G49/I49),"",G49/I49)</f>
        <v>42.941176470588232</v>
      </c>
      <c r="K49" s="131">
        <f t="array" ref="K49">IF(ISERROR(G49/L49),"",G49/L49)</f>
        <v>6.7592592592592595</v>
      </c>
      <c r="L49" s="129">
        <v>54</v>
      </c>
      <c r="M49" s="109">
        <f t="shared" si="19"/>
        <v>1.7407407407407405</v>
      </c>
      <c r="N49" s="130">
        <f t="shared" si="20"/>
        <v>0</v>
      </c>
      <c r="O49" s="545"/>
      <c r="P49" s="545"/>
      <c r="Q49" s="545"/>
      <c r="R49" s="545"/>
      <c r="S49" s="545"/>
      <c r="T49" s="545"/>
      <c r="U49" s="545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40" t="s">
        <v>382</v>
      </c>
      <c r="C50" s="187" t="s">
        <v>384</v>
      </c>
      <c r="D50" s="108">
        <v>5.03</v>
      </c>
      <c r="E50" s="108"/>
      <c r="F50" s="127"/>
      <c r="G50" s="128"/>
      <c r="H50" s="54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45"/>
      <c r="P50" s="545"/>
      <c r="Q50" s="545"/>
      <c r="R50" s="545"/>
      <c r="S50" s="545"/>
      <c r="T50" s="545"/>
      <c r="U50" s="545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40" t="s">
        <v>382</v>
      </c>
      <c r="C51" s="187" t="s">
        <v>389</v>
      </c>
      <c r="D51" s="108">
        <v>5.03</v>
      </c>
      <c r="E51" s="108"/>
      <c r="F51" s="127"/>
      <c r="G51" s="128"/>
      <c r="H51" s="54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45"/>
      <c r="P51" s="545"/>
      <c r="Q51" s="545"/>
      <c r="R51" s="545"/>
      <c r="S51" s="545"/>
      <c r="T51" s="545"/>
      <c r="U51" s="545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40" t="s">
        <v>382</v>
      </c>
      <c r="C52" s="187" t="s">
        <v>391</v>
      </c>
      <c r="D52" s="108">
        <v>5.03</v>
      </c>
      <c r="E52" s="108"/>
      <c r="F52" s="127"/>
      <c r="G52" s="128"/>
      <c r="H52" s="54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45"/>
      <c r="P52" s="545"/>
      <c r="Q52" s="545"/>
      <c r="R52" s="545"/>
      <c r="S52" s="545"/>
      <c r="T52" s="545"/>
      <c r="U52" s="545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40" t="s">
        <v>418</v>
      </c>
      <c r="C53" s="187" t="s">
        <v>364</v>
      </c>
      <c r="D53" s="108">
        <v>5.03</v>
      </c>
      <c r="E53" s="108"/>
      <c r="F53" s="127"/>
      <c r="G53" s="128"/>
      <c r="H53" s="54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45"/>
      <c r="P53" s="545"/>
      <c r="Q53" s="545"/>
      <c r="R53" s="545"/>
      <c r="S53" s="545"/>
      <c r="T53" s="545"/>
      <c r="U53" s="545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40" t="s">
        <v>418</v>
      </c>
      <c r="C54" s="187" t="s">
        <v>365</v>
      </c>
      <c r="D54" s="108">
        <v>5.03</v>
      </c>
      <c r="E54" s="108"/>
      <c r="F54" s="127"/>
      <c r="G54" s="128"/>
      <c r="H54" s="54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45"/>
      <c r="P54" s="545"/>
      <c r="Q54" s="545"/>
      <c r="R54" s="545"/>
      <c r="S54" s="545"/>
      <c r="T54" s="545"/>
      <c r="U54" s="545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40" t="s">
        <v>418</v>
      </c>
      <c r="C55" s="187" t="s">
        <v>366</v>
      </c>
      <c r="D55" s="108">
        <v>5.03</v>
      </c>
      <c r="E55" s="108"/>
      <c r="F55" s="127"/>
      <c r="G55" s="128"/>
      <c r="H55" s="54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45"/>
      <c r="P55" s="545"/>
      <c r="Q55" s="545"/>
      <c r="R55" s="545"/>
      <c r="S55" s="545"/>
      <c r="T55" s="545"/>
      <c r="U55" s="545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40" t="s">
        <v>418</v>
      </c>
      <c r="C56" s="187" t="s">
        <v>367</v>
      </c>
      <c r="D56" s="108">
        <v>5.03</v>
      </c>
      <c r="E56" s="108"/>
      <c r="F56" s="127"/>
      <c r="G56" s="128"/>
      <c r="H56" s="54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45"/>
      <c r="P56" s="545"/>
      <c r="Q56" s="545"/>
      <c r="R56" s="545"/>
      <c r="S56" s="545"/>
      <c r="T56" s="545"/>
      <c r="U56" s="545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4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49"/>
      <c r="P57" s="549"/>
      <c r="Q57" s="549"/>
      <c r="R57" s="549"/>
      <c r="S57" s="549"/>
      <c r="T57" s="549"/>
      <c r="U57" s="54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4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49"/>
      <c r="P58" s="549"/>
      <c r="Q58" s="549"/>
      <c r="R58" s="549"/>
      <c r="S58" s="549"/>
      <c r="T58" s="549"/>
      <c r="U58" s="54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4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49"/>
      <c r="P59" s="549"/>
      <c r="Q59" s="549"/>
      <c r="R59" s="549"/>
      <c r="S59" s="549"/>
      <c r="T59" s="549"/>
      <c r="U59" s="54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4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49"/>
      <c r="P60" s="549"/>
      <c r="Q60" s="549"/>
      <c r="R60" s="549"/>
      <c r="S60" s="549"/>
      <c r="T60" s="549"/>
      <c r="U60" s="54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4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49"/>
      <c r="P61" s="549"/>
      <c r="Q61" s="549"/>
      <c r="R61" s="549"/>
      <c r="S61" s="549"/>
      <c r="T61" s="549"/>
      <c r="U61" s="54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4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49"/>
      <c r="P62" s="549"/>
      <c r="Q62" s="549"/>
      <c r="R62" s="549"/>
      <c r="S62" s="549"/>
      <c r="T62" s="549"/>
      <c r="U62" s="54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4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49"/>
      <c r="P63" s="549"/>
      <c r="Q63" s="549"/>
      <c r="R63" s="549"/>
      <c r="S63" s="549"/>
      <c r="T63" s="549"/>
      <c r="U63" s="54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4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49"/>
      <c r="P64" s="549"/>
      <c r="Q64" s="549"/>
      <c r="R64" s="549"/>
      <c r="S64" s="549"/>
      <c r="T64" s="549"/>
      <c r="U64" s="54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42747</v>
      </c>
      <c r="G65" s="128">
        <f>90*2+53</f>
        <v>233</v>
      </c>
      <c r="H65" s="541">
        <f t="shared" si="11"/>
        <v>1171.99</v>
      </c>
      <c r="I65" s="129">
        <v>2.5</v>
      </c>
      <c r="J65" s="130">
        <f t="array" ref="J65">IF(ISERROR(G65/I65),"",G65/I65)</f>
        <v>93.2</v>
      </c>
      <c r="K65" s="131">
        <f t="array" ref="K65">IF(ISERROR(G65/L65),"",G65/L65)</f>
        <v>4.66</v>
      </c>
      <c r="L65" s="129">
        <v>50</v>
      </c>
      <c r="M65" s="109">
        <f t="shared" si="19"/>
        <v>-2.16</v>
      </c>
      <c r="N65" s="130">
        <f t="shared" si="23"/>
        <v>0</v>
      </c>
      <c r="O65" s="549"/>
      <c r="P65" s="549"/>
      <c r="Q65" s="549"/>
      <c r="R65" s="549"/>
      <c r="S65" s="549"/>
      <c r="T65" s="549"/>
      <c r="U65" s="549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42744</v>
      </c>
      <c r="G66" s="527">
        <v>90</v>
      </c>
      <c r="H66" s="541">
        <f t="shared" si="11"/>
        <v>452.70000000000005</v>
      </c>
      <c r="I66" s="129">
        <v>2</v>
      </c>
      <c r="J66" s="130">
        <f t="array" ref="J66">IF(ISERROR(G66/I66),"",G66/I66)</f>
        <v>45</v>
      </c>
      <c r="K66" s="131">
        <f t="array" ref="K66">IF(ISERROR(G66/L66),"",G66/L66)</f>
        <v>1.8</v>
      </c>
      <c r="L66" s="129">
        <v>50</v>
      </c>
      <c r="M66" s="109">
        <f t="shared" si="19"/>
        <v>0.19999999999999996</v>
      </c>
      <c r="N66" s="130">
        <f t="shared" si="23"/>
        <v>0</v>
      </c>
      <c r="O66" s="549"/>
      <c r="P66" s="549"/>
      <c r="Q66" s="549"/>
      <c r="R66" s="549"/>
      <c r="S66" s="549"/>
      <c r="T66" s="549"/>
      <c r="U66" s="549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4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49"/>
      <c r="P67" s="549"/>
      <c r="Q67" s="549"/>
      <c r="R67" s="549"/>
      <c r="S67" s="549"/>
      <c r="T67" s="549"/>
      <c r="U67" s="54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4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49"/>
      <c r="P68" s="549"/>
      <c r="Q68" s="549"/>
      <c r="R68" s="549"/>
      <c r="S68" s="549"/>
      <c r="T68" s="549"/>
      <c r="U68" s="54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4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49"/>
      <c r="P69" s="549"/>
      <c r="Q69" s="549"/>
      <c r="R69" s="549"/>
      <c r="S69" s="549"/>
      <c r="T69" s="549"/>
      <c r="U69" s="54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4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49"/>
      <c r="P70" s="549"/>
      <c r="Q70" s="549"/>
      <c r="R70" s="549"/>
      <c r="S70" s="549"/>
      <c r="T70" s="549"/>
      <c r="U70" s="54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41">
        <f t="shared" si="11"/>
        <v>0</v>
      </c>
      <c r="I71" s="129"/>
      <c r="J71" s="130"/>
      <c r="K71" s="131"/>
      <c r="L71" s="129"/>
      <c r="M71" s="109"/>
      <c r="N71" s="130"/>
      <c r="O71" s="549"/>
      <c r="P71" s="549"/>
      <c r="Q71" s="549"/>
      <c r="R71" s="549"/>
      <c r="S71" s="549"/>
      <c r="T71" s="549"/>
      <c r="U71" s="54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4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49"/>
      <c r="P72" s="549"/>
      <c r="Q72" s="549"/>
      <c r="R72" s="549"/>
      <c r="S72" s="549"/>
      <c r="T72" s="549"/>
      <c r="U72" s="54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4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49"/>
      <c r="P73" s="549"/>
      <c r="Q73" s="549"/>
      <c r="R73" s="549"/>
      <c r="S73" s="549"/>
      <c r="T73" s="549"/>
      <c r="U73" s="54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4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49"/>
      <c r="P74" s="549"/>
      <c r="Q74" s="549"/>
      <c r="R74" s="549"/>
      <c r="S74" s="549"/>
      <c r="T74" s="549"/>
      <c r="U74" s="54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4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49"/>
      <c r="P75" s="549"/>
      <c r="Q75" s="549"/>
      <c r="R75" s="549"/>
      <c r="S75" s="549"/>
      <c r="T75" s="549"/>
      <c r="U75" s="54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4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49"/>
      <c r="P76" s="549"/>
      <c r="Q76" s="549"/>
      <c r="R76" s="549"/>
      <c r="S76" s="549"/>
      <c r="T76" s="549"/>
      <c r="U76" s="54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4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49"/>
      <c r="P77" s="549"/>
      <c r="Q77" s="549"/>
      <c r="R77" s="549"/>
      <c r="S77" s="549"/>
      <c r="T77" s="549"/>
      <c r="U77" s="54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4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49"/>
      <c r="P78" s="549"/>
      <c r="Q78" s="549"/>
      <c r="R78" s="549"/>
      <c r="S78" s="549"/>
      <c r="T78" s="549"/>
      <c r="U78" s="54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4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49"/>
      <c r="P79" s="549"/>
      <c r="Q79" s="549"/>
      <c r="R79" s="549"/>
      <c r="S79" s="549"/>
      <c r="T79" s="549"/>
      <c r="U79" s="54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4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49"/>
      <c r="P80" s="549"/>
      <c r="Q80" s="549"/>
      <c r="R80" s="549"/>
      <c r="S80" s="549"/>
      <c r="T80" s="549"/>
      <c r="U80" s="54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4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49"/>
      <c r="P81" s="549"/>
      <c r="Q81" s="549"/>
      <c r="R81" s="549"/>
      <c r="S81" s="549"/>
      <c r="T81" s="549"/>
      <c r="U81" s="54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4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49"/>
      <c r="P82" s="549"/>
      <c r="Q82" s="549"/>
      <c r="R82" s="549"/>
      <c r="S82" s="549"/>
      <c r="T82" s="549"/>
      <c r="U82" s="54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4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49"/>
      <c r="P83" s="549"/>
      <c r="Q83" s="549"/>
      <c r="R83" s="549"/>
      <c r="S83" s="549"/>
      <c r="T83" s="549"/>
      <c r="U83" s="54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4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49"/>
      <c r="P84" s="549"/>
      <c r="Q84" s="549"/>
      <c r="R84" s="549"/>
      <c r="S84" s="549"/>
      <c r="T84" s="549"/>
      <c r="U84" s="54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4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49"/>
      <c r="P85" s="549"/>
      <c r="Q85" s="549"/>
      <c r="R85" s="549"/>
      <c r="S85" s="549"/>
      <c r="T85" s="549"/>
      <c r="U85" s="54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50" t="s">
        <v>202</v>
      </c>
      <c r="D86" s="143"/>
      <c r="E86" s="143"/>
      <c r="F86" s="144"/>
      <c r="G86" s="145">
        <f>SUM(G29:G85)</f>
        <v>2633</v>
      </c>
      <c r="H86" s="146">
        <f>SUM(H29:H85)</f>
        <v>13281.840000000002</v>
      </c>
      <c r="I86" s="146">
        <f>SUM(I29:I85)</f>
        <v>44</v>
      </c>
      <c r="J86" s="130">
        <f t="array" ref="J86">IF(ISERROR(G86/I86),"",G86/I86)</f>
        <v>59.840909090909093</v>
      </c>
      <c r="K86" s="146">
        <f>SUM(K29:K85)</f>
        <v>70.48116402116402</v>
      </c>
      <c r="L86" s="147"/>
      <c r="M86" s="150">
        <f t="shared" ref="M86:V86" si="34">SUM(M29:M85)</f>
        <v>-26.481164021164023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40" t="s">
        <v>217</v>
      </c>
      <c r="C87" s="126" t="s">
        <v>179</v>
      </c>
      <c r="D87" s="108">
        <v>5.03</v>
      </c>
      <c r="E87" s="108"/>
      <c r="F87" s="127"/>
      <c r="G87" s="128"/>
      <c r="H87" s="54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49"/>
      <c r="P87" s="549"/>
      <c r="Q87" s="549"/>
      <c r="R87" s="549"/>
      <c r="S87" s="549"/>
      <c r="T87" s="549"/>
      <c r="U87" s="54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40" t="s">
        <v>217</v>
      </c>
      <c r="C88" s="126" t="s">
        <v>186</v>
      </c>
      <c r="D88" s="108">
        <v>5.03</v>
      </c>
      <c r="E88" s="108"/>
      <c r="F88" s="127"/>
      <c r="G88" s="128"/>
      <c r="H88" s="54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49"/>
      <c r="P88" s="549"/>
      <c r="Q88" s="549"/>
      <c r="R88" s="549"/>
      <c r="S88" s="549"/>
      <c r="T88" s="549"/>
      <c r="U88" s="54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40" t="s">
        <v>217</v>
      </c>
      <c r="C89" s="126" t="s">
        <v>204</v>
      </c>
      <c r="D89" s="108">
        <v>5.03</v>
      </c>
      <c r="E89" s="108"/>
      <c r="F89" s="127"/>
      <c r="G89" s="128"/>
      <c r="H89" s="54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49"/>
      <c r="P89" s="549"/>
      <c r="Q89" s="549"/>
      <c r="R89" s="549"/>
      <c r="S89" s="549"/>
      <c r="T89" s="549"/>
      <c r="U89" s="54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4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49"/>
      <c r="P90" s="549"/>
      <c r="Q90" s="549"/>
      <c r="R90" s="549"/>
      <c r="S90" s="549"/>
      <c r="T90" s="549"/>
      <c r="U90" s="54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4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49"/>
      <c r="P91" s="549"/>
      <c r="Q91" s="549"/>
      <c r="R91" s="549"/>
      <c r="S91" s="549"/>
      <c r="T91" s="549"/>
      <c r="U91" s="54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4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49"/>
      <c r="P92" s="549"/>
      <c r="Q92" s="549"/>
      <c r="R92" s="549"/>
      <c r="S92" s="549"/>
      <c r="T92" s="549"/>
      <c r="U92" s="54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4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49"/>
      <c r="P93" s="549"/>
      <c r="Q93" s="549"/>
      <c r="R93" s="549"/>
      <c r="S93" s="549"/>
      <c r="T93" s="549"/>
      <c r="U93" s="54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4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49"/>
      <c r="P94" s="549"/>
      <c r="Q94" s="549"/>
      <c r="R94" s="549"/>
      <c r="S94" s="549"/>
      <c r="T94" s="549"/>
      <c r="U94" s="54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>
        <v>42747</v>
      </c>
      <c r="G95" s="128">
        <v>33</v>
      </c>
      <c r="H95" s="541">
        <f t="shared" si="36"/>
        <v>165.99</v>
      </c>
      <c r="I95" s="129">
        <f>0.5*3</f>
        <v>1.5</v>
      </c>
      <c r="J95" s="130">
        <f t="array" ref="J95">IF(ISERROR(G95/I95),"",G95/I95)</f>
        <v>22</v>
      </c>
      <c r="K95" s="131">
        <f t="array" ref="K95">IF(ISERROR(G95/L95),"",G95/L95)</f>
        <v>4.125</v>
      </c>
      <c r="L95" s="129">
        <v>8</v>
      </c>
      <c r="M95" s="109">
        <f t="shared" si="37"/>
        <v>-2.625</v>
      </c>
      <c r="N95" s="130">
        <f t="shared" ref="N95:N114" si="40">SUM(O95:U95)</f>
        <v>0</v>
      </c>
      <c r="O95" s="549"/>
      <c r="P95" s="549"/>
      <c r="Q95" s="549"/>
      <c r="R95" s="549"/>
      <c r="S95" s="549"/>
      <c r="T95" s="549"/>
      <c r="U95" s="549"/>
      <c r="V95" s="132">
        <f t="shared" ref="V95:V102" si="41">SUM(X95:AA95)</f>
        <v>0</v>
      </c>
      <c r="W95" s="133">
        <f t="shared" ref="W95:W106" si="42">IF(ISERROR(V95/G95),"",V95/G95)</f>
        <v>0</v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4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49"/>
      <c r="P96" s="549"/>
      <c r="Q96" s="549"/>
      <c r="R96" s="549"/>
      <c r="S96" s="549"/>
      <c r="T96" s="549"/>
      <c r="U96" s="54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4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49"/>
      <c r="P97" s="549"/>
      <c r="Q97" s="549"/>
      <c r="R97" s="549"/>
      <c r="S97" s="549"/>
      <c r="T97" s="549"/>
      <c r="U97" s="54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>
        <v>42747</v>
      </c>
      <c r="G98" s="128">
        <f>12+90</f>
        <v>102</v>
      </c>
      <c r="H98" s="541">
        <f t="shared" si="36"/>
        <v>513.06000000000006</v>
      </c>
      <c r="I98" s="129">
        <f>3.5*3</f>
        <v>10.5</v>
      </c>
      <c r="J98" s="130">
        <f t="array" ref="J98">IF(ISERROR(G98/I98),"",G98/I98)</f>
        <v>9.7142857142857135</v>
      </c>
      <c r="K98" s="131">
        <f t="array" ref="K98">IF(ISERROR(G98/L98),"",G98/L98)</f>
        <v>12.75</v>
      </c>
      <c r="L98" s="129">
        <v>8</v>
      </c>
      <c r="M98" s="109">
        <f t="shared" si="37"/>
        <v>-2.25</v>
      </c>
      <c r="N98" s="130">
        <f t="shared" si="40"/>
        <v>0</v>
      </c>
      <c r="O98" s="549"/>
      <c r="P98" s="549"/>
      <c r="Q98" s="549"/>
      <c r="R98" s="549"/>
      <c r="S98" s="549"/>
      <c r="T98" s="549"/>
      <c r="U98" s="549"/>
      <c r="V98" s="132">
        <f t="shared" si="41"/>
        <v>0</v>
      </c>
      <c r="W98" s="133">
        <f t="shared" si="42"/>
        <v>0</v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4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49"/>
      <c r="P99" s="549"/>
      <c r="Q99" s="549"/>
      <c r="R99" s="549"/>
      <c r="S99" s="549"/>
      <c r="T99" s="549"/>
      <c r="U99" s="54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4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49"/>
      <c r="P100" s="549"/>
      <c r="Q100" s="549"/>
      <c r="R100" s="549"/>
      <c r="S100" s="549"/>
      <c r="T100" s="549"/>
      <c r="U100" s="54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4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49"/>
      <c r="P101" s="549"/>
      <c r="Q101" s="549"/>
      <c r="R101" s="549"/>
      <c r="S101" s="549"/>
      <c r="T101" s="549"/>
      <c r="U101" s="54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4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49"/>
      <c r="P102" s="549"/>
      <c r="Q102" s="549"/>
      <c r="R102" s="549"/>
      <c r="S102" s="549"/>
      <c r="T102" s="549"/>
      <c r="U102" s="54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4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4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49"/>
      <c r="P103" s="549"/>
      <c r="Q103" s="549"/>
      <c r="R103" s="549"/>
      <c r="S103" s="549"/>
      <c r="T103" s="549"/>
      <c r="U103" s="54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4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4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49"/>
      <c r="P104" s="549"/>
      <c r="Q104" s="549"/>
      <c r="R104" s="549"/>
      <c r="S104" s="549"/>
      <c r="T104" s="549"/>
      <c r="U104" s="54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4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4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49"/>
      <c r="P105" s="549"/>
      <c r="Q105" s="549"/>
      <c r="R105" s="549"/>
      <c r="S105" s="549"/>
      <c r="T105" s="549"/>
      <c r="U105" s="54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4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4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49"/>
      <c r="P106" s="549"/>
      <c r="Q106" s="549"/>
      <c r="R106" s="549"/>
      <c r="S106" s="549"/>
      <c r="T106" s="549"/>
      <c r="U106" s="54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40" t="s">
        <v>393</v>
      </c>
      <c r="C107" s="187" t="s">
        <v>395</v>
      </c>
      <c r="D107" s="108">
        <v>5</v>
      </c>
      <c r="E107" s="108"/>
      <c r="F107" s="127">
        <v>42747</v>
      </c>
      <c r="G107" s="128">
        <v>67</v>
      </c>
      <c r="H107" s="541">
        <f t="shared" si="36"/>
        <v>335</v>
      </c>
      <c r="I107" s="129">
        <f>2.5*4</f>
        <v>10</v>
      </c>
      <c r="J107" s="130">
        <f t="array" ref="J107">IF(ISERROR(G107/I107),"",G107/I107)</f>
        <v>6.7</v>
      </c>
      <c r="K107" s="131">
        <f t="array" ref="K107">IF(ISERROR(G107/L107),"",G107/L107)</f>
        <v>13.4</v>
      </c>
      <c r="L107" s="129">
        <v>5</v>
      </c>
      <c r="M107" s="109">
        <f t="shared" si="37"/>
        <v>-3.4000000000000004</v>
      </c>
      <c r="N107" s="130">
        <f t="shared" si="40"/>
        <v>0</v>
      </c>
      <c r="O107" s="549"/>
      <c r="P107" s="549"/>
      <c r="Q107" s="549"/>
      <c r="R107" s="549"/>
      <c r="S107" s="549"/>
      <c r="T107" s="549"/>
      <c r="U107" s="54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40" t="s">
        <v>393</v>
      </c>
      <c r="C108" s="187" t="s">
        <v>402</v>
      </c>
      <c r="D108" s="108">
        <v>5</v>
      </c>
      <c r="E108" s="108"/>
      <c r="F108" s="127"/>
      <c r="G108" s="128"/>
      <c r="H108" s="54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49"/>
      <c r="P108" s="549"/>
      <c r="Q108" s="549"/>
      <c r="R108" s="549"/>
      <c r="S108" s="549"/>
      <c r="T108" s="549"/>
      <c r="U108" s="54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40" t="s">
        <v>404</v>
      </c>
      <c r="C109" s="187" t="s">
        <v>405</v>
      </c>
      <c r="D109" s="108">
        <v>5</v>
      </c>
      <c r="E109" s="108"/>
      <c r="F109" s="127">
        <v>42746</v>
      </c>
      <c r="G109" s="128">
        <f>20+90*4+90</f>
        <v>470</v>
      </c>
      <c r="H109" s="541">
        <f t="shared" si="36"/>
        <v>2350</v>
      </c>
      <c r="I109" s="129">
        <f>11*5+8.5*4</f>
        <v>89</v>
      </c>
      <c r="J109" s="130">
        <f t="array" ref="J109">IF(ISERROR(G109/I109),"",G109/I109)</f>
        <v>5.2808988764044944</v>
      </c>
      <c r="K109" s="131">
        <f t="array" ref="K109">IF(ISERROR(G109/L109),"",G109/L109)</f>
        <v>94</v>
      </c>
      <c r="L109" s="129">
        <v>5</v>
      </c>
      <c r="M109" s="109">
        <f t="shared" si="37"/>
        <v>-5</v>
      </c>
      <c r="N109" s="130">
        <f t="shared" si="40"/>
        <v>0</v>
      </c>
      <c r="O109" s="549"/>
      <c r="P109" s="549"/>
      <c r="Q109" s="549"/>
      <c r="R109" s="549"/>
      <c r="S109" s="549"/>
      <c r="T109" s="549"/>
      <c r="U109" s="54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40" t="s">
        <v>492</v>
      </c>
      <c r="C110" s="187" t="s">
        <v>372</v>
      </c>
      <c r="D110" s="108">
        <v>5</v>
      </c>
      <c r="E110" s="108"/>
      <c r="F110" s="127"/>
      <c r="G110" s="128"/>
      <c r="H110" s="54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49"/>
      <c r="P110" s="549"/>
      <c r="Q110" s="549"/>
      <c r="R110" s="549"/>
      <c r="S110" s="549"/>
      <c r="T110" s="549"/>
      <c r="U110" s="54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40" t="s">
        <v>343</v>
      </c>
      <c r="C111" s="126" t="s">
        <v>345</v>
      </c>
      <c r="D111" s="108">
        <v>5</v>
      </c>
      <c r="E111" s="108"/>
      <c r="F111" s="127"/>
      <c r="G111" s="128"/>
      <c r="H111" s="54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49"/>
      <c r="P111" s="549"/>
      <c r="Q111" s="549"/>
      <c r="R111" s="549"/>
      <c r="S111" s="549"/>
      <c r="T111" s="549"/>
      <c r="U111" s="54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40" t="s">
        <v>343</v>
      </c>
      <c r="C112" s="126" t="s">
        <v>347</v>
      </c>
      <c r="D112" s="108">
        <v>5</v>
      </c>
      <c r="E112" s="108"/>
      <c r="F112" s="127"/>
      <c r="G112" s="128"/>
      <c r="H112" s="54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49"/>
      <c r="P112" s="549"/>
      <c r="Q112" s="549"/>
      <c r="R112" s="549"/>
      <c r="S112" s="549"/>
      <c r="T112" s="549"/>
      <c r="U112" s="54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4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49"/>
      <c r="P113" s="549"/>
      <c r="Q113" s="549"/>
      <c r="R113" s="549"/>
      <c r="S113" s="549"/>
      <c r="T113" s="549"/>
      <c r="U113" s="54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4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49"/>
      <c r="P114" s="549"/>
      <c r="Q114" s="549"/>
      <c r="R114" s="549"/>
      <c r="S114" s="549"/>
      <c r="T114" s="549"/>
      <c r="U114" s="54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4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49"/>
      <c r="P115" s="549"/>
      <c r="Q115" s="549"/>
      <c r="R115" s="549"/>
      <c r="S115" s="549"/>
      <c r="T115" s="549"/>
      <c r="U115" s="54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4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49"/>
      <c r="P116" s="549"/>
      <c r="Q116" s="549"/>
      <c r="R116" s="549"/>
      <c r="S116" s="549"/>
      <c r="T116" s="549"/>
      <c r="U116" s="54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4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49"/>
      <c r="P117" s="549"/>
      <c r="Q117" s="549"/>
      <c r="R117" s="549"/>
      <c r="S117" s="549"/>
      <c r="T117" s="549"/>
      <c r="U117" s="54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4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49"/>
      <c r="P118" s="549"/>
      <c r="Q118" s="549"/>
      <c r="R118" s="549"/>
      <c r="S118" s="549"/>
      <c r="T118" s="549"/>
      <c r="U118" s="54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4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49"/>
      <c r="P119" s="549"/>
      <c r="Q119" s="549"/>
      <c r="R119" s="549"/>
      <c r="S119" s="549"/>
      <c r="T119" s="549"/>
      <c r="U119" s="54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41">
        <f t="shared" si="36"/>
        <v>0</v>
      </c>
      <c r="I120" s="129"/>
      <c r="J120" s="130" t="str">
        <f t="array" ref="J120">IF(ISERROR(G120/I120),"",G120/I120)</f>
        <v/>
      </c>
      <c r="K120" s="541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49"/>
      <c r="P120" s="549"/>
      <c r="Q120" s="549"/>
      <c r="R120" s="549"/>
      <c r="S120" s="549"/>
      <c r="T120" s="549"/>
      <c r="U120" s="54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550" t="s">
        <v>202</v>
      </c>
      <c r="D121" s="143"/>
      <c r="E121" s="143"/>
      <c r="F121" s="144"/>
      <c r="G121" s="145">
        <f>SUM(G87:G120)</f>
        <v>672</v>
      </c>
      <c r="H121" s="146">
        <f>SUM(H87:H120)</f>
        <v>3364.05</v>
      </c>
      <c r="I121" s="146">
        <f>SUM(I87:I120)</f>
        <v>111</v>
      </c>
      <c r="J121" s="130">
        <f t="array" ref="J121">IF(ISERROR(G121/I121),"",G121/I121)</f>
        <v>6.0540540540540544</v>
      </c>
      <c r="K121" s="146">
        <f>SUM(K87:K120)</f>
        <v>124.27500000000001</v>
      </c>
      <c r="L121" s="147"/>
      <c r="M121" s="150">
        <f t="shared" ref="M121:V121" si="50">SUM(M87:M120)</f>
        <v>-13.275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42746</v>
      </c>
      <c r="G122" s="128">
        <f>90*2</f>
        <v>180</v>
      </c>
      <c r="H122" s="541">
        <f t="shared" ref="H122:H136" si="51">D122*G122</f>
        <v>905.40000000000009</v>
      </c>
      <c r="I122" s="129">
        <f>2.5*2</f>
        <v>5</v>
      </c>
      <c r="J122" s="130">
        <f t="array" ref="J122">IF(ISERROR(G122/I122),"",G122/I122)</f>
        <v>36</v>
      </c>
      <c r="K122" s="131">
        <f t="array" ref="K122">IF(ISERROR(G122/L122),"",G122/L122)</f>
        <v>7.2</v>
      </c>
      <c r="L122" s="129">
        <v>25</v>
      </c>
      <c r="M122" s="109">
        <f t="shared" ref="M122:M136" si="52">IF(ISERROR(I122-K122),"",I122-K122)</f>
        <v>-2.2000000000000002</v>
      </c>
      <c r="N122" s="130">
        <f t="shared" ref="N122:N136" si="53">SUM(O122:U122)</f>
        <v>0</v>
      </c>
      <c r="O122" s="549"/>
      <c r="P122" s="549"/>
      <c r="Q122" s="549"/>
      <c r="R122" s="549"/>
      <c r="S122" s="549"/>
      <c r="T122" s="549"/>
      <c r="U122" s="549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42746</v>
      </c>
      <c r="G123" s="128">
        <f>90*5+11</f>
        <v>461</v>
      </c>
      <c r="H123" s="541">
        <f t="shared" si="51"/>
        <v>2318.83</v>
      </c>
      <c r="I123" s="129">
        <f>8.5*2</f>
        <v>17</v>
      </c>
      <c r="J123" s="130">
        <f t="array" ref="J123">IF(ISERROR(G123/I123),"",G123/I123)</f>
        <v>27.117647058823529</v>
      </c>
      <c r="K123" s="131">
        <f t="array" ref="K123">IF(ISERROR(G123/L123),"",G123/L123)</f>
        <v>18.440000000000001</v>
      </c>
      <c r="L123" s="129">
        <v>25</v>
      </c>
      <c r="M123" s="109">
        <f t="shared" si="52"/>
        <v>-1.4400000000000013</v>
      </c>
      <c r="N123" s="130">
        <f t="shared" si="53"/>
        <v>0</v>
      </c>
      <c r="O123" s="549"/>
      <c r="P123" s="549"/>
      <c r="Q123" s="549"/>
      <c r="R123" s="549"/>
      <c r="S123" s="549"/>
      <c r="T123" s="549"/>
      <c r="U123" s="549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4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49"/>
      <c r="P124" s="549"/>
      <c r="Q124" s="549"/>
      <c r="R124" s="549"/>
      <c r="S124" s="549"/>
      <c r="T124" s="549"/>
      <c r="U124" s="54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4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49"/>
      <c r="P125" s="549"/>
      <c r="Q125" s="549"/>
      <c r="R125" s="549"/>
      <c r="S125" s="549"/>
      <c r="T125" s="549"/>
      <c r="U125" s="54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46" t="s">
        <v>203</v>
      </c>
      <c r="D126" s="108">
        <v>5.03</v>
      </c>
      <c r="E126" s="108"/>
      <c r="F126" s="127"/>
      <c r="G126" s="128"/>
      <c r="H126" s="54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49"/>
      <c r="P126" s="549"/>
      <c r="Q126" s="549"/>
      <c r="R126" s="549"/>
      <c r="S126" s="549"/>
      <c r="T126" s="549"/>
      <c r="U126" s="54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4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49"/>
      <c r="P127" s="549"/>
      <c r="Q127" s="549"/>
      <c r="R127" s="549"/>
      <c r="S127" s="549"/>
      <c r="T127" s="549"/>
      <c r="U127" s="54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4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49"/>
      <c r="P128" s="549"/>
      <c r="Q128" s="549"/>
      <c r="R128" s="549"/>
      <c r="S128" s="549"/>
      <c r="T128" s="549"/>
      <c r="U128" s="54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46" t="s">
        <v>228</v>
      </c>
      <c r="D129" s="108">
        <v>5.03</v>
      </c>
      <c r="E129" s="108"/>
      <c r="F129" s="127"/>
      <c r="G129" s="128"/>
      <c r="H129" s="54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49"/>
      <c r="P129" s="549"/>
      <c r="Q129" s="549"/>
      <c r="R129" s="549"/>
      <c r="S129" s="549"/>
      <c r="T129" s="549"/>
      <c r="U129" s="54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46" t="s">
        <v>212</v>
      </c>
      <c r="D130" s="108">
        <v>5.03</v>
      </c>
      <c r="E130" s="108"/>
      <c r="F130" s="127"/>
      <c r="G130" s="128"/>
      <c r="H130" s="54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49"/>
      <c r="P130" s="549"/>
      <c r="Q130" s="549"/>
      <c r="R130" s="549"/>
      <c r="S130" s="549"/>
      <c r="T130" s="549"/>
      <c r="U130" s="54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46" t="s">
        <v>203</v>
      </c>
      <c r="D131" s="108">
        <v>5.03</v>
      </c>
      <c r="E131" s="108"/>
      <c r="F131" s="127"/>
      <c r="G131" s="128"/>
      <c r="H131" s="54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49"/>
      <c r="P131" s="549"/>
      <c r="Q131" s="549"/>
      <c r="R131" s="549"/>
      <c r="S131" s="549"/>
      <c r="T131" s="549"/>
      <c r="U131" s="54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46" t="s">
        <v>186</v>
      </c>
      <c r="D132" s="108">
        <v>5.03</v>
      </c>
      <c r="E132" s="108"/>
      <c r="F132" s="127"/>
      <c r="G132" s="128"/>
      <c r="H132" s="54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49"/>
      <c r="P132" s="549"/>
      <c r="Q132" s="549"/>
      <c r="R132" s="549"/>
      <c r="S132" s="549"/>
      <c r="T132" s="549"/>
      <c r="U132" s="54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46" t="s">
        <v>228</v>
      </c>
      <c r="D133" s="108">
        <v>5.03</v>
      </c>
      <c r="E133" s="108"/>
      <c r="F133" s="127"/>
      <c r="G133" s="128"/>
      <c r="H133" s="54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49"/>
      <c r="P133" s="549"/>
      <c r="Q133" s="549"/>
      <c r="R133" s="549"/>
      <c r="S133" s="549"/>
      <c r="T133" s="549"/>
      <c r="U133" s="54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46" t="s">
        <v>199</v>
      </c>
      <c r="D134" s="108">
        <v>5.03</v>
      </c>
      <c r="E134" s="108"/>
      <c r="F134" s="127"/>
      <c r="G134" s="128"/>
      <c r="H134" s="54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49"/>
      <c r="P134" s="549"/>
      <c r="Q134" s="549"/>
      <c r="R134" s="549"/>
      <c r="S134" s="549"/>
      <c r="T134" s="549"/>
      <c r="U134" s="54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54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49"/>
      <c r="P135" s="549"/>
      <c r="Q135" s="549"/>
      <c r="R135" s="549"/>
      <c r="S135" s="549"/>
      <c r="T135" s="549"/>
      <c r="U135" s="54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4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49"/>
      <c r="P136" s="549"/>
      <c r="Q136" s="549"/>
      <c r="R136" s="549"/>
      <c r="S136" s="549"/>
      <c r="T136" s="549"/>
      <c r="U136" s="54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550" t="s">
        <v>202</v>
      </c>
      <c r="D137" s="143"/>
      <c r="E137" s="143"/>
      <c r="F137" s="144"/>
      <c r="G137" s="145">
        <f>SUM(G122:G136)</f>
        <v>641</v>
      </c>
      <c r="H137" s="146">
        <f>SUM(H122:H136)</f>
        <v>3224.23</v>
      </c>
      <c r="I137" s="146">
        <f>SUM(I122:I136)</f>
        <v>22</v>
      </c>
      <c r="J137" s="130">
        <f t="array" ref="J137">IF(ISERROR(G137/I137),"",G137/I137)</f>
        <v>29.136363636363637</v>
      </c>
      <c r="K137" s="146">
        <f>SUM(K122:K136)</f>
        <v>25.64</v>
      </c>
      <c r="L137" s="147"/>
      <c r="M137" s="150">
        <f>SUM(M122:M136)</f>
        <v>-3.6400000000000015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4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49"/>
      <c r="P138" s="549"/>
      <c r="Q138" s="549"/>
      <c r="R138" s="549"/>
      <c r="S138" s="549"/>
      <c r="T138" s="549"/>
      <c r="U138" s="54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4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49"/>
      <c r="P139" s="549"/>
      <c r="Q139" s="549"/>
      <c r="R139" s="549"/>
      <c r="S139" s="549"/>
      <c r="T139" s="549"/>
      <c r="U139" s="54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4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49"/>
      <c r="P140" s="549"/>
      <c r="Q140" s="549"/>
      <c r="R140" s="549"/>
      <c r="S140" s="549"/>
      <c r="T140" s="549"/>
      <c r="U140" s="54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4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49"/>
      <c r="P141" s="549"/>
      <c r="Q141" s="549"/>
      <c r="R141" s="549"/>
      <c r="S141" s="549"/>
      <c r="T141" s="549"/>
      <c r="U141" s="54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4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49"/>
      <c r="P142" s="549"/>
      <c r="Q142" s="549"/>
      <c r="R142" s="549"/>
      <c r="S142" s="549"/>
      <c r="T142" s="549"/>
      <c r="U142" s="54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4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49"/>
      <c r="P143" s="549"/>
      <c r="Q143" s="549"/>
      <c r="R143" s="549"/>
      <c r="S143" s="549"/>
      <c r="T143" s="549"/>
      <c r="U143" s="54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4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49"/>
      <c r="P144" s="549"/>
      <c r="Q144" s="549"/>
      <c r="R144" s="549"/>
      <c r="S144" s="549"/>
      <c r="T144" s="549"/>
      <c r="U144" s="54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4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49"/>
      <c r="P145" s="549"/>
      <c r="Q145" s="549"/>
      <c r="R145" s="549"/>
      <c r="S145" s="549"/>
      <c r="T145" s="549"/>
      <c r="U145" s="54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541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49"/>
      <c r="P146" s="549"/>
      <c r="Q146" s="549"/>
      <c r="R146" s="549"/>
      <c r="S146" s="549"/>
      <c r="T146" s="549"/>
      <c r="U146" s="549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4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49"/>
      <c r="P147" s="549"/>
      <c r="Q147" s="549"/>
      <c r="R147" s="549"/>
      <c r="S147" s="549"/>
      <c r="T147" s="549"/>
      <c r="U147" s="54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18" t="s">
        <v>234</v>
      </c>
      <c r="B148" s="619"/>
      <c r="C148" s="550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47"/>
      <c r="D149" s="108">
        <v>3.65</v>
      </c>
      <c r="E149" s="108"/>
      <c r="F149" s="153"/>
      <c r="G149" s="128"/>
      <c r="H149" s="541">
        <f t="shared" ref="H149:H162" si="63">D149*G149</f>
        <v>0</v>
      </c>
      <c r="I149" s="129"/>
      <c r="J149" s="130" t="str">
        <f t="array" ref="J149">IF(ISERROR(G149/I149),"",G149/I149)</f>
        <v/>
      </c>
      <c r="K149" s="54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49"/>
      <c r="P149" s="549"/>
      <c r="Q149" s="549"/>
      <c r="R149" s="549"/>
      <c r="S149" s="549"/>
      <c r="T149" s="549"/>
      <c r="U149" s="54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47"/>
      <c r="D150" s="108">
        <v>6.58</v>
      </c>
      <c r="E150" s="108"/>
      <c r="F150" s="127"/>
      <c r="G150" s="128"/>
      <c r="H150" s="54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49"/>
      <c r="P150" s="549"/>
      <c r="Q150" s="549"/>
      <c r="R150" s="549"/>
      <c r="S150" s="549"/>
      <c r="T150" s="549"/>
      <c r="U150" s="54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47"/>
      <c r="D151" s="108">
        <v>7.8</v>
      </c>
      <c r="E151" s="108"/>
      <c r="F151" s="127"/>
      <c r="G151" s="128"/>
      <c r="H151" s="54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49"/>
      <c r="P151" s="549"/>
      <c r="Q151" s="549"/>
      <c r="R151" s="549"/>
      <c r="S151" s="549"/>
      <c r="T151" s="549"/>
      <c r="U151" s="54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47"/>
      <c r="D152" s="108">
        <v>4.4000000000000004</v>
      </c>
      <c r="E152" s="108"/>
      <c r="F152" s="127"/>
      <c r="G152" s="128"/>
      <c r="H152" s="54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49"/>
      <c r="P152" s="549"/>
      <c r="Q152" s="549"/>
      <c r="R152" s="549"/>
      <c r="S152" s="549"/>
      <c r="T152" s="549"/>
      <c r="U152" s="54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4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49"/>
      <c r="P153" s="549"/>
      <c r="Q153" s="549"/>
      <c r="R153" s="549"/>
      <c r="S153" s="549"/>
      <c r="T153" s="549"/>
      <c r="U153" s="54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47" t="s">
        <v>239</v>
      </c>
      <c r="C154" s="547" t="s">
        <v>179</v>
      </c>
      <c r="D154" s="108">
        <v>6.04</v>
      </c>
      <c r="E154" s="108"/>
      <c r="F154" s="127"/>
      <c r="G154" s="128"/>
      <c r="H154" s="54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6" si="67">IF(ISERROR(I154-K154),"",I154-K154)</f>
        <v>0</v>
      </c>
      <c r="N154" s="130">
        <f t="shared" ref="N154:N155" si="68">SUM(O154:U154)</f>
        <v>0</v>
      </c>
      <c r="O154" s="549"/>
      <c r="P154" s="549"/>
      <c r="Q154" s="549"/>
      <c r="R154" s="549"/>
      <c r="S154" s="549"/>
      <c r="T154" s="549"/>
      <c r="U154" s="54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47" t="s">
        <v>239</v>
      </c>
      <c r="C155" s="547" t="s">
        <v>186</v>
      </c>
      <c r="D155" s="108">
        <v>6.04</v>
      </c>
      <c r="E155" s="108"/>
      <c r="F155" s="127"/>
      <c r="G155" s="128"/>
      <c r="H155" s="54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49"/>
      <c r="P155" s="549"/>
      <c r="Q155" s="549"/>
      <c r="R155" s="549"/>
      <c r="S155" s="549"/>
      <c r="T155" s="549"/>
      <c r="U155" s="54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547" t="s">
        <v>443</v>
      </c>
      <c r="C156" s="547" t="s">
        <v>179</v>
      </c>
      <c r="D156" s="108">
        <v>6</v>
      </c>
      <c r="E156" s="108"/>
      <c r="F156" s="127">
        <v>42746</v>
      </c>
      <c r="G156" s="128">
        <f>42*2+36</f>
        <v>120</v>
      </c>
      <c r="H156" s="541">
        <f t="shared" si="63"/>
        <v>720</v>
      </c>
      <c r="I156" s="129">
        <f>11*5</f>
        <v>55</v>
      </c>
      <c r="J156" s="130">
        <f t="array" ref="J156">IF(ISERROR(G156/I156),"",G156/I156)</f>
        <v>2.1818181818181817</v>
      </c>
      <c r="K156" s="131">
        <f t="array" ref="K156">IF(ISERROR(G156/L156),"",G156/L156)</f>
        <v>20</v>
      </c>
      <c r="L156" s="129">
        <v>6</v>
      </c>
      <c r="M156" s="109">
        <f t="shared" si="67"/>
        <v>35</v>
      </c>
      <c r="N156" s="130"/>
      <c r="O156" s="549"/>
      <c r="P156" s="549"/>
      <c r="Q156" s="549"/>
      <c r="R156" s="549"/>
      <c r="S156" s="549"/>
      <c r="T156" s="549"/>
      <c r="U156" s="54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547" t="s">
        <v>443</v>
      </c>
      <c r="C157" s="547" t="s">
        <v>60</v>
      </c>
      <c r="D157" s="108">
        <v>6</v>
      </c>
      <c r="E157" s="108"/>
      <c r="F157" s="127"/>
      <c r="G157" s="128"/>
      <c r="H157" s="541">
        <f t="shared" si="63"/>
        <v>0</v>
      </c>
      <c r="I157" s="129"/>
      <c r="J157" s="130"/>
      <c r="K157" s="131"/>
      <c r="L157" s="129">
        <v>6</v>
      </c>
      <c r="M157" s="109"/>
      <c r="N157" s="130"/>
      <c r="O157" s="549"/>
      <c r="P157" s="549"/>
      <c r="Q157" s="549"/>
      <c r="R157" s="549"/>
      <c r="S157" s="549"/>
      <c r="T157" s="549"/>
      <c r="U157" s="54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40" t="s">
        <v>240</v>
      </c>
      <c r="C158" s="126"/>
      <c r="D158" s="108">
        <v>7.3</v>
      </c>
      <c r="E158" s="108"/>
      <c r="F158" s="127"/>
      <c r="G158" s="128"/>
      <c r="H158" s="54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49"/>
      <c r="P158" s="549"/>
      <c r="Q158" s="549"/>
      <c r="R158" s="549"/>
      <c r="S158" s="549"/>
      <c r="T158" s="549"/>
      <c r="U158" s="54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40" t="s">
        <v>241</v>
      </c>
      <c r="C159" s="126"/>
      <c r="D159" s="108">
        <f>78*120/1000</f>
        <v>9.36</v>
      </c>
      <c r="E159" s="108"/>
      <c r="F159" s="127"/>
      <c r="G159" s="128"/>
      <c r="H159" s="54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49"/>
      <c r="P159" s="549"/>
      <c r="Q159" s="549"/>
      <c r="R159" s="549"/>
      <c r="S159" s="549"/>
      <c r="T159" s="549"/>
      <c r="U159" s="54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40" t="s">
        <v>242</v>
      </c>
      <c r="C160" s="126"/>
      <c r="D160" s="108">
        <v>4.5</v>
      </c>
      <c r="E160" s="108"/>
      <c r="F160" s="127"/>
      <c r="G160" s="128"/>
      <c r="H160" s="541">
        <f t="shared" si="63"/>
        <v>0</v>
      </c>
      <c r="I160" s="129"/>
      <c r="J160" s="130"/>
      <c r="K160" s="131"/>
      <c r="L160" s="129"/>
      <c r="M160" s="109"/>
      <c r="N160" s="130"/>
      <c r="O160" s="549"/>
      <c r="P160" s="549"/>
      <c r="Q160" s="549"/>
      <c r="R160" s="549"/>
      <c r="S160" s="549"/>
      <c r="T160" s="549"/>
      <c r="U160" s="54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40" t="s">
        <v>243</v>
      </c>
      <c r="C161" s="126"/>
      <c r="D161" s="108">
        <v>4.5</v>
      </c>
      <c r="E161" s="108"/>
      <c r="F161" s="127"/>
      <c r="G161" s="128"/>
      <c r="H161" s="541">
        <f t="shared" si="63"/>
        <v>0</v>
      </c>
      <c r="I161" s="129"/>
      <c r="J161" s="130"/>
      <c r="K161" s="131"/>
      <c r="L161" s="129"/>
      <c r="M161" s="109"/>
      <c r="N161" s="130"/>
      <c r="O161" s="549"/>
      <c r="P161" s="549"/>
      <c r="Q161" s="549"/>
      <c r="R161" s="549"/>
      <c r="S161" s="549"/>
      <c r="T161" s="549"/>
      <c r="U161" s="54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41">
        <f t="shared" si="63"/>
        <v>0</v>
      </c>
      <c r="I162" s="129"/>
      <c r="J162" s="130"/>
      <c r="K162" s="131"/>
      <c r="L162" s="129"/>
      <c r="M162" s="109"/>
      <c r="N162" s="130"/>
      <c r="O162" s="549"/>
      <c r="P162" s="549"/>
      <c r="Q162" s="549"/>
      <c r="R162" s="549"/>
      <c r="S162" s="549"/>
      <c r="T162" s="549"/>
      <c r="U162" s="549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550" t="s">
        <v>202</v>
      </c>
      <c r="D163" s="143"/>
      <c r="E163" s="143"/>
      <c r="F163" s="144"/>
      <c r="G163" s="145">
        <f>SUM(G149:G161)</f>
        <v>120</v>
      </c>
      <c r="H163" s="146">
        <f>SUM(H149:H159)</f>
        <v>720</v>
      </c>
      <c r="I163" s="146">
        <f>SUM(I149:I161)</f>
        <v>55</v>
      </c>
      <c r="J163" s="130">
        <f t="array" ref="J163">IF(ISERROR(G163/I163),"",G163/I163)</f>
        <v>2.1818181818181817</v>
      </c>
      <c r="K163" s="146">
        <f>SUM(K149:K159)</f>
        <v>20</v>
      </c>
      <c r="L163" s="147"/>
      <c r="M163" s="150">
        <f t="shared" ref="M163:V163" si="75">SUM(M149:M159)</f>
        <v>35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5619</v>
      </c>
      <c r="H164" s="154">
        <f>SUM(H28,H86,H121,H137,H148,H163)</f>
        <v>28463.39</v>
      </c>
      <c r="I164" s="154">
        <f>SUM(I28,I86,I121,I137,I148,I163)</f>
        <v>344</v>
      </c>
      <c r="J164" s="155">
        <f t="array" ref="J164">IF(ISERROR(G164/I164),"",G164/I164)</f>
        <v>16.334302325581394</v>
      </c>
      <c r="K164" s="154">
        <f>SUM(K28,K86,K121,K137,K148,K163)</f>
        <v>325.72864483957835</v>
      </c>
      <c r="L164" s="155">
        <f>IF(ISERROR(G164/K164),"",G164/K164)</f>
        <v>17.250555298160414</v>
      </c>
      <c r="M164" s="154">
        <f t="shared" ref="M164:AA164" si="76">SUM(M28,M86,M121,M137,M148,M163)</f>
        <v>18.271355160421656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543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543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543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543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543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543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543">
        <f>G164</f>
        <v>5619</v>
      </c>
      <c r="C171" s="638" t="s">
        <v>269</v>
      </c>
      <c r="D171" s="639"/>
      <c r="E171" s="631">
        <f>H164</f>
        <v>28463.39</v>
      </c>
      <c r="F171" s="631"/>
      <c r="G171" s="631" t="s">
        <v>270</v>
      </c>
      <c r="H171" s="631"/>
      <c r="I171" s="640">
        <f>L164</f>
        <v>17.250555298160414</v>
      </c>
      <c r="J171" s="640"/>
      <c r="K171" s="628" t="s">
        <v>271</v>
      </c>
      <c r="L171" s="628"/>
      <c r="M171" s="640">
        <f>J164</f>
        <v>16.334302325581394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543">
        <f>I164+C170</f>
        <v>348</v>
      </c>
      <c r="C172" s="641" t="s">
        <v>251</v>
      </c>
      <c r="D172" s="642"/>
      <c r="E172" s="643">
        <f>K164+I170</f>
        <v>366.72864483957835</v>
      </c>
      <c r="F172" s="643"/>
      <c r="G172" s="631" t="s">
        <v>274</v>
      </c>
      <c r="H172" s="631"/>
      <c r="I172" s="640">
        <f>B172-E172</f>
        <v>-18.728644839578351</v>
      </c>
      <c r="J172" s="640"/>
      <c r="K172" s="628" t="s">
        <v>275</v>
      </c>
      <c r="L172" s="628"/>
      <c r="M172" s="632">
        <f>IF(ISERROR(I172/E172),"",I172/E172)</f>
        <v>-5.1069489943363987E-2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543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552</v>
      </c>
      <c r="H177" s="547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540" t="s">
        <v>178</v>
      </c>
      <c r="C178" s="126" t="s">
        <v>179</v>
      </c>
      <c r="D178" s="108">
        <v>5.03</v>
      </c>
      <c r="E178" s="108"/>
      <c r="F178" s="127"/>
      <c r="G178" s="128"/>
      <c r="H178" s="541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549"/>
      <c r="P178" s="549"/>
      <c r="Q178" s="549"/>
      <c r="R178" s="549"/>
      <c r="S178" s="549"/>
      <c r="T178" s="549"/>
      <c r="U178" s="54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4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49"/>
      <c r="P179" s="549"/>
      <c r="Q179" s="549"/>
      <c r="R179" s="549"/>
      <c r="S179" s="549"/>
      <c r="T179" s="549"/>
      <c r="U179" s="54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4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49"/>
      <c r="P180" s="549"/>
      <c r="Q180" s="549"/>
      <c r="R180" s="549"/>
      <c r="S180" s="549"/>
      <c r="T180" s="549"/>
      <c r="U180" s="54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4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49"/>
      <c r="P181" s="549"/>
      <c r="Q181" s="549"/>
      <c r="R181" s="549"/>
      <c r="S181" s="549"/>
      <c r="T181" s="549"/>
      <c r="U181" s="54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41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49"/>
      <c r="P182" s="549"/>
      <c r="Q182" s="549"/>
      <c r="R182" s="549"/>
      <c r="S182" s="549"/>
      <c r="T182" s="549"/>
      <c r="U182" s="54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41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49"/>
      <c r="P183" s="549"/>
      <c r="Q183" s="549"/>
      <c r="R183" s="549"/>
      <c r="S183" s="549"/>
      <c r="T183" s="549"/>
      <c r="U183" s="54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4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49"/>
      <c r="P184" s="549"/>
      <c r="Q184" s="549"/>
      <c r="R184" s="549"/>
      <c r="S184" s="549"/>
      <c r="T184" s="549"/>
      <c r="U184" s="54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41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49"/>
      <c r="P185" s="549"/>
      <c r="Q185" s="549"/>
      <c r="R185" s="549"/>
      <c r="S185" s="549"/>
      <c r="T185" s="549"/>
      <c r="U185" s="54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42747</v>
      </c>
      <c r="G186" s="128">
        <f>100+82</f>
        <v>182</v>
      </c>
      <c r="H186" s="541">
        <f t="shared" si="77"/>
        <v>917.28</v>
      </c>
      <c r="I186" s="541">
        <f>3*5</f>
        <v>15</v>
      </c>
      <c r="J186" s="130">
        <f t="array" ref="J186">IF(ISERROR(G186/I186),"",G186/I186)</f>
        <v>12.133333333333333</v>
      </c>
      <c r="K186" s="131">
        <f t="array" ref="K186">IF(ISERROR(G186/L186),"",G186/L186)</f>
        <v>10.705882352941176</v>
      </c>
      <c r="L186" s="129">
        <v>17</v>
      </c>
      <c r="M186" s="109">
        <f t="shared" si="78"/>
        <v>4.2941176470588243</v>
      </c>
      <c r="N186" s="130">
        <f t="shared" si="81"/>
        <v>0</v>
      </c>
      <c r="O186" s="549"/>
      <c r="P186" s="549"/>
      <c r="Q186" s="549"/>
      <c r="R186" s="549"/>
      <c r="S186" s="549"/>
      <c r="T186" s="549"/>
      <c r="U186" s="549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541">
        <f t="shared" si="77"/>
        <v>0</v>
      </c>
      <c r="I187" s="54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49"/>
      <c r="P187" s="549"/>
      <c r="Q187" s="549"/>
      <c r="R187" s="549"/>
      <c r="S187" s="549"/>
      <c r="T187" s="549"/>
      <c r="U187" s="54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4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49"/>
      <c r="P188" s="549"/>
      <c r="Q188" s="549"/>
      <c r="R188" s="549"/>
      <c r="S188" s="549"/>
      <c r="T188" s="549"/>
      <c r="U188" s="54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4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49"/>
      <c r="P189" s="549"/>
      <c r="Q189" s="549"/>
      <c r="R189" s="549"/>
      <c r="S189" s="549"/>
      <c r="T189" s="549"/>
      <c r="U189" s="54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42747</v>
      </c>
      <c r="G190" s="128">
        <f>90*5+40+90-90</f>
        <v>490</v>
      </c>
      <c r="H190" s="541">
        <f t="shared" ref="H190:H198" si="82">D190*G190</f>
        <v>2479.3999999999996</v>
      </c>
      <c r="I190" s="129">
        <f>8.5*5</f>
        <v>42.5</v>
      </c>
      <c r="J190" s="130">
        <f t="array" ref="J190">IF(ISERROR(G190/I190),"",G190/I190)</f>
        <v>11.529411764705882</v>
      </c>
      <c r="K190" s="131">
        <f t="array" ref="K190">IF(ISERROR(G190/L190),"",G190/L190)</f>
        <v>25.789473684210527</v>
      </c>
      <c r="L190" s="129">
        <v>19</v>
      </c>
      <c r="M190" s="109">
        <f t="shared" ref="M190:M198" si="83">IF(ISERROR(I190-K190),"",I190-K190)</f>
        <v>16.710526315789473</v>
      </c>
      <c r="N190" s="130">
        <f t="shared" ref="N190:N192" si="84">SUM(O190:U190)</f>
        <v>0</v>
      </c>
      <c r="O190" s="549"/>
      <c r="P190" s="549"/>
      <c r="Q190" s="549"/>
      <c r="R190" s="549"/>
      <c r="S190" s="549"/>
      <c r="T190" s="549"/>
      <c r="U190" s="54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54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549"/>
      <c r="P191" s="549"/>
      <c r="Q191" s="549"/>
      <c r="R191" s="549"/>
      <c r="S191" s="549"/>
      <c r="T191" s="549"/>
      <c r="U191" s="54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42745</v>
      </c>
      <c r="G192" s="128">
        <f>100*10</f>
        <v>1000</v>
      </c>
      <c r="H192" s="541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549"/>
      <c r="P192" s="549"/>
      <c r="Q192" s="549"/>
      <c r="R192" s="549"/>
      <c r="S192" s="549"/>
      <c r="T192" s="549"/>
      <c r="U192" s="54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47" t="s">
        <v>190</v>
      </c>
      <c r="D193" s="108">
        <v>4.8</v>
      </c>
      <c r="E193" s="108"/>
      <c r="F193" s="127"/>
      <c r="G193" s="128"/>
      <c r="H193" s="54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49"/>
      <c r="P193" s="549"/>
      <c r="Q193" s="549"/>
      <c r="R193" s="549"/>
      <c r="S193" s="549"/>
      <c r="T193" s="549"/>
      <c r="U193" s="54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47" t="s">
        <v>187</v>
      </c>
      <c r="D194" s="108">
        <v>4.8</v>
      </c>
      <c r="E194" s="108"/>
      <c r="F194" s="127"/>
      <c r="G194" s="128"/>
      <c r="H194" s="54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49"/>
      <c r="P194" s="549"/>
      <c r="Q194" s="549"/>
      <c r="R194" s="549"/>
      <c r="S194" s="549"/>
      <c r="T194" s="549"/>
      <c r="U194" s="54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47" t="s">
        <v>179</v>
      </c>
      <c r="D195" s="108">
        <v>4.8</v>
      </c>
      <c r="E195" s="108"/>
      <c r="F195" s="127"/>
      <c r="G195" s="128"/>
      <c r="H195" s="54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49"/>
      <c r="P195" s="549"/>
      <c r="Q195" s="549"/>
      <c r="R195" s="549"/>
      <c r="S195" s="549"/>
      <c r="T195" s="549"/>
      <c r="U195" s="54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47" t="s">
        <v>199</v>
      </c>
      <c r="D196" s="108">
        <v>4.8</v>
      </c>
      <c r="E196" s="108"/>
      <c r="F196" s="127"/>
      <c r="G196" s="128"/>
      <c r="H196" s="541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49"/>
      <c r="P196" s="549"/>
      <c r="Q196" s="549"/>
      <c r="R196" s="549"/>
      <c r="S196" s="549"/>
      <c r="T196" s="549"/>
      <c r="U196" s="54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4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49"/>
      <c r="P197" s="549"/>
      <c r="Q197" s="549"/>
      <c r="R197" s="549"/>
      <c r="S197" s="549"/>
      <c r="T197" s="549"/>
      <c r="U197" s="54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541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49"/>
      <c r="P198" s="549"/>
      <c r="Q198" s="549"/>
      <c r="R198" s="549"/>
      <c r="S198" s="549"/>
      <c r="T198" s="549"/>
      <c r="U198" s="54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550" t="s">
        <v>202</v>
      </c>
      <c r="D199" s="143"/>
      <c r="E199" s="143"/>
      <c r="F199" s="144"/>
      <c r="G199" s="145">
        <f>SUM(G178:G198)</f>
        <v>1672</v>
      </c>
      <c r="H199" s="146">
        <f>SUM(H178:H198)</f>
        <v>8486.68</v>
      </c>
      <c r="I199" s="146">
        <f>SUM(I178:I198)</f>
        <v>115</v>
      </c>
      <c r="J199" s="130">
        <f t="array" ref="J199">IF(ISERROR(G199/I199),"",G199/I199)</f>
        <v>14.539130434782608</v>
      </c>
      <c r="K199" s="146">
        <f>SUM(K178:K198)</f>
        <v>79.973616906716927</v>
      </c>
      <c r="L199" s="147"/>
      <c r="M199" s="150">
        <f t="shared" ref="M199:AA199" si="90">SUM(M178:M198)</f>
        <v>35.02638309328308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40" t="s">
        <v>206</v>
      </c>
      <c r="C200" s="126" t="s">
        <v>199</v>
      </c>
      <c r="D200" s="108">
        <v>5.03</v>
      </c>
      <c r="E200" s="108"/>
      <c r="F200" s="127">
        <v>42746</v>
      </c>
      <c r="G200" s="128">
        <v>13</v>
      </c>
      <c r="H200" s="541">
        <f t="shared" ref="H200:H256" si="91">D200*G200</f>
        <v>65.39</v>
      </c>
      <c r="I200" s="129">
        <v>0.5</v>
      </c>
      <c r="J200" s="130">
        <f t="array" ref="J200">IF(ISERROR(G200/I200),"",G200/I200)</f>
        <v>26</v>
      </c>
      <c r="K200" s="131">
        <f t="array" ref="K200">IF(ISERROR(G200/L200),"",G200/L200)</f>
        <v>0.25</v>
      </c>
      <c r="L200" s="129">
        <v>52</v>
      </c>
      <c r="M200" s="109">
        <f t="shared" ref="M200" si="92">IF(ISERROR(I200-K200),"",I200-K200)</f>
        <v>0.25</v>
      </c>
      <c r="N200" s="130">
        <f t="shared" ref="N200" si="93">SUM(O200:U200)</f>
        <v>0</v>
      </c>
      <c r="O200" s="545"/>
      <c r="P200" s="545"/>
      <c r="Q200" s="545"/>
      <c r="R200" s="545"/>
      <c r="S200" s="545"/>
      <c r="T200" s="545"/>
      <c r="U200" s="545"/>
      <c r="V200" s="132">
        <f t="shared" ref="V200" si="94">SUM(X200:AA200)</f>
        <v>0</v>
      </c>
      <c r="W200" s="133">
        <f t="shared" ref="W200" si="95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40" t="s">
        <v>425</v>
      </c>
      <c r="C201" s="187" t="s">
        <v>427</v>
      </c>
      <c r="D201" s="108">
        <v>5.03</v>
      </c>
      <c r="E201" s="108"/>
      <c r="F201" s="127"/>
      <c r="G201" s="128"/>
      <c r="H201" s="541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45"/>
      <c r="P201" s="545"/>
      <c r="Q201" s="545"/>
      <c r="R201" s="545"/>
      <c r="S201" s="545"/>
      <c r="T201" s="545"/>
      <c r="U201" s="545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40" t="s">
        <v>206</v>
      </c>
      <c r="C202" s="126" t="s">
        <v>186</v>
      </c>
      <c r="D202" s="108">
        <v>5.03</v>
      </c>
      <c r="E202" s="108"/>
      <c r="F202" s="127"/>
      <c r="G202" s="128"/>
      <c r="H202" s="54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45"/>
      <c r="P202" s="545"/>
      <c r="Q202" s="545"/>
      <c r="R202" s="545"/>
      <c r="S202" s="545"/>
      <c r="T202" s="545"/>
      <c r="U202" s="545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40" t="s">
        <v>206</v>
      </c>
      <c r="C203" s="126" t="s">
        <v>203</v>
      </c>
      <c r="D203" s="108">
        <v>5.03</v>
      </c>
      <c r="E203" s="108"/>
      <c r="F203" s="127"/>
      <c r="G203" s="128"/>
      <c r="H203" s="54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45"/>
      <c r="P203" s="545"/>
      <c r="Q203" s="545"/>
      <c r="R203" s="545"/>
      <c r="S203" s="545"/>
      <c r="T203" s="545"/>
      <c r="U203" s="545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40" t="s">
        <v>206</v>
      </c>
      <c r="C204" s="126" t="s">
        <v>207</v>
      </c>
      <c r="D204" s="108">
        <v>5.03</v>
      </c>
      <c r="E204" s="108"/>
      <c r="F204" s="127"/>
      <c r="G204" s="128"/>
      <c r="H204" s="541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45"/>
      <c r="P204" s="545"/>
      <c r="Q204" s="545"/>
      <c r="R204" s="545"/>
      <c r="S204" s="545"/>
      <c r="T204" s="545"/>
      <c r="U204" s="545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40" t="s">
        <v>414</v>
      </c>
      <c r="C205" s="187" t="s">
        <v>415</v>
      </c>
      <c r="D205" s="108">
        <v>5.03</v>
      </c>
      <c r="E205" s="108"/>
      <c r="F205" s="127"/>
      <c r="G205" s="128"/>
      <c r="H205" s="54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45"/>
      <c r="P205" s="545"/>
      <c r="Q205" s="545"/>
      <c r="R205" s="545"/>
      <c r="S205" s="545"/>
      <c r="T205" s="545"/>
      <c r="U205" s="545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40" t="s">
        <v>414</v>
      </c>
      <c r="C206" s="187" t="s">
        <v>416</v>
      </c>
      <c r="D206" s="108">
        <v>5.03</v>
      </c>
      <c r="E206" s="108"/>
      <c r="F206" s="127"/>
      <c r="G206" s="128"/>
      <c r="H206" s="54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45"/>
      <c r="P206" s="545"/>
      <c r="Q206" s="545"/>
      <c r="R206" s="545"/>
      <c r="S206" s="545"/>
      <c r="T206" s="545"/>
      <c r="U206" s="545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40" t="s">
        <v>414</v>
      </c>
      <c r="C207" s="187" t="s">
        <v>61</v>
      </c>
      <c r="D207" s="108">
        <v>5.03</v>
      </c>
      <c r="E207" s="108"/>
      <c r="F207" s="127"/>
      <c r="G207" s="128"/>
      <c r="H207" s="541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45"/>
      <c r="P207" s="545"/>
      <c r="Q207" s="545"/>
      <c r="R207" s="545"/>
      <c r="S207" s="545"/>
      <c r="T207" s="545"/>
      <c r="U207" s="545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540" t="s">
        <v>208</v>
      </c>
      <c r="C208" s="126" t="s">
        <v>179</v>
      </c>
      <c r="D208" s="108">
        <v>5.08</v>
      </c>
      <c r="E208" s="108"/>
      <c r="F208" s="127">
        <v>42746</v>
      </c>
      <c r="G208" s="128">
        <f>108*3+108*4+45</f>
        <v>801</v>
      </c>
      <c r="H208" s="541">
        <f t="shared" si="91"/>
        <v>4069.08</v>
      </c>
      <c r="I208" s="129">
        <f>11.5*3</f>
        <v>34.5</v>
      </c>
      <c r="J208" s="130">
        <f t="array" ref="J208">IF(ISERROR(G208/I208),"",G208/I208)</f>
        <v>23.217391304347824</v>
      </c>
      <c r="K208" s="131">
        <f t="array" ref="K208">IF(ISERROR(G208/L208),"",G208/L208)</f>
        <v>38.142857142857146</v>
      </c>
      <c r="L208" s="129">
        <v>21</v>
      </c>
      <c r="M208" s="109">
        <f t="shared" ref="M208:M237" si="101">IF(ISERROR(I208-K208),"",I208-K208)</f>
        <v>-3.6428571428571459</v>
      </c>
      <c r="N208" s="130">
        <f t="shared" ref="N208:N237" si="102">SUM(O208:U208)</f>
        <v>0</v>
      </c>
      <c r="O208" s="545"/>
      <c r="P208" s="545"/>
      <c r="Q208" s="545"/>
      <c r="R208" s="545"/>
      <c r="S208" s="545"/>
      <c r="T208" s="545"/>
      <c r="U208" s="545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40" t="s">
        <v>208</v>
      </c>
      <c r="C209" s="126" t="s">
        <v>204</v>
      </c>
      <c r="D209" s="108">
        <v>5.08</v>
      </c>
      <c r="E209" s="108"/>
      <c r="F209" s="127"/>
      <c r="G209" s="128"/>
      <c r="H209" s="54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45"/>
      <c r="P209" s="545"/>
      <c r="Q209" s="545"/>
      <c r="R209" s="545"/>
      <c r="S209" s="545"/>
      <c r="T209" s="545"/>
      <c r="U209" s="545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40" t="s">
        <v>208</v>
      </c>
      <c r="C210" s="126" t="s">
        <v>205</v>
      </c>
      <c r="D210" s="108">
        <v>5.08</v>
      </c>
      <c r="E210" s="108"/>
      <c r="F210" s="127"/>
      <c r="G210" s="128"/>
      <c r="H210" s="54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45"/>
      <c r="P210" s="545"/>
      <c r="Q210" s="545"/>
      <c r="R210" s="545"/>
      <c r="S210" s="545"/>
      <c r="T210" s="545"/>
      <c r="U210" s="54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40" t="s">
        <v>208</v>
      </c>
      <c r="C211" s="126" t="s">
        <v>186</v>
      </c>
      <c r="D211" s="108">
        <v>5.08</v>
      </c>
      <c r="E211" s="108"/>
      <c r="F211" s="127"/>
      <c r="G211" s="128"/>
      <c r="H211" s="54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45"/>
      <c r="P211" s="545"/>
      <c r="Q211" s="545"/>
      <c r="R211" s="545"/>
      <c r="S211" s="545"/>
      <c r="T211" s="545"/>
      <c r="U211" s="545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40" t="s">
        <v>208</v>
      </c>
      <c r="C212" s="126" t="s">
        <v>203</v>
      </c>
      <c r="D212" s="108">
        <v>5.08</v>
      </c>
      <c r="E212" s="108"/>
      <c r="F212" s="127"/>
      <c r="G212" s="128"/>
      <c r="H212" s="54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545"/>
      <c r="P212" s="545"/>
      <c r="Q212" s="545"/>
      <c r="R212" s="545"/>
      <c r="S212" s="545"/>
      <c r="T212" s="545"/>
      <c r="U212" s="545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40" t="s">
        <v>208</v>
      </c>
      <c r="C213" s="126" t="s">
        <v>199</v>
      </c>
      <c r="D213" s="108">
        <v>5.08</v>
      </c>
      <c r="E213" s="108"/>
      <c r="F213" s="127"/>
      <c r="G213" s="128"/>
      <c r="H213" s="54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49"/>
      <c r="P213" s="549"/>
      <c r="Q213" s="549"/>
      <c r="R213" s="549"/>
      <c r="S213" s="549"/>
      <c r="T213" s="549"/>
      <c r="U213" s="5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40" t="s">
        <v>208</v>
      </c>
      <c r="C214" s="126" t="s">
        <v>187</v>
      </c>
      <c r="D214" s="108">
        <v>5.08</v>
      </c>
      <c r="E214" s="108"/>
      <c r="F214" s="127"/>
      <c r="G214" s="128"/>
      <c r="H214" s="54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45"/>
      <c r="P214" s="545"/>
      <c r="Q214" s="545"/>
      <c r="R214" s="545"/>
      <c r="S214" s="545"/>
      <c r="T214" s="545"/>
      <c r="U214" s="545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40" t="s">
        <v>208</v>
      </c>
      <c r="C215" s="126" t="s">
        <v>207</v>
      </c>
      <c r="D215" s="108">
        <v>5.08</v>
      </c>
      <c r="E215" s="108"/>
      <c r="F215" s="127"/>
      <c r="G215" s="128"/>
      <c r="H215" s="54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549"/>
      <c r="P215" s="549"/>
      <c r="Q215" s="549"/>
      <c r="R215" s="549"/>
      <c r="S215" s="549"/>
      <c r="T215" s="549"/>
      <c r="U215" s="5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540" t="s">
        <v>209</v>
      </c>
      <c r="C216" s="126" t="s">
        <v>194</v>
      </c>
      <c r="D216" s="108">
        <v>5.03</v>
      </c>
      <c r="E216" s="108"/>
      <c r="F216" s="127">
        <v>42746</v>
      </c>
      <c r="G216" s="128">
        <f>108*7+96</f>
        <v>852</v>
      </c>
      <c r="H216" s="541">
        <f t="shared" si="91"/>
        <v>4285.5600000000004</v>
      </c>
      <c r="I216" s="129">
        <v>7</v>
      </c>
      <c r="J216" s="130">
        <f t="array" ref="J216">IF(ISERROR(G216/I216),"",G216/I216)</f>
        <v>121.71428571428571</v>
      </c>
      <c r="K216" s="131">
        <f t="array" ref="K216">IF(ISERROR(G216/L216),"",G216/L216)</f>
        <v>15.214285714285714</v>
      </c>
      <c r="L216" s="129">
        <v>56</v>
      </c>
      <c r="M216" s="109">
        <f t="shared" si="101"/>
        <v>-8.2142857142857135</v>
      </c>
      <c r="N216" s="130">
        <f t="shared" si="102"/>
        <v>0</v>
      </c>
      <c r="O216" s="545"/>
      <c r="P216" s="545"/>
      <c r="Q216" s="545"/>
      <c r="R216" s="545"/>
      <c r="S216" s="545"/>
      <c r="T216" s="545"/>
      <c r="U216" s="545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40" t="s">
        <v>209</v>
      </c>
      <c r="C217" s="126" t="s">
        <v>179</v>
      </c>
      <c r="D217" s="108">
        <v>5.03</v>
      </c>
      <c r="E217" s="108"/>
      <c r="F217" s="554"/>
      <c r="G217" s="527"/>
      <c r="H217" s="54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45"/>
      <c r="P217" s="545"/>
      <c r="Q217" s="545"/>
      <c r="R217" s="545"/>
      <c r="S217" s="545"/>
      <c r="T217" s="545"/>
      <c r="U217" s="545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40" t="s">
        <v>209</v>
      </c>
      <c r="C218" s="126" t="s">
        <v>195</v>
      </c>
      <c r="D218" s="108">
        <v>5.03</v>
      </c>
      <c r="E218" s="108"/>
      <c r="F218" s="127">
        <v>42746</v>
      </c>
      <c r="G218" s="128">
        <f>108+48+54</f>
        <v>210</v>
      </c>
      <c r="H218" s="541">
        <f t="shared" si="91"/>
        <v>1056.3</v>
      </c>
      <c r="I218" s="129">
        <v>4.5</v>
      </c>
      <c r="J218" s="130">
        <f t="array" ref="J218">IF(ISERROR(G218/I218),"",G218/I218)</f>
        <v>46.666666666666664</v>
      </c>
      <c r="K218" s="131">
        <f t="array" ref="K218">IF(ISERROR(G218/L218),"",G218/L218)</f>
        <v>3.75</v>
      </c>
      <c r="L218" s="129">
        <v>56</v>
      </c>
      <c r="M218" s="109">
        <f t="shared" si="101"/>
        <v>0.75</v>
      </c>
      <c r="N218" s="130">
        <f t="shared" si="102"/>
        <v>0</v>
      </c>
      <c r="O218" s="545"/>
      <c r="P218" s="545"/>
      <c r="Q218" s="545"/>
      <c r="R218" s="545"/>
      <c r="S218" s="545"/>
      <c r="T218" s="545"/>
      <c r="U218" s="545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40" t="s">
        <v>209</v>
      </c>
      <c r="C219" s="126" t="s">
        <v>204</v>
      </c>
      <c r="D219" s="108">
        <v>5.03</v>
      </c>
      <c r="E219" s="108"/>
      <c r="F219" s="127"/>
      <c r="G219" s="128"/>
      <c r="H219" s="541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545"/>
      <c r="P219" s="545"/>
      <c r="Q219" s="545"/>
      <c r="R219" s="545"/>
      <c r="S219" s="545"/>
      <c r="T219" s="545"/>
      <c r="U219" s="545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540" t="s">
        <v>382</v>
      </c>
      <c r="C220" s="187" t="s">
        <v>383</v>
      </c>
      <c r="D220" s="108">
        <v>5.03</v>
      </c>
      <c r="E220" s="108"/>
      <c r="F220" s="127">
        <v>42747</v>
      </c>
      <c r="G220" s="527">
        <v>55</v>
      </c>
      <c r="H220" s="541">
        <f t="shared" si="91"/>
        <v>276.65000000000003</v>
      </c>
      <c r="I220" s="129">
        <v>1</v>
      </c>
      <c r="J220" s="130">
        <f t="array" ref="J220">IF(ISERROR(G220/I220),"",G220/I220)</f>
        <v>55</v>
      </c>
      <c r="K220" s="131">
        <f t="array" ref="K220">IF(ISERROR(G220/L220),"",G220/L220)</f>
        <v>1.0185185185185186</v>
      </c>
      <c r="L220" s="129">
        <v>54</v>
      </c>
      <c r="M220" s="109">
        <f t="shared" si="101"/>
        <v>-1.8518518518518601E-2</v>
      </c>
      <c r="N220" s="130">
        <f t="shared" si="102"/>
        <v>0</v>
      </c>
      <c r="O220" s="545"/>
      <c r="P220" s="545"/>
      <c r="Q220" s="545"/>
      <c r="R220" s="545"/>
      <c r="S220" s="545"/>
      <c r="T220" s="545"/>
      <c r="U220" s="545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40" t="s">
        <v>382</v>
      </c>
      <c r="C221" s="187" t="s">
        <v>384</v>
      </c>
      <c r="D221" s="108">
        <v>5.03</v>
      </c>
      <c r="E221" s="108"/>
      <c r="F221" s="127"/>
      <c r="G221" s="128"/>
      <c r="H221" s="54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45"/>
      <c r="P221" s="545"/>
      <c r="Q221" s="545"/>
      <c r="R221" s="545"/>
      <c r="S221" s="545"/>
      <c r="T221" s="545"/>
      <c r="U221" s="545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40" t="s">
        <v>382</v>
      </c>
      <c r="C222" s="187" t="s">
        <v>389</v>
      </c>
      <c r="D222" s="108">
        <v>5.03</v>
      </c>
      <c r="E222" s="108"/>
      <c r="F222" s="127"/>
      <c r="G222" s="128"/>
      <c r="H222" s="54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45"/>
      <c r="P222" s="545"/>
      <c r="Q222" s="545"/>
      <c r="R222" s="545"/>
      <c r="S222" s="545"/>
      <c r="T222" s="545"/>
      <c r="U222" s="545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40" t="s">
        <v>382</v>
      </c>
      <c r="C223" s="187" t="s">
        <v>391</v>
      </c>
      <c r="D223" s="108">
        <v>5.03</v>
      </c>
      <c r="E223" s="108"/>
      <c r="F223" s="127"/>
      <c r="G223" s="128"/>
      <c r="H223" s="54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45"/>
      <c r="P223" s="545"/>
      <c r="Q223" s="545"/>
      <c r="R223" s="545"/>
      <c r="S223" s="545"/>
      <c r="T223" s="545"/>
      <c r="U223" s="545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40" t="s">
        <v>418</v>
      </c>
      <c r="C224" s="187" t="s">
        <v>364</v>
      </c>
      <c r="D224" s="108">
        <v>5.03</v>
      </c>
      <c r="E224" s="108"/>
      <c r="F224" s="127"/>
      <c r="G224" s="128"/>
      <c r="H224" s="54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45"/>
      <c r="P224" s="545"/>
      <c r="Q224" s="545"/>
      <c r="R224" s="545"/>
      <c r="S224" s="545"/>
      <c r="T224" s="545"/>
      <c r="U224" s="545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40" t="s">
        <v>418</v>
      </c>
      <c r="C225" s="187" t="s">
        <v>365</v>
      </c>
      <c r="D225" s="108">
        <v>5.03</v>
      </c>
      <c r="E225" s="108"/>
      <c r="F225" s="127"/>
      <c r="G225" s="128"/>
      <c r="H225" s="54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45"/>
      <c r="P225" s="545"/>
      <c r="Q225" s="545"/>
      <c r="R225" s="545"/>
      <c r="S225" s="545"/>
      <c r="T225" s="545"/>
      <c r="U225" s="545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40" t="s">
        <v>418</v>
      </c>
      <c r="C226" s="187" t="s">
        <v>366</v>
      </c>
      <c r="D226" s="108">
        <v>5.03</v>
      </c>
      <c r="E226" s="108"/>
      <c r="F226" s="127"/>
      <c r="G226" s="128"/>
      <c r="H226" s="54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45"/>
      <c r="P226" s="545"/>
      <c r="Q226" s="545"/>
      <c r="R226" s="545"/>
      <c r="S226" s="545"/>
      <c r="T226" s="545"/>
      <c r="U226" s="545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40" t="s">
        <v>418</v>
      </c>
      <c r="C227" s="187" t="s">
        <v>367</v>
      </c>
      <c r="D227" s="108">
        <v>5.03</v>
      </c>
      <c r="E227" s="108"/>
      <c r="F227" s="127"/>
      <c r="G227" s="128"/>
      <c r="H227" s="541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45"/>
      <c r="P227" s="545"/>
      <c r="Q227" s="545"/>
      <c r="R227" s="545"/>
      <c r="S227" s="545"/>
      <c r="T227" s="545"/>
      <c r="U227" s="545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54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49"/>
      <c r="P228" s="549"/>
      <c r="Q228" s="549"/>
      <c r="R228" s="549"/>
      <c r="S228" s="549"/>
      <c r="T228" s="549"/>
      <c r="U228" s="54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54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49"/>
      <c r="P229" s="549"/>
      <c r="Q229" s="549"/>
      <c r="R229" s="549"/>
      <c r="S229" s="549"/>
      <c r="T229" s="549"/>
      <c r="U229" s="54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4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49"/>
      <c r="P230" s="549"/>
      <c r="Q230" s="549"/>
      <c r="R230" s="549"/>
      <c r="S230" s="549"/>
      <c r="T230" s="549"/>
      <c r="U230" s="54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4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49"/>
      <c r="P231" s="549"/>
      <c r="Q231" s="549"/>
      <c r="R231" s="549"/>
      <c r="S231" s="549"/>
      <c r="T231" s="549"/>
      <c r="U231" s="54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4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49"/>
      <c r="P232" s="549"/>
      <c r="Q232" s="549"/>
      <c r="R232" s="549"/>
      <c r="S232" s="549"/>
      <c r="T232" s="549"/>
      <c r="U232" s="54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4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49"/>
      <c r="P233" s="549"/>
      <c r="Q233" s="549"/>
      <c r="R233" s="549"/>
      <c r="S233" s="549"/>
      <c r="T233" s="549"/>
      <c r="U233" s="54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4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49"/>
      <c r="P234" s="549"/>
      <c r="Q234" s="549"/>
      <c r="R234" s="549"/>
      <c r="S234" s="549"/>
      <c r="T234" s="549"/>
      <c r="U234" s="54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4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549"/>
      <c r="P235" s="549"/>
      <c r="Q235" s="549"/>
      <c r="R235" s="549"/>
      <c r="S235" s="549"/>
      <c r="T235" s="549"/>
      <c r="U235" s="54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>
        <v>42747</v>
      </c>
      <c r="G236" s="128">
        <f>90*9</f>
        <v>810</v>
      </c>
      <c r="H236" s="541">
        <f t="shared" si="91"/>
        <v>4074.3</v>
      </c>
      <c r="I236" s="129">
        <v>16</v>
      </c>
      <c r="J236" s="130">
        <f t="array" ref="J236">IF(ISERROR(G236/I236),"",G236/I236)</f>
        <v>50.625</v>
      </c>
      <c r="K236" s="131">
        <f t="array" ref="K236">IF(ISERROR(G236/L236),"",G236/L236)</f>
        <v>16.2</v>
      </c>
      <c r="L236" s="129">
        <v>50</v>
      </c>
      <c r="M236" s="109">
        <f t="shared" si="101"/>
        <v>-0.19999999999999929</v>
      </c>
      <c r="N236" s="130">
        <f t="shared" si="102"/>
        <v>0</v>
      </c>
      <c r="O236" s="549"/>
      <c r="P236" s="549"/>
      <c r="Q236" s="549"/>
      <c r="R236" s="549"/>
      <c r="S236" s="549"/>
      <c r="T236" s="549"/>
      <c r="U236" s="549"/>
      <c r="V236" s="132">
        <f t="shared" si="105"/>
        <v>0</v>
      </c>
      <c r="W236" s="133">
        <f t="shared" si="106"/>
        <v>0</v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41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49"/>
      <c r="P237" s="549"/>
      <c r="Q237" s="549"/>
      <c r="R237" s="549"/>
      <c r="S237" s="549"/>
      <c r="T237" s="549"/>
      <c r="U237" s="54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541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49"/>
      <c r="P238" s="549"/>
      <c r="Q238" s="549"/>
      <c r="R238" s="549"/>
      <c r="S238" s="549"/>
      <c r="T238" s="549"/>
      <c r="U238" s="54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41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49"/>
      <c r="P239" s="549"/>
      <c r="Q239" s="549"/>
      <c r="R239" s="549"/>
      <c r="S239" s="549"/>
      <c r="T239" s="549"/>
      <c r="U239" s="54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4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49"/>
      <c r="P240" s="549"/>
      <c r="Q240" s="549"/>
      <c r="R240" s="549"/>
      <c r="S240" s="549"/>
      <c r="T240" s="549"/>
      <c r="U240" s="54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41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49"/>
      <c r="P241" s="549"/>
      <c r="Q241" s="549"/>
      <c r="R241" s="549"/>
      <c r="S241" s="549"/>
      <c r="T241" s="549"/>
      <c r="U241" s="54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41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49"/>
      <c r="P242" s="549"/>
      <c r="Q242" s="549"/>
      <c r="R242" s="549"/>
      <c r="S242" s="549"/>
      <c r="T242" s="549"/>
      <c r="U242" s="54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4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49"/>
      <c r="P243" s="549"/>
      <c r="Q243" s="549"/>
      <c r="R243" s="549"/>
      <c r="S243" s="549"/>
      <c r="T243" s="549"/>
      <c r="U243" s="54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4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49"/>
      <c r="P244" s="549"/>
      <c r="Q244" s="549"/>
      <c r="R244" s="549"/>
      <c r="S244" s="549"/>
      <c r="T244" s="549"/>
      <c r="U244" s="54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4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49"/>
      <c r="P245" s="549"/>
      <c r="Q245" s="549"/>
      <c r="R245" s="549"/>
      <c r="S245" s="549"/>
      <c r="T245" s="549"/>
      <c r="U245" s="54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41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49"/>
      <c r="P246" s="549"/>
      <c r="Q246" s="549"/>
      <c r="R246" s="549"/>
      <c r="S246" s="549"/>
      <c r="T246" s="549"/>
      <c r="U246" s="54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4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49"/>
      <c r="P247" s="549"/>
      <c r="Q247" s="549"/>
      <c r="R247" s="549"/>
      <c r="S247" s="549"/>
      <c r="T247" s="549"/>
      <c r="U247" s="54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4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49"/>
      <c r="P248" s="549"/>
      <c r="Q248" s="549"/>
      <c r="R248" s="549"/>
      <c r="S248" s="549"/>
      <c r="T248" s="549"/>
      <c r="U248" s="54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4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49"/>
      <c r="P249" s="549"/>
      <c r="Q249" s="549"/>
      <c r="R249" s="549"/>
      <c r="S249" s="549"/>
      <c r="T249" s="549"/>
      <c r="U249" s="54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41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49"/>
      <c r="P250" s="549"/>
      <c r="Q250" s="549"/>
      <c r="R250" s="549"/>
      <c r="S250" s="549"/>
      <c r="T250" s="549"/>
      <c r="U250" s="54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4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49"/>
      <c r="P251" s="549"/>
      <c r="Q251" s="549"/>
      <c r="R251" s="549"/>
      <c r="S251" s="549"/>
      <c r="T251" s="549"/>
      <c r="U251" s="54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4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49"/>
      <c r="P252" s="549"/>
      <c r="Q252" s="549"/>
      <c r="R252" s="549"/>
      <c r="S252" s="549"/>
      <c r="T252" s="549"/>
      <c r="U252" s="54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4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49"/>
      <c r="P253" s="549"/>
      <c r="Q253" s="549"/>
      <c r="R253" s="549"/>
      <c r="S253" s="549"/>
      <c r="T253" s="549"/>
      <c r="U253" s="54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4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49"/>
      <c r="P254" s="549"/>
      <c r="Q254" s="549"/>
      <c r="R254" s="549"/>
      <c r="S254" s="549"/>
      <c r="T254" s="549"/>
      <c r="U254" s="54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4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49"/>
      <c r="P255" s="549"/>
      <c r="Q255" s="549"/>
      <c r="R255" s="549"/>
      <c r="S255" s="549"/>
      <c r="T255" s="549"/>
      <c r="U255" s="54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41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49"/>
      <c r="P256" s="549"/>
      <c r="Q256" s="549"/>
      <c r="R256" s="549"/>
      <c r="S256" s="549"/>
      <c r="T256" s="549"/>
      <c r="U256" s="54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50" t="s">
        <v>202</v>
      </c>
      <c r="D257" s="143"/>
      <c r="E257" s="143"/>
      <c r="F257" s="144"/>
      <c r="G257" s="145">
        <f>SUM(G200:G256)</f>
        <v>2741</v>
      </c>
      <c r="H257" s="146">
        <f>SUM(H200:H256)</f>
        <v>13827.279999999999</v>
      </c>
      <c r="I257" s="146">
        <f>SUM(I200:I256)</f>
        <v>63.5</v>
      </c>
      <c r="J257" s="130">
        <f t="array" ref="J257">IF(ISERROR(G257/I257),"",G257/I257)</f>
        <v>43.165354330708659</v>
      </c>
      <c r="K257" s="146">
        <f>SUM(K200:K256)</f>
        <v>74.575661375661383</v>
      </c>
      <c r="L257" s="147"/>
      <c r="M257" s="150">
        <f t="shared" ref="M257:V257" si="114">SUM(M200:M256)</f>
        <v>-11.075661375661378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40" t="s">
        <v>217</v>
      </c>
      <c r="C258" s="126" t="s">
        <v>179</v>
      </c>
      <c r="D258" s="108">
        <v>5.03</v>
      </c>
      <c r="E258" s="108"/>
      <c r="F258" s="127"/>
      <c r="G258" s="128"/>
      <c r="H258" s="541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49"/>
      <c r="P258" s="549"/>
      <c r="Q258" s="549"/>
      <c r="R258" s="549"/>
      <c r="S258" s="549"/>
      <c r="T258" s="549"/>
      <c r="U258" s="54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40" t="s">
        <v>217</v>
      </c>
      <c r="C259" s="126" t="s">
        <v>186</v>
      </c>
      <c r="D259" s="108">
        <v>5.03</v>
      </c>
      <c r="E259" s="108"/>
      <c r="F259" s="127"/>
      <c r="G259" s="128"/>
      <c r="H259" s="54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49"/>
      <c r="P259" s="549"/>
      <c r="Q259" s="549"/>
      <c r="R259" s="549"/>
      <c r="S259" s="549"/>
      <c r="T259" s="549"/>
      <c r="U259" s="54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40" t="s">
        <v>217</v>
      </c>
      <c r="C260" s="126" t="s">
        <v>204</v>
      </c>
      <c r="D260" s="108">
        <v>5.03</v>
      </c>
      <c r="E260" s="108"/>
      <c r="F260" s="127"/>
      <c r="G260" s="128"/>
      <c r="H260" s="54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49"/>
      <c r="P260" s="549"/>
      <c r="Q260" s="549"/>
      <c r="R260" s="549"/>
      <c r="S260" s="549"/>
      <c r="T260" s="549"/>
      <c r="U260" s="54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4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49"/>
      <c r="P261" s="549"/>
      <c r="Q261" s="549"/>
      <c r="R261" s="549"/>
      <c r="S261" s="549"/>
      <c r="T261" s="549"/>
      <c r="U261" s="54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4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49"/>
      <c r="P262" s="549"/>
      <c r="Q262" s="549"/>
      <c r="R262" s="549"/>
      <c r="S262" s="549"/>
      <c r="T262" s="549"/>
      <c r="U262" s="54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42748</v>
      </c>
      <c r="G263" s="128">
        <v>40</v>
      </c>
      <c r="H263" s="541">
        <f t="shared" si="116"/>
        <v>201.20000000000002</v>
      </c>
      <c r="I263" s="129">
        <v>4</v>
      </c>
      <c r="J263" s="130">
        <f t="array" ref="J263">IF(ISERROR(G263/I263),"",G263/I263)</f>
        <v>10</v>
      </c>
      <c r="K263" s="131">
        <f t="array" ref="K263">IF(ISERROR(G263/L263),"",G263/L263)</f>
        <v>4.301075268817204</v>
      </c>
      <c r="L263" s="129">
        <v>9.3000000000000007</v>
      </c>
      <c r="M263" s="109">
        <f t="shared" si="117"/>
        <v>-0.30107526881720403</v>
      </c>
      <c r="N263" s="130">
        <f t="shared" si="118"/>
        <v>0</v>
      </c>
      <c r="O263" s="549"/>
      <c r="P263" s="549"/>
      <c r="Q263" s="549"/>
      <c r="R263" s="549"/>
      <c r="S263" s="549"/>
      <c r="T263" s="549"/>
      <c r="U263" s="54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41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49"/>
      <c r="P264" s="549"/>
      <c r="Q264" s="549"/>
      <c r="R264" s="549"/>
      <c r="S264" s="549"/>
      <c r="T264" s="549"/>
      <c r="U264" s="54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41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49"/>
      <c r="P265" s="549"/>
      <c r="Q265" s="549"/>
      <c r="R265" s="549"/>
      <c r="S265" s="549"/>
      <c r="T265" s="549"/>
      <c r="U265" s="54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4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49"/>
      <c r="P266" s="549"/>
      <c r="Q266" s="549"/>
      <c r="R266" s="549"/>
      <c r="S266" s="549"/>
      <c r="T266" s="549"/>
      <c r="U266" s="54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4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49"/>
      <c r="P267" s="549"/>
      <c r="Q267" s="549"/>
      <c r="R267" s="549"/>
      <c r="S267" s="549"/>
      <c r="T267" s="549"/>
      <c r="U267" s="54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4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49"/>
      <c r="P268" s="549"/>
      <c r="Q268" s="549"/>
      <c r="R268" s="549"/>
      <c r="S268" s="549"/>
      <c r="T268" s="549"/>
      <c r="U268" s="54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4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49"/>
      <c r="P269" s="549"/>
      <c r="Q269" s="549"/>
      <c r="R269" s="549"/>
      <c r="S269" s="549"/>
      <c r="T269" s="549"/>
      <c r="U269" s="54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41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49"/>
      <c r="P270" s="549"/>
      <c r="Q270" s="549"/>
      <c r="R270" s="549"/>
      <c r="S270" s="549"/>
      <c r="T270" s="549"/>
      <c r="U270" s="54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4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49"/>
      <c r="P271" s="549"/>
      <c r="Q271" s="549"/>
      <c r="R271" s="549"/>
      <c r="S271" s="549"/>
      <c r="T271" s="549"/>
      <c r="U271" s="54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4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49"/>
      <c r="P272" s="549"/>
      <c r="Q272" s="549"/>
      <c r="R272" s="549"/>
      <c r="S272" s="549"/>
      <c r="T272" s="549"/>
      <c r="U272" s="54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41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49"/>
      <c r="P273" s="549"/>
      <c r="Q273" s="549"/>
      <c r="R273" s="549"/>
      <c r="S273" s="549"/>
      <c r="T273" s="549"/>
      <c r="U273" s="54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40" t="s">
        <v>222</v>
      </c>
      <c r="C274" s="126" t="s">
        <v>181</v>
      </c>
      <c r="D274" s="108">
        <v>9.36</v>
      </c>
      <c r="E274" s="108"/>
      <c r="F274" s="127"/>
      <c r="G274" s="128"/>
      <c r="H274" s="54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49"/>
      <c r="P274" s="549"/>
      <c r="Q274" s="549"/>
      <c r="R274" s="549"/>
      <c r="S274" s="549"/>
      <c r="T274" s="549"/>
      <c r="U274" s="54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40" t="s">
        <v>222</v>
      </c>
      <c r="C275" s="126" t="s">
        <v>179</v>
      </c>
      <c r="D275" s="108">
        <v>9.36</v>
      </c>
      <c r="E275" s="108"/>
      <c r="F275" s="127"/>
      <c r="G275" s="128"/>
      <c r="H275" s="54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49"/>
      <c r="P275" s="549"/>
      <c r="Q275" s="549"/>
      <c r="R275" s="549"/>
      <c r="S275" s="549"/>
      <c r="T275" s="549"/>
      <c r="U275" s="54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40" t="s">
        <v>222</v>
      </c>
      <c r="C276" s="126" t="s">
        <v>221</v>
      </c>
      <c r="D276" s="108">
        <v>9.36</v>
      </c>
      <c r="E276" s="108"/>
      <c r="F276" s="127"/>
      <c r="G276" s="128"/>
      <c r="H276" s="54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49"/>
      <c r="P276" s="549"/>
      <c r="Q276" s="549"/>
      <c r="R276" s="549"/>
      <c r="S276" s="549"/>
      <c r="T276" s="549"/>
      <c r="U276" s="54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40" t="s">
        <v>222</v>
      </c>
      <c r="C277" s="126" t="s">
        <v>186</v>
      </c>
      <c r="D277" s="108">
        <v>9.36</v>
      </c>
      <c r="E277" s="108"/>
      <c r="F277" s="127"/>
      <c r="G277" s="128"/>
      <c r="H277" s="541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49"/>
      <c r="P277" s="549"/>
      <c r="Q277" s="549"/>
      <c r="R277" s="549"/>
      <c r="S277" s="549"/>
      <c r="T277" s="549"/>
      <c r="U277" s="54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40" t="s">
        <v>393</v>
      </c>
      <c r="C278" s="187" t="s">
        <v>395</v>
      </c>
      <c r="D278" s="108">
        <v>5</v>
      </c>
      <c r="E278" s="108"/>
      <c r="F278" s="127"/>
      <c r="G278" s="128"/>
      <c r="H278" s="54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49"/>
      <c r="P278" s="549"/>
      <c r="Q278" s="549"/>
      <c r="R278" s="549"/>
      <c r="S278" s="549"/>
      <c r="T278" s="549"/>
      <c r="U278" s="54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40" t="s">
        <v>393</v>
      </c>
      <c r="C279" s="187" t="s">
        <v>402</v>
      </c>
      <c r="D279" s="108">
        <v>5</v>
      </c>
      <c r="E279" s="108"/>
      <c r="F279" s="127"/>
      <c r="G279" s="128"/>
      <c r="H279" s="54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49"/>
      <c r="P279" s="549"/>
      <c r="Q279" s="549"/>
      <c r="R279" s="549"/>
      <c r="S279" s="549"/>
      <c r="T279" s="549"/>
      <c r="U279" s="54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540" t="s">
        <v>404</v>
      </c>
      <c r="C280" s="187" t="s">
        <v>405</v>
      </c>
      <c r="D280" s="108">
        <v>5</v>
      </c>
      <c r="E280" s="108"/>
      <c r="F280" s="127">
        <v>42746</v>
      </c>
      <c r="G280" s="128">
        <f>90+20</f>
        <v>110</v>
      </c>
      <c r="H280" s="541">
        <f t="shared" si="116"/>
        <v>550</v>
      </c>
      <c r="I280" s="129">
        <f>2.5*4</f>
        <v>10</v>
      </c>
      <c r="J280" s="130">
        <f t="array" ref="J280">IF(ISERROR(G280/I280),"",G280/I280)</f>
        <v>11</v>
      </c>
      <c r="K280" s="131">
        <f t="array" ref="K280">IF(ISERROR(G280/L280),"",G280/L280)</f>
        <v>22</v>
      </c>
      <c r="L280" s="129">
        <v>5</v>
      </c>
      <c r="M280" s="109">
        <f t="shared" si="120"/>
        <v>-12</v>
      </c>
      <c r="N280" s="130">
        <f t="shared" si="121"/>
        <v>0</v>
      </c>
      <c r="O280" s="549"/>
      <c r="P280" s="549"/>
      <c r="Q280" s="549"/>
      <c r="R280" s="549"/>
      <c r="S280" s="549"/>
      <c r="T280" s="549"/>
      <c r="U280" s="54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40" t="s">
        <v>342</v>
      </c>
      <c r="C281" s="187" t="s">
        <v>372</v>
      </c>
      <c r="D281" s="108">
        <v>5</v>
      </c>
      <c r="E281" s="108"/>
      <c r="F281" s="127"/>
      <c r="G281" s="128"/>
      <c r="H281" s="54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49"/>
      <c r="P281" s="549"/>
      <c r="Q281" s="549"/>
      <c r="R281" s="549"/>
      <c r="S281" s="549"/>
      <c r="T281" s="549"/>
      <c r="U281" s="54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40" t="s">
        <v>343</v>
      </c>
      <c r="C282" s="126" t="s">
        <v>345</v>
      </c>
      <c r="D282" s="108">
        <v>5</v>
      </c>
      <c r="E282" s="108"/>
      <c r="F282" s="127"/>
      <c r="G282" s="128"/>
      <c r="H282" s="54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49"/>
      <c r="P282" s="549"/>
      <c r="Q282" s="549"/>
      <c r="R282" s="549"/>
      <c r="S282" s="549"/>
      <c r="T282" s="549"/>
      <c r="U282" s="54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40" t="s">
        <v>343</v>
      </c>
      <c r="C283" s="126" t="s">
        <v>347</v>
      </c>
      <c r="D283" s="108">
        <v>5</v>
      </c>
      <c r="E283" s="108"/>
      <c r="F283" s="127"/>
      <c r="G283" s="128"/>
      <c r="H283" s="541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49"/>
      <c r="P283" s="549"/>
      <c r="Q283" s="549"/>
      <c r="R283" s="549"/>
      <c r="S283" s="549"/>
      <c r="T283" s="549"/>
      <c r="U283" s="54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4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49"/>
      <c r="P284" s="549"/>
      <c r="Q284" s="549"/>
      <c r="R284" s="549"/>
      <c r="S284" s="549"/>
      <c r="T284" s="549"/>
      <c r="U284" s="54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41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49"/>
      <c r="P285" s="549"/>
      <c r="Q285" s="549"/>
      <c r="R285" s="549"/>
      <c r="S285" s="549"/>
      <c r="T285" s="549"/>
      <c r="U285" s="54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4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49"/>
      <c r="P286" s="549"/>
      <c r="Q286" s="549"/>
      <c r="R286" s="549"/>
      <c r="S286" s="549"/>
      <c r="T286" s="549"/>
      <c r="U286" s="54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54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49"/>
      <c r="P287" s="549"/>
      <c r="Q287" s="549"/>
      <c r="R287" s="549"/>
      <c r="S287" s="549"/>
      <c r="T287" s="549"/>
      <c r="U287" s="54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41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49"/>
      <c r="P288" s="549"/>
      <c r="Q288" s="549"/>
      <c r="R288" s="549"/>
      <c r="S288" s="549"/>
      <c r="T288" s="549"/>
      <c r="U288" s="54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4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49"/>
      <c r="P289" s="549"/>
      <c r="Q289" s="549"/>
      <c r="R289" s="549"/>
      <c r="S289" s="549"/>
      <c r="T289" s="549"/>
      <c r="U289" s="54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41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49"/>
      <c r="P290" s="549"/>
      <c r="Q290" s="549"/>
      <c r="R290" s="549"/>
      <c r="S290" s="549"/>
      <c r="T290" s="549"/>
      <c r="U290" s="54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28">
        <f>100*2+36</f>
        <v>236</v>
      </c>
      <c r="H291" s="541">
        <f t="shared" si="116"/>
        <v>1194.1599999999999</v>
      </c>
      <c r="I291" s="129">
        <f>9*4</f>
        <v>36</v>
      </c>
      <c r="J291" s="130">
        <f t="array" ref="J291">IF(ISERROR(G291/I291),"",G291/I291)</f>
        <v>6.5555555555555554</v>
      </c>
      <c r="K291" s="541">
        <f t="array" ref="K291">IF(ISERROR(G291/L291),"",G291/L291)</f>
        <v>26.222222222222221</v>
      </c>
      <c r="L291" s="129">
        <v>9</v>
      </c>
      <c r="M291" s="109">
        <f t="shared" si="127"/>
        <v>9.7777777777777786</v>
      </c>
      <c r="N291" s="130">
        <f t="shared" si="128"/>
        <v>0</v>
      </c>
      <c r="O291" s="549"/>
      <c r="P291" s="549"/>
      <c r="Q291" s="549"/>
      <c r="R291" s="549"/>
      <c r="S291" s="549"/>
      <c r="T291" s="549"/>
      <c r="U291" s="549"/>
      <c r="V291" s="132">
        <f t="shared" si="129"/>
        <v>0</v>
      </c>
      <c r="W291" s="133">
        <f t="shared" si="130"/>
        <v>0</v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550" t="s">
        <v>202</v>
      </c>
      <c r="D292" s="143"/>
      <c r="E292" s="143"/>
      <c r="F292" s="144"/>
      <c r="G292" s="145">
        <f>SUM(G258:G291)</f>
        <v>386</v>
      </c>
      <c r="H292" s="146">
        <f>SUM(H258:H291)</f>
        <v>1945.36</v>
      </c>
      <c r="I292" s="146">
        <f>SUM(I258:I291)</f>
        <v>50</v>
      </c>
      <c r="J292" s="130">
        <f t="array" ref="J292">IF(ISERROR(G292/I292),"",G292/I292)</f>
        <v>7.72</v>
      </c>
      <c r="K292" s="146">
        <f>SUM(K258:K291)</f>
        <v>52.523297491039429</v>
      </c>
      <c r="L292" s="147"/>
      <c r="M292" s="150">
        <f t="shared" ref="M292:V292" si="131">SUM(M258:M291)</f>
        <v>-2.5232974910394255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42746</v>
      </c>
      <c r="G293" s="527">
        <f>90+6+90</f>
        <v>186</v>
      </c>
      <c r="H293" s="541">
        <f t="shared" ref="H293:H307" si="132">D293*G293</f>
        <v>935.58</v>
      </c>
      <c r="I293" s="129">
        <f>3*2</f>
        <v>6</v>
      </c>
      <c r="J293" s="130">
        <f t="array" ref="J293">IF(ISERROR(G293/I293),"",G293/I293)</f>
        <v>31</v>
      </c>
      <c r="K293" s="131">
        <f t="array" ref="K293">IF(ISERROR(G293/L293),"",G293/L293)</f>
        <v>7.44</v>
      </c>
      <c r="L293" s="129">
        <v>25</v>
      </c>
      <c r="M293" s="109">
        <f t="shared" ref="M293:M307" si="133">IF(ISERROR(I293-K293),"",I293-K293)</f>
        <v>-1.4400000000000004</v>
      </c>
      <c r="N293" s="130">
        <f t="shared" ref="N293:N307" si="134">SUM(O293:U293)</f>
        <v>0</v>
      </c>
      <c r="O293" s="549"/>
      <c r="P293" s="549"/>
      <c r="Q293" s="549"/>
      <c r="R293" s="549"/>
      <c r="S293" s="549"/>
      <c r="T293" s="549"/>
      <c r="U293" s="549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527">
        <v>70</v>
      </c>
      <c r="H294" s="541">
        <f t="shared" si="132"/>
        <v>352.1</v>
      </c>
      <c r="I294" s="129">
        <v>3</v>
      </c>
      <c r="J294" s="130">
        <f t="array" ref="J294">IF(ISERROR(G294/I294),"",G294/I294)</f>
        <v>23.333333333333332</v>
      </c>
      <c r="K294" s="131">
        <f t="array" ref="K294">IF(ISERROR(G294/L294),"",G294/L294)</f>
        <v>2.8</v>
      </c>
      <c r="L294" s="129">
        <v>25</v>
      </c>
      <c r="M294" s="109">
        <f t="shared" si="133"/>
        <v>0.20000000000000018</v>
      </c>
      <c r="N294" s="130">
        <f t="shared" si="134"/>
        <v>0</v>
      </c>
      <c r="O294" s="549"/>
      <c r="P294" s="549"/>
      <c r="Q294" s="549"/>
      <c r="R294" s="549"/>
      <c r="S294" s="549"/>
      <c r="T294" s="549"/>
      <c r="U294" s="549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4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49"/>
      <c r="P295" s="549"/>
      <c r="Q295" s="549"/>
      <c r="R295" s="549"/>
      <c r="S295" s="549"/>
      <c r="T295" s="549"/>
      <c r="U295" s="54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4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49"/>
      <c r="P296" s="549"/>
      <c r="Q296" s="549"/>
      <c r="R296" s="549"/>
      <c r="S296" s="549"/>
      <c r="T296" s="549"/>
      <c r="U296" s="54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46" t="s">
        <v>203</v>
      </c>
      <c r="D297" s="108">
        <v>5.03</v>
      </c>
      <c r="E297" s="108"/>
      <c r="F297" s="127"/>
      <c r="G297" s="128"/>
      <c r="H297" s="54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49"/>
      <c r="P297" s="549"/>
      <c r="Q297" s="549"/>
      <c r="R297" s="549"/>
      <c r="S297" s="549"/>
      <c r="T297" s="549"/>
      <c r="U297" s="54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4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49"/>
      <c r="P298" s="549"/>
      <c r="Q298" s="549"/>
      <c r="R298" s="549"/>
      <c r="S298" s="549"/>
      <c r="T298" s="549"/>
      <c r="U298" s="54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4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49"/>
      <c r="P299" s="549"/>
      <c r="Q299" s="549"/>
      <c r="R299" s="549"/>
      <c r="S299" s="549"/>
      <c r="T299" s="549"/>
      <c r="U299" s="54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46" t="s">
        <v>228</v>
      </c>
      <c r="D300" s="108">
        <v>5.03</v>
      </c>
      <c r="E300" s="108"/>
      <c r="F300" s="127"/>
      <c r="G300" s="128"/>
      <c r="H300" s="541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49"/>
      <c r="P300" s="549"/>
      <c r="Q300" s="549"/>
      <c r="R300" s="549"/>
      <c r="S300" s="549"/>
      <c r="T300" s="549"/>
      <c r="U300" s="54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46" t="s">
        <v>212</v>
      </c>
      <c r="D301" s="108">
        <v>5.03</v>
      </c>
      <c r="E301" s="108"/>
      <c r="F301" s="127"/>
      <c r="G301" s="128"/>
      <c r="H301" s="54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49"/>
      <c r="P301" s="549"/>
      <c r="Q301" s="549"/>
      <c r="R301" s="549"/>
      <c r="S301" s="549"/>
      <c r="T301" s="549"/>
      <c r="U301" s="54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46" t="s">
        <v>203</v>
      </c>
      <c r="D302" s="108">
        <v>5.03</v>
      </c>
      <c r="E302" s="108"/>
      <c r="F302" s="127"/>
      <c r="G302" s="128"/>
      <c r="H302" s="54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49"/>
      <c r="P302" s="549"/>
      <c r="Q302" s="549"/>
      <c r="R302" s="549"/>
      <c r="S302" s="549"/>
      <c r="T302" s="549"/>
      <c r="U302" s="54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46" t="s">
        <v>186</v>
      </c>
      <c r="D303" s="108">
        <v>5.03</v>
      </c>
      <c r="E303" s="108"/>
      <c r="F303" s="127"/>
      <c r="G303" s="128"/>
      <c r="H303" s="54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49"/>
      <c r="P303" s="549"/>
      <c r="Q303" s="549"/>
      <c r="R303" s="549"/>
      <c r="S303" s="549"/>
      <c r="T303" s="549"/>
      <c r="U303" s="54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46" t="s">
        <v>228</v>
      </c>
      <c r="D304" s="108">
        <v>5.03</v>
      </c>
      <c r="E304" s="108"/>
      <c r="F304" s="127"/>
      <c r="G304" s="128"/>
      <c r="H304" s="54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49"/>
      <c r="P304" s="549"/>
      <c r="Q304" s="549"/>
      <c r="R304" s="549"/>
      <c r="S304" s="549"/>
      <c r="T304" s="549"/>
      <c r="U304" s="54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46" t="s">
        <v>199</v>
      </c>
      <c r="D305" s="108">
        <v>5.03</v>
      </c>
      <c r="E305" s="108"/>
      <c r="F305" s="127"/>
      <c r="G305" s="128"/>
      <c r="H305" s="541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49"/>
      <c r="P305" s="549"/>
      <c r="Q305" s="549"/>
      <c r="R305" s="549"/>
      <c r="S305" s="549"/>
      <c r="T305" s="549"/>
      <c r="U305" s="54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54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549"/>
      <c r="P306" s="549"/>
      <c r="Q306" s="549"/>
      <c r="R306" s="549"/>
      <c r="S306" s="549"/>
      <c r="T306" s="549"/>
      <c r="U306" s="54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42748</v>
      </c>
      <c r="G307" s="128">
        <f>90*4+38-90</f>
        <v>308</v>
      </c>
      <c r="H307" s="541">
        <f t="shared" si="132"/>
        <v>1558.4799999999998</v>
      </c>
      <c r="I307" s="129">
        <f>6*4</f>
        <v>24</v>
      </c>
      <c r="J307" s="130">
        <f t="array" ref="J307">IF(ISERROR(G307/I307),"",G307/I307)</f>
        <v>12.833333333333334</v>
      </c>
      <c r="K307" s="131">
        <f t="array" ref="K307">IF(ISERROR(G307/L307),"",G307/L307)</f>
        <v>12.32</v>
      </c>
      <c r="L307" s="129">
        <v>25</v>
      </c>
      <c r="M307" s="109">
        <f t="shared" si="133"/>
        <v>11.68</v>
      </c>
      <c r="N307" s="130">
        <f t="shared" si="134"/>
        <v>0</v>
      </c>
      <c r="O307" s="549"/>
      <c r="P307" s="549"/>
      <c r="Q307" s="549"/>
      <c r="R307" s="549"/>
      <c r="S307" s="549"/>
      <c r="T307" s="549"/>
      <c r="U307" s="549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550" t="s">
        <v>202</v>
      </c>
      <c r="D308" s="143"/>
      <c r="E308" s="143"/>
      <c r="F308" s="144"/>
      <c r="G308" s="145">
        <f>SUM(G293:G307)</f>
        <v>564</v>
      </c>
      <c r="H308" s="146">
        <f>SUM(H293:H307)</f>
        <v>2846.16</v>
      </c>
      <c r="I308" s="146">
        <f>SUM(I293:I307)</f>
        <v>33</v>
      </c>
      <c r="J308" s="130">
        <f t="array" ref="J308">IF(ISERROR(G308/I308),"",G308/I308)</f>
        <v>17.09090909090909</v>
      </c>
      <c r="K308" s="146">
        <f>SUM(K293:K307)</f>
        <v>22.560000000000002</v>
      </c>
      <c r="L308" s="146"/>
      <c r="M308" s="150">
        <f>SUM(M293:M307)</f>
        <v>10.44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41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49"/>
      <c r="P309" s="549"/>
      <c r="Q309" s="549"/>
      <c r="R309" s="549"/>
      <c r="S309" s="549"/>
      <c r="T309" s="549"/>
      <c r="U309" s="54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4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49"/>
      <c r="P310" s="549"/>
      <c r="Q310" s="549"/>
      <c r="R310" s="549"/>
      <c r="S310" s="549"/>
      <c r="T310" s="549"/>
      <c r="U310" s="54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4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49"/>
      <c r="P311" s="549"/>
      <c r="Q311" s="549"/>
      <c r="R311" s="549"/>
      <c r="S311" s="549"/>
      <c r="T311" s="549"/>
      <c r="U311" s="54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4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49"/>
      <c r="P312" s="549"/>
      <c r="Q312" s="549"/>
      <c r="R312" s="549"/>
      <c r="S312" s="549"/>
      <c r="T312" s="549"/>
      <c r="U312" s="54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41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49"/>
      <c r="P313" s="549"/>
      <c r="Q313" s="549"/>
      <c r="R313" s="549"/>
      <c r="S313" s="549"/>
      <c r="T313" s="549"/>
      <c r="U313" s="54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41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49"/>
      <c r="P314" s="549"/>
      <c r="Q314" s="549"/>
      <c r="R314" s="549"/>
      <c r="S314" s="549"/>
      <c r="T314" s="549"/>
      <c r="U314" s="54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41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49"/>
      <c r="P315" s="549"/>
      <c r="Q315" s="549"/>
      <c r="R315" s="549"/>
      <c r="S315" s="549"/>
      <c r="T315" s="549"/>
      <c r="U315" s="549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41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49"/>
      <c r="P316" s="549"/>
      <c r="Q316" s="549"/>
      <c r="R316" s="549"/>
      <c r="S316" s="549"/>
      <c r="T316" s="549"/>
      <c r="U316" s="549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541">
        <f t="shared" si="136"/>
        <v>0</v>
      </c>
      <c r="I317" s="129"/>
      <c r="J317" s="130"/>
      <c r="K317" s="131"/>
      <c r="L317" s="129"/>
      <c r="M317" s="109"/>
      <c r="N317" s="130"/>
      <c r="O317" s="549"/>
      <c r="P317" s="549"/>
      <c r="Q317" s="549"/>
      <c r="R317" s="549"/>
      <c r="S317" s="549"/>
      <c r="T317" s="549"/>
      <c r="U317" s="549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41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49"/>
      <c r="P318" s="549"/>
      <c r="Q318" s="549"/>
      <c r="R318" s="549"/>
      <c r="S318" s="549"/>
      <c r="T318" s="549"/>
      <c r="U318" s="54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18" t="s">
        <v>234</v>
      </c>
      <c r="B319" s="619"/>
      <c r="C319" s="550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47"/>
      <c r="D320" s="108">
        <v>3.65</v>
      </c>
      <c r="E320" s="108"/>
      <c r="F320" s="153"/>
      <c r="G320" s="128"/>
      <c r="H320" s="541">
        <f t="shared" ref="H320:H333" si="144">D320*G320</f>
        <v>0</v>
      </c>
      <c r="I320" s="129"/>
      <c r="J320" s="130" t="str">
        <f t="array" ref="J320">IF(ISERROR(G320/I320),"",G320/I320)</f>
        <v/>
      </c>
      <c r="K320" s="541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49"/>
      <c r="P320" s="549"/>
      <c r="Q320" s="549"/>
      <c r="R320" s="549"/>
      <c r="S320" s="549"/>
      <c r="T320" s="549"/>
      <c r="U320" s="54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47"/>
      <c r="D321" s="108">
        <v>6.58</v>
      </c>
      <c r="E321" s="108"/>
      <c r="F321" s="127"/>
      <c r="G321" s="128"/>
      <c r="H321" s="541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49"/>
      <c r="P321" s="549"/>
      <c r="Q321" s="549"/>
      <c r="R321" s="549"/>
      <c r="S321" s="549"/>
      <c r="T321" s="549"/>
      <c r="U321" s="54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47"/>
      <c r="D322" s="108">
        <v>7.8</v>
      </c>
      <c r="E322" s="108"/>
      <c r="F322" s="127">
        <v>42745</v>
      </c>
      <c r="G322" s="128">
        <f>32*2</f>
        <v>64</v>
      </c>
      <c r="H322" s="541">
        <f t="shared" si="144"/>
        <v>499.2</v>
      </c>
      <c r="I322" s="129">
        <v>14</v>
      </c>
      <c r="J322" s="130">
        <f t="array" ref="J322">IF(ISERROR(G322/I322),"",G322/I322)</f>
        <v>4.5714285714285712</v>
      </c>
      <c r="K322" s="131">
        <f t="array" ref="K322">IF(ISERROR(G322/L322),"",G322/L322)</f>
        <v>13.913043478260871</v>
      </c>
      <c r="L322" s="129">
        <v>4.5999999999999996</v>
      </c>
      <c r="M322" s="109">
        <f t="shared" si="145"/>
        <v>8.6956521739129045E-2</v>
      </c>
      <c r="N322" s="130">
        <f t="shared" si="146"/>
        <v>0</v>
      </c>
      <c r="O322" s="549"/>
      <c r="P322" s="549"/>
      <c r="Q322" s="549"/>
      <c r="R322" s="549"/>
      <c r="S322" s="549"/>
      <c r="T322" s="549"/>
      <c r="U322" s="549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47"/>
      <c r="D323" s="108">
        <v>4.4000000000000004</v>
      </c>
      <c r="E323" s="108"/>
      <c r="F323" s="127"/>
      <c r="G323" s="128"/>
      <c r="H323" s="541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49"/>
      <c r="P323" s="549"/>
      <c r="Q323" s="549"/>
      <c r="R323" s="549"/>
      <c r="S323" s="549"/>
      <c r="T323" s="549"/>
      <c r="U323" s="54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47"/>
      <c r="D324" s="108"/>
      <c r="E324" s="108"/>
      <c r="F324" s="127"/>
      <c r="G324" s="128"/>
      <c r="H324" s="541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49"/>
      <c r="P324" s="549"/>
      <c r="Q324" s="549"/>
      <c r="R324" s="549"/>
      <c r="S324" s="549"/>
      <c r="T324" s="549"/>
      <c r="U324" s="54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47" t="s">
        <v>239</v>
      </c>
      <c r="C325" s="547" t="s">
        <v>179</v>
      </c>
      <c r="D325" s="108">
        <v>6.04</v>
      </c>
      <c r="E325" s="108"/>
      <c r="F325" s="127"/>
      <c r="G325" s="128"/>
      <c r="H325" s="541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8" si="148">IF(ISERROR(I325-K325),"",I325-K325)</f>
        <v>0</v>
      </c>
      <c r="N325" s="130">
        <f t="shared" ref="N325:N326" si="149">SUM(O325:U325)</f>
        <v>0</v>
      </c>
      <c r="O325" s="549"/>
      <c r="P325" s="549"/>
      <c r="Q325" s="549"/>
      <c r="R325" s="549"/>
      <c r="S325" s="549"/>
      <c r="T325" s="549"/>
      <c r="U325" s="54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47" t="s">
        <v>239</v>
      </c>
      <c r="C326" s="547" t="s">
        <v>186</v>
      </c>
      <c r="D326" s="108">
        <v>6.04</v>
      </c>
      <c r="E326" s="108"/>
      <c r="F326" s="127"/>
      <c r="G326" s="128"/>
      <c r="H326" s="541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49"/>
      <c r="P326" s="549"/>
      <c r="Q326" s="549"/>
      <c r="R326" s="549"/>
      <c r="S326" s="549"/>
      <c r="T326" s="549"/>
      <c r="U326" s="54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547" t="s">
        <v>443</v>
      </c>
      <c r="C327" s="547" t="s">
        <v>179</v>
      </c>
      <c r="D327" s="108">
        <v>6</v>
      </c>
      <c r="E327" s="108"/>
      <c r="F327" s="127">
        <v>42746</v>
      </c>
      <c r="G327" s="128">
        <f>42+17</f>
        <v>59</v>
      </c>
      <c r="H327" s="541">
        <f t="shared" si="144"/>
        <v>354</v>
      </c>
      <c r="I327" s="129">
        <f>5*4</f>
        <v>20</v>
      </c>
      <c r="J327" s="130">
        <f t="array" ref="J327">IF(ISERROR(G327/I327),"",G327/I327)</f>
        <v>2.95</v>
      </c>
      <c r="K327" s="131">
        <f>IF(ISERROR(G327/L327),"",G327/L327)</f>
        <v>9.8333333333333339</v>
      </c>
      <c r="L327" s="129">
        <v>6</v>
      </c>
      <c r="M327" s="109">
        <f t="shared" si="148"/>
        <v>10.166666666666666</v>
      </c>
      <c r="N327" s="130"/>
      <c r="O327" s="549"/>
      <c r="P327" s="549"/>
      <c r="Q327" s="549"/>
      <c r="R327" s="549"/>
      <c r="S327" s="549"/>
      <c r="T327" s="549"/>
      <c r="U327" s="549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47" t="s">
        <v>443</v>
      </c>
      <c r="C328" s="547" t="s">
        <v>60</v>
      </c>
      <c r="D328" s="108">
        <v>6</v>
      </c>
      <c r="E328" s="108"/>
      <c r="F328" s="127">
        <v>42746</v>
      </c>
      <c r="G328" s="128">
        <f>42+23</f>
        <v>65</v>
      </c>
      <c r="H328" s="541">
        <f t="shared" si="144"/>
        <v>390</v>
      </c>
      <c r="I328" s="129">
        <f>6*4</f>
        <v>24</v>
      </c>
      <c r="J328" s="130">
        <f t="array" ref="J328">IF(ISERROR(G328/I328),"",G328/I328)</f>
        <v>2.7083333333333335</v>
      </c>
      <c r="K328" s="131">
        <f t="array" ref="K328">IF(ISERROR(G328/L328),"",G328/L328)</f>
        <v>10.833333333333334</v>
      </c>
      <c r="L328" s="129">
        <v>6</v>
      </c>
      <c r="M328" s="109">
        <f t="shared" si="148"/>
        <v>13.166666666666666</v>
      </c>
      <c r="N328" s="130"/>
      <c r="O328" s="549"/>
      <c r="P328" s="549"/>
      <c r="Q328" s="549"/>
      <c r="R328" s="549"/>
      <c r="S328" s="549"/>
      <c r="T328" s="549"/>
      <c r="U328" s="54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40" t="s">
        <v>240</v>
      </c>
      <c r="C329" s="126"/>
      <c r="D329" s="108">
        <v>7.3</v>
      </c>
      <c r="E329" s="108"/>
      <c r="F329" s="127"/>
      <c r="G329" s="128"/>
      <c r="H329" s="541">
        <f t="shared" si="144"/>
        <v>0</v>
      </c>
      <c r="I329" s="129"/>
      <c r="J329" s="130"/>
      <c r="K329" s="131"/>
      <c r="L329" s="129"/>
      <c r="M329" s="109"/>
      <c r="N329" s="130"/>
      <c r="O329" s="549"/>
      <c r="P329" s="549"/>
      <c r="Q329" s="549"/>
      <c r="R329" s="549"/>
      <c r="S329" s="549"/>
      <c r="T329" s="549"/>
      <c r="U329" s="54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40" t="s">
        <v>241</v>
      </c>
      <c r="C330" s="126"/>
      <c r="D330" s="108">
        <f>78*120/1000</f>
        <v>9.36</v>
      </c>
      <c r="E330" s="108"/>
      <c r="F330" s="127"/>
      <c r="G330" s="128"/>
      <c r="H330" s="541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549"/>
      <c r="P330" s="549"/>
      <c r="Q330" s="549"/>
      <c r="R330" s="549"/>
      <c r="S330" s="549"/>
      <c r="T330" s="549"/>
      <c r="U330" s="54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40" t="s">
        <v>242</v>
      </c>
      <c r="C331" s="126"/>
      <c r="D331" s="108">
        <v>4.5</v>
      </c>
      <c r="E331" s="108"/>
      <c r="F331" s="127"/>
      <c r="G331" s="128"/>
      <c r="H331" s="541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49"/>
      <c r="P331" s="549"/>
      <c r="Q331" s="549"/>
      <c r="R331" s="549"/>
      <c r="S331" s="549"/>
      <c r="T331" s="549"/>
      <c r="U331" s="54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40" t="s">
        <v>243</v>
      </c>
      <c r="C332" s="126"/>
      <c r="D332" s="108">
        <v>4.5</v>
      </c>
      <c r="E332" s="108"/>
      <c r="F332" s="127"/>
      <c r="G332" s="128"/>
      <c r="H332" s="541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49"/>
      <c r="P332" s="549"/>
      <c r="Q332" s="549"/>
      <c r="R332" s="549"/>
      <c r="S332" s="549"/>
      <c r="T332" s="549"/>
      <c r="U332" s="54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41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49"/>
      <c r="P333" s="549"/>
      <c r="Q333" s="549"/>
      <c r="R333" s="549"/>
      <c r="S333" s="549"/>
      <c r="T333" s="549"/>
      <c r="U333" s="549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550" t="s">
        <v>202</v>
      </c>
      <c r="D334" s="143"/>
      <c r="E334" s="143"/>
      <c r="F334" s="144"/>
      <c r="G334" s="145">
        <f>SUM(G320:G333)</f>
        <v>188</v>
      </c>
      <c r="H334" s="146">
        <f>SUM(H320:H330)</f>
        <v>1243.2</v>
      </c>
      <c r="I334" s="146">
        <f>SUM(I320:I333)</f>
        <v>58</v>
      </c>
      <c r="J334" s="130"/>
      <c r="K334" s="146">
        <f>SUM(K320:K330)</f>
        <v>34.579710144927539</v>
      </c>
      <c r="L334" s="147"/>
      <c r="M334" s="150">
        <f t="shared" ref="M334:AA334" si="155">SUM(M320:M330)</f>
        <v>23.420289855072461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5551</v>
      </c>
      <c r="H335" s="154">
        <f>SUM(H199,H257,H292,H308,H319,H334)</f>
        <v>28348.68</v>
      </c>
      <c r="I335" s="154">
        <f>SUM(I199,I257,I292,I308,I319,I334)</f>
        <v>319.5</v>
      </c>
      <c r="J335" s="155">
        <f t="array" ref="J335">IF(ISERROR(G335/I335),"",G335/I335)</f>
        <v>17.374021909233178</v>
      </c>
      <c r="K335" s="154">
        <f>SUM(K199,K257,K292,K308,K319,K334)</f>
        <v>264.21228591834529</v>
      </c>
      <c r="L335" s="155">
        <f>IF(ISERROR(G335/K335),"",G335/K335)</f>
        <v>21.009621035244116</v>
      </c>
      <c r="M335" s="154">
        <f t="shared" ref="M335:AA335" si="156">SUM(M199,M257,M292,M308,M319,M334)</f>
        <v>55.287714081654741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3" t="s">
        <v>476</v>
      </c>
      <c r="B336" s="543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543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543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543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543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543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543">
        <f>G335</f>
        <v>5551</v>
      </c>
      <c r="C342" s="638" t="s">
        <v>269</v>
      </c>
      <c r="D342" s="639"/>
      <c r="E342" s="631">
        <f>H335</f>
        <v>28348.68</v>
      </c>
      <c r="F342" s="631"/>
      <c r="G342" s="631" t="s">
        <v>270</v>
      </c>
      <c r="H342" s="631"/>
      <c r="I342" s="640">
        <f>L335</f>
        <v>21.009621035244116</v>
      </c>
      <c r="J342" s="640"/>
      <c r="K342" s="628" t="s">
        <v>271</v>
      </c>
      <c r="L342" s="628"/>
      <c r="M342" s="640">
        <f>J335</f>
        <v>17.374021909233178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543">
        <f>I335+C341</f>
        <v>321.5</v>
      </c>
      <c r="C343" s="641" t="s">
        <v>251</v>
      </c>
      <c r="D343" s="642"/>
      <c r="E343" s="643">
        <f>K335+I341</f>
        <v>294.21228591834529</v>
      </c>
      <c r="F343" s="643"/>
      <c r="G343" s="631" t="s">
        <v>274</v>
      </c>
      <c r="H343" s="631"/>
      <c r="I343" s="640">
        <f>B343-E343</f>
        <v>27.287714081654713</v>
      </c>
      <c r="J343" s="640"/>
      <c r="K343" s="628" t="s">
        <v>275</v>
      </c>
      <c r="L343" s="628"/>
      <c r="M343" s="632">
        <f>IF(ISERROR(I343/E343),"",I343/E343)</f>
        <v>9.2748384033248893E-2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543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552</v>
      </c>
      <c r="H348" s="547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540" t="s">
        <v>178</v>
      </c>
      <c r="C349" s="126" t="s">
        <v>179</v>
      </c>
      <c r="D349" s="108">
        <v>5.03</v>
      </c>
      <c r="E349" s="108"/>
      <c r="F349" s="127"/>
      <c r="G349" s="128"/>
      <c r="H349" s="541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549"/>
      <c r="P349" s="549"/>
      <c r="Q349" s="549"/>
      <c r="R349" s="549"/>
      <c r="S349" s="549"/>
      <c r="T349" s="549"/>
      <c r="U349" s="54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41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549"/>
      <c r="P350" s="549"/>
      <c r="Q350" s="549"/>
      <c r="R350" s="549"/>
      <c r="S350" s="549"/>
      <c r="T350" s="549"/>
      <c r="U350" s="54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41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549"/>
      <c r="P351" s="549"/>
      <c r="Q351" s="549"/>
      <c r="R351" s="549"/>
      <c r="S351" s="549"/>
      <c r="T351" s="549"/>
      <c r="U351" s="54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41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549"/>
      <c r="P352" s="549"/>
      <c r="Q352" s="549"/>
      <c r="R352" s="549"/>
      <c r="S352" s="549"/>
      <c r="T352" s="549"/>
      <c r="U352" s="54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41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549"/>
      <c r="P353" s="549"/>
      <c r="Q353" s="549"/>
      <c r="R353" s="549"/>
      <c r="S353" s="549"/>
      <c r="T353" s="549"/>
      <c r="U353" s="54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41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549"/>
      <c r="P354" s="549"/>
      <c r="Q354" s="549"/>
      <c r="R354" s="549"/>
      <c r="S354" s="549"/>
      <c r="T354" s="549"/>
      <c r="U354" s="54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41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549"/>
      <c r="P355" s="549"/>
      <c r="Q355" s="549"/>
      <c r="R355" s="549"/>
      <c r="S355" s="549"/>
      <c r="T355" s="549"/>
      <c r="U355" s="54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41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549"/>
      <c r="P356" s="549"/>
      <c r="Q356" s="549"/>
      <c r="R356" s="549"/>
      <c r="S356" s="549"/>
      <c r="T356" s="549"/>
      <c r="U356" s="54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41">
        <f t="shared" si="157"/>
        <v>0</v>
      </c>
      <c r="I357" s="54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549"/>
      <c r="P357" s="549"/>
      <c r="Q357" s="549"/>
      <c r="R357" s="549"/>
      <c r="S357" s="549"/>
      <c r="T357" s="549"/>
      <c r="U357" s="54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41">
        <f t="shared" si="157"/>
        <v>0</v>
      </c>
      <c r="I358" s="54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549"/>
      <c r="P358" s="549"/>
      <c r="Q358" s="549"/>
      <c r="R358" s="549"/>
      <c r="S358" s="549"/>
      <c r="T358" s="549"/>
      <c r="U358" s="54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41">
        <f t="shared" si="157"/>
        <v>0</v>
      </c>
      <c r="I359" s="541"/>
      <c r="J359" s="130"/>
      <c r="K359" s="131"/>
      <c r="L359" s="129"/>
      <c r="M359" s="109"/>
      <c r="N359" s="130"/>
      <c r="O359" s="549"/>
      <c r="P359" s="549"/>
      <c r="Q359" s="549"/>
      <c r="R359" s="549"/>
      <c r="S359" s="549"/>
      <c r="T359" s="549"/>
      <c r="U359" s="54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41">
        <f t="shared" si="157"/>
        <v>0</v>
      </c>
      <c r="I360" s="541"/>
      <c r="J360" s="130"/>
      <c r="K360" s="131"/>
      <c r="L360" s="129"/>
      <c r="M360" s="109"/>
      <c r="N360" s="130"/>
      <c r="O360" s="549"/>
      <c r="P360" s="549"/>
      <c r="Q360" s="549"/>
      <c r="R360" s="549"/>
      <c r="S360" s="549"/>
      <c r="T360" s="549"/>
      <c r="U360" s="54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41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549"/>
      <c r="P361" s="549"/>
      <c r="Q361" s="549"/>
      <c r="R361" s="549"/>
      <c r="S361" s="549"/>
      <c r="T361" s="549"/>
      <c r="U361" s="54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41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549"/>
      <c r="P362" s="549"/>
      <c r="Q362" s="549"/>
      <c r="R362" s="549"/>
      <c r="S362" s="549"/>
      <c r="T362" s="549"/>
      <c r="U362" s="54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41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549"/>
      <c r="P363" s="549"/>
      <c r="Q363" s="549"/>
      <c r="R363" s="549"/>
      <c r="S363" s="549"/>
      <c r="T363" s="549"/>
      <c r="U363" s="54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47" t="s">
        <v>190</v>
      </c>
      <c r="D364" s="108">
        <v>4.8</v>
      </c>
      <c r="E364" s="108"/>
      <c r="F364" s="127"/>
      <c r="G364" s="128"/>
      <c r="H364" s="541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549"/>
      <c r="P364" s="549"/>
      <c r="Q364" s="549"/>
      <c r="R364" s="549"/>
      <c r="S364" s="549"/>
      <c r="T364" s="549"/>
      <c r="U364" s="54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47" t="s">
        <v>187</v>
      </c>
      <c r="D365" s="108">
        <v>4.8</v>
      </c>
      <c r="E365" s="108"/>
      <c r="F365" s="127"/>
      <c r="G365" s="128"/>
      <c r="H365" s="541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549"/>
      <c r="P365" s="549"/>
      <c r="Q365" s="549"/>
      <c r="R365" s="549"/>
      <c r="S365" s="549"/>
      <c r="T365" s="549"/>
      <c r="U365" s="54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47" t="s">
        <v>179</v>
      </c>
      <c r="D366" s="108">
        <v>4.8</v>
      </c>
      <c r="E366" s="108"/>
      <c r="F366" s="127"/>
      <c r="G366" s="128"/>
      <c r="H366" s="541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549"/>
      <c r="P366" s="549"/>
      <c r="Q366" s="549"/>
      <c r="R366" s="549"/>
      <c r="S366" s="549"/>
      <c r="T366" s="549"/>
      <c r="U366" s="54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47" t="s">
        <v>199</v>
      </c>
      <c r="D367" s="108">
        <v>4.8</v>
      </c>
      <c r="E367" s="108"/>
      <c r="F367" s="127"/>
      <c r="G367" s="128"/>
      <c r="H367" s="541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549"/>
      <c r="P367" s="549"/>
      <c r="Q367" s="549"/>
      <c r="R367" s="549"/>
      <c r="S367" s="549"/>
      <c r="T367" s="549"/>
      <c r="U367" s="54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41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549"/>
      <c r="P368" s="549"/>
      <c r="Q368" s="549"/>
      <c r="R368" s="549"/>
      <c r="S368" s="549"/>
      <c r="T368" s="549"/>
      <c r="U368" s="54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41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549"/>
      <c r="P369" s="549"/>
      <c r="Q369" s="549"/>
      <c r="R369" s="549"/>
      <c r="S369" s="549"/>
      <c r="T369" s="549"/>
      <c r="U369" s="54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550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540" t="s">
        <v>206</v>
      </c>
      <c r="C371" s="126" t="s">
        <v>199</v>
      </c>
      <c r="D371" s="108">
        <v>5.03</v>
      </c>
      <c r="E371" s="108"/>
      <c r="F371" s="127"/>
      <c r="G371" s="128"/>
      <c r="H371" s="541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545"/>
      <c r="P371" s="545"/>
      <c r="Q371" s="545"/>
      <c r="R371" s="545"/>
      <c r="S371" s="545"/>
      <c r="T371" s="545"/>
      <c r="U371" s="545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40" t="s">
        <v>425</v>
      </c>
      <c r="C372" s="187" t="s">
        <v>427</v>
      </c>
      <c r="D372" s="108">
        <v>5.03</v>
      </c>
      <c r="E372" s="108"/>
      <c r="F372" s="127"/>
      <c r="G372" s="128"/>
      <c r="H372" s="541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45"/>
      <c r="P372" s="545"/>
      <c r="Q372" s="545"/>
      <c r="R372" s="545"/>
      <c r="S372" s="545"/>
      <c r="T372" s="545"/>
      <c r="U372" s="545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40" t="s">
        <v>206</v>
      </c>
      <c r="C373" s="126" t="s">
        <v>186</v>
      </c>
      <c r="D373" s="108">
        <v>5.03</v>
      </c>
      <c r="E373" s="108"/>
      <c r="F373" s="127"/>
      <c r="G373" s="128"/>
      <c r="H373" s="541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545"/>
      <c r="P373" s="545"/>
      <c r="Q373" s="545"/>
      <c r="R373" s="545"/>
      <c r="S373" s="545"/>
      <c r="T373" s="545"/>
      <c r="U373" s="545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40" t="s">
        <v>206</v>
      </c>
      <c r="C374" s="126" t="s">
        <v>203</v>
      </c>
      <c r="D374" s="108">
        <v>5.03</v>
      </c>
      <c r="E374" s="108"/>
      <c r="F374" s="127"/>
      <c r="G374" s="128"/>
      <c r="H374" s="541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545"/>
      <c r="P374" s="545"/>
      <c r="Q374" s="545"/>
      <c r="R374" s="545"/>
      <c r="S374" s="545"/>
      <c r="T374" s="545"/>
      <c r="U374" s="545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40" t="s">
        <v>206</v>
      </c>
      <c r="C375" s="126" t="s">
        <v>207</v>
      </c>
      <c r="D375" s="108">
        <v>5.03</v>
      </c>
      <c r="E375" s="108"/>
      <c r="F375" s="127"/>
      <c r="G375" s="128"/>
      <c r="H375" s="541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545"/>
      <c r="P375" s="545"/>
      <c r="Q375" s="545"/>
      <c r="R375" s="545"/>
      <c r="S375" s="545"/>
      <c r="T375" s="545"/>
      <c r="U375" s="545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40" t="s">
        <v>414</v>
      </c>
      <c r="C376" s="187" t="s">
        <v>415</v>
      </c>
      <c r="D376" s="108"/>
      <c r="E376" s="108"/>
      <c r="F376" s="127"/>
      <c r="G376" s="128"/>
      <c r="H376" s="541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545"/>
      <c r="P376" s="545"/>
      <c r="Q376" s="545"/>
      <c r="R376" s="545"/>
      <c r="S376" s="545"/>
      <c r="T376" s="545"/>
      <c r="U376" s="545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40" t="s">
        <v>414</v>
      </c>
      <c r="C377" s="187" t="s">
        <v>416</v>
      </c>
      <c r="D377" s="108"/>
      <c r="E377" s="108"/>
      <c r="F377" s="127"/>
      <c r="G377" s="128"/>
      <c r="H377" s="541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545"/>
      <c r="P377" s="545"/>
      <c r="Q377" s="545"/>
      <c r="R377" s="545"/>
      <c r="S377" s="545"/>
      <c r="T377" s="545"/>
      <c r="U377" s="545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40" t="s">
        <v>414</v>
      </c>
      <c r="C378" s="187" t="s">
        <v>61</v>
      </c>
      <c r="D378" s="108"/>
      <c r="E378" s="108"/>
      <c r="F378" s="127"/>
      <c r="G378" s="128"/>
      <c r="H378" s="541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545"/>
      <c r="P378" s="545"/>
      <c r="Q378" s="545"/>
      <c r="R378" s="545"/>
      <c r="S378" s="545"/>
      <c r="T378" s="545"/>
      <c r="U378" s="545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40" t="s">
        <v>208</v>
      </c>
      <c r="C379" s="126" t="s">
        <v>179</v>
      </c>
      <c r="D379" s="108">
        <v>5.08</v>
      </c>
      <c r="E379" s="108"/>
      <c r="F379" s="127"/>
      <c r="G379" s="128"/>
      <c r="H379" s="541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545"/>
      <c r="P379" s="545"/>
      <c r="Q379" s="545"/>
      <c r="R379" s="545"/>
      <c r="S379" s="545"/>
      <c r="T379" s="545"/>
      <c r="U379" s="545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40" t="s">
        <v>208</v>
      </c>
      <c r="C380" s="126" t="s">
        <v>204</v>
      </c>
      <c r="D380" s="108">
        <v>5.08</v>
      </c>
      <c r="E380" s="108"/>
      <c r="F380" s="127"/>
      <c r="G380" s="128"/>
      <c r="H380" s="541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545"/>
      <c r="P380" s="545"/>
      <c r="Q380" s="545"/>
      <c r="R380" s="545"/>
      <c r="S380" s="545"/>
      <c r="T380" s="545"/>
      <c r="U380" s="545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40" t="s">
        <v>208</v>
      </c>
      <c r="C381" s="126" t="s">
        <v>205</v>
      </c>
      <c r="D381" s="108">
        <v>5.08</v>
      </c>
      <c r="E381" s="108"/>
      <c r="F381" s="127"/>
      <c r="G381" s="128"/>
      <c r="H381" s="541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545"/>
      <c r="P381" s="545"/>
      <c r="Q381" s="545"/>
      <c r="R381" s="545"/>
      <c r="S381" s="545"/>
      <c r="T381" s="545"/>
      <c r="U381" s="545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40" t="s">
        <v>208</v>
      </c>
      <c r="C382" s="126" t="s">
        <v>186</v>
      </c>
      <c r="D382" s="108">
        <v>5.08</v>
      </c>
      <c r="E382" s="108"/>
      <c r="F382" s="127"/>
      <c r="G382" s="128"/>
      <c r="H382" s="541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545"/>
      <c r="P382" s="545"/>
      <c r="Q382" s="545"/>
      <c r="R382" s="545"/>
      <c r="S382" s="545"/>
      <c r="T382" s="545"/>
      <c r="U382" s="545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40" t="s">
        <v>208</v>
      </c>
      <c r="C383" s="126" t="s">
        <v>203</v>
      </c>
      <c r="D383" s="108">
        <v>5.08</v>
      </c>
      <c r="E383" s="108"/>
      <c r="F383" s="127"/>
      <c r="G383" s="128"/>
      <c r="H383" s="541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545"/>
      <c r="P383" s="545"/>
      <c r="Q383" s="545"/>
      <c r="R383" s="545"/>
      <c r="S383" s="545"/>
      <c r="T383" s="545"/>
      <c r="U383" s="545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40" t="s">
        <v>208</v>
      </c>
      <c r="C384" s="126" t="s">
        <v>199</v>
      </c>
      <c r="D384" s="108">
        <v>5.08</v>
      </c>
      <c r="E384" s="108"/>
      <c r="F384" s="127"/>
      <c r="G384" s="128"/>
      <c r="H384" s="541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549"/>
      <c r="P384" s="549"/>
      <c r="Q384" s="549"/>
      <c r="R384" s="549"/>
      <c r="S384" s="549"/>
      <c r="T384" s="549"/>
      <c r="U384" s="54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40" t="s">
        <v>208</v>
      </c>
      <c r="C385" s="126" t="s">
        <v>187</v>
      </c>
      <c r="D385" s="108">
        <v>5.08</v>
      </c>
      <c r="E385" s="108"/>
      <c r="F385" s="127"/>
      <c r="G385" s="128"/>
      <c r="H385" s="541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545"/>
      <c r="P385" s="545"/>
      <c r="Q385" s="545"/>
      <c r="R385" s="545"/>
      <c r="S385" s="545"/>
      <c r="T385" s="545"/>
      <c r="U385" s="545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40" t="s">
        <v>208</v>
      </c>
      <c r="C386" s="126" t="s">
        <v>207</v>
      </c>
      <c r="D386" s="108">
        <v>5.08</v>
      </c>
      <c r="E386" s="108"/>
      <c r="F386" s="127"/>
      <c r="G386" s="128"/>
      <c r="H386" s="541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549"/>
      <c r="P386" s="549"/>
      <c r="Q386" s="549"/>
      <c r="R386" s="549"/>
      <c r="S386" s="549"/>
      <c r="T386" s="549"/>
      <c r="U386" s="54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40" t="s">
        <v>209</v>
      </c>
      <c r="C387" s="126" t="s">
        <v>194</v>
      </c>
      <c r="D387" s="108">
        <v>5.03</v>
      </c>
      <c r="E387" s="108"/>
      <c r="F387" s="127"/>
      <c r="G387" s="128"/>
      <c r="H387" s="541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545"/>
      <c r="P387" s="545"/>
      <c r="Q387" s="545"/>
      <c r="R387" s="545"/>
      <c r="S387" s="545"/>
      <c r="T387" s="545"/>
      <c r="U387" s="545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40" t="s">
        <v>209</v>
      </c>
      <c r="C388" s="126" t="s">
        <v>179</v>
      </c>
      <c r="D388" s="108">
        <v>5.03</v>
      </c>
      <c r="E388" s="108"/>
      <c r="F388" s="127"/>
      <c r="G388" s="128"/>
      <c r="H388" s="541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545"/>
      <c r="P388" s="545"/>
      <c r="Q388" s="545"/>
      <c r="R388" s="545"/>
      <c r="S388" s="545"/>
      <c r="T388" s="545"/>
      <c r="U388" s="545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40" t="s">
        <v>209</v>
      </c>
      <c r="C389" s="126" t="s">
        <v>195</v>
      </c>
      <c r="D389" s="108">
        <v>5.03</v>
      </c>
      <c r="E389" s="108"/>
      <c r="F389" s="127"/>
      <c r="G389" s="128"/>
      <c r="H389" s="541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545"/>
      <c r="P389" s="545"/>
      <c r="Q389" s="545"/>
      <c r="R389" s="545"/>
      <c r="S389" s="545"/>
      <c r="T389" s="545"/>
      <c r="U389" s="545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40" t="s">
        <v>209</v>
      </c>
      <c r="C390" s="126" t="s">
        <v>204</v>
      </c>
      <c r="D390" s="108">
        <v>5.03</v>
      </c>
      <c r="E390" s="108"/>
      <c r="F390" s="127"/>
      <c r="G390" s="128"/>
      <c r="H390" s="541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545"/>
      <c r="P390" s="545"/>
      <c r="Q390" s="545"/>
      <c r="R390" s="545"/>
      <c r="S390" s="545"/>
      <c r="T390" s="545"/>
      <c r="U390" s="545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40" t="s">
        <v>382</v>
      </c>
      <c r="C391" s="187" t="s">
        <v>383</v>
      </c>
      <c r="D391" s="108">
        <v>5.03</v>
      </c>
      <c r="E391" s="108"/>
      <c r="F391" s="127"/>
      <c r="G391" s="128"/>
      <c r="H391" s="541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545"/>
      <c r="P391" s="545"/>
      <c r="Q391" s="545"/>
      <c r="R391" s="545"/>
      <c r="S391" s="545"/>
      <c r="T391" s="545"/>
      <c r="U391" s="545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40" t="s">
        <v>382</v>
      </c>
      <c r="C392" s="187" t="s">
        <v>384</v>
      </c>
      <c r="D392" s="108">
        <v>5.03</v>
      </c>
      <c r="E392" s="108"/>
      <c r="F392" s="127"/>
      <c r="G392" s="128"/>
      <c r="H392" s="541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545"/>
      <c r="P392" s="545"/>
      <c r="Q392" s="545"/>
      <c r="R392" s="545"/>
      <c r="S392" s="545"/>
      <c r="T392" s="545"/>
      <c r="U392" s="545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40" t="s">
        <v>382</v>
      </c>
      <c r="C393" s="187" t="s">
        <v>389</v>
      </c>
      <c r="D393" s="108">
        <v>5.03</v>
      </c>
      <c r="E393" s="108"/>
      <c r="F393" s="127"/>
      <c r="G393" s="128"/>
      <c r="H393" s="541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545"/>
      <c r="P393" s="545"/>
      <c r="Q393" s="545"/>
      <c r="R393" s="545"/>
      <c r="S393" s="545"/>
      <c r="T393" s="545"/>
      <c r="U393" s="545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40" t="s">
        <v>382</v>
      </c>
      <c r="C394" s="187" t="s">
        <v>391</v>
      </c>
      <c r="D394" s="108">
        <v>5.03</v>
      </c>
      <c r="E394" s="108"/>
      <c r="F394" s="127"/>
      <c r="G394" s="128"/>
      <c r="H394" s="541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545"/>
      <c r="P394" s="545"/>
      <c r="Q394" s="545"/>
      <c r="R394" s="545"/>
      <c r="S394" s="545"/>
      <c r="T394" s="545"/>
      <c r="U394" s="545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40" t="s">
        <v>418</v>
      </c>
      <c r="C395" s="187" t="s">
        <v>364</v>
      </c>
      <c r="D395" s="108">
        <v>5.03</v>
      </c>
      <c r="E395" s="108"/>
      <c r="F395" s="127"/>
      <c r="G395" s="128"/>
      <c r="H395" s="541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545"/>
      <c r="P395" s="545"/>
      <c r="Q395" s="545"/>
      <c r="R395" s="545"/>
      <c r="S395" s="545"/>
      <c r="T395" s="545"/>
      <c r="U395" s="545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40" t="s">
        <v>418</v>
      </c>
      <c r="C396" s="187" t="s">
        <v>365</v>
      </c>
      <c r="D396" s="108">
        <v>5.03</v>
      </c>
      <c r="E396" s="108"/>
      <c r="F396" s="127"/>
      <c r="G396" s="128"/>
      <c r="H396" s="541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545"/>
      <c r="P396" s="545"/>
      <c r="Q396" s="545"/>
      <c r="R396" s="545"/>
      <c r="S396" s="545"/>
      <c r="T396" s="545"/>
      <c r="U396" s="545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40" t="s">
        <v>418</v>
      </c>
      <c r="C397" s="187" t="s">
        <v>366</v>
      </c>
      <c r="D397" s="108">
        <v>5.03</v>
      </c>
      <c r="E397" s="108"/>
      <c r="F397" s="127"/>
      <c r="G397" s="128"/>
      <c r="H397" s="541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545"/>
      <c r="P397" s="545"/>
      <c r="Q397" s="545"/>
      <c r="R397" s="545"/>
      <c r="S397" s="545"/>
      <c r="T397" s="545"/>
      <c r="U397" s="545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40" t="s">
        <v>418</v>
      </c>
      <c r="C398" s="187" t="s">
        <v>367</v>
      </c>
      <c r="D398" s="108">
        <v>5.03</v>
      </c>
      <c r="E398" s="108"/>
      <c r="F398" s="127"/>
      <c r="G398" s="128"/>
      <c r="H398" s="541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545"/>
      <c r="P398" s="545"/>
      <c r="Q398" s="545"/>
      <c r="R398" s="545"/>
      <c r="S398" s="545"/>
      <c r="T398" s="545"/>
      <c r="U398" s="545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41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549"/>
      <c r="P399" s="549"/>
      <c r="Q399" s="549"/>
      <c r="R399" s="549"/>
      <c r="S399" s="549"/>
      <c r="T399" s="549"/>
      <c r="U399" s="54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41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549"/>
      <c r="P400" s="549"/>
      <c r="Q400" s="549"/>
      <c r="R400" s="549"/>
      <c r="S400" s="549"/>
      <c r="T400" s="549"/>
      <c r="U400" s="54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41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549"/>
      <c r="P401" s="549"/>
      <c r="Q401" s="549"/>
      <c r="R401" s="549"/>
      <c r="S401" s="549"/>
      <c r="T401" s="549"/>
      <c r="U401" s="54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41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549"/>
      <c r="P402" s="549"/>
      <c r="Q402" s="549"/>
      <c r="R402" s="549"/>
      <c r="S402" s="549"/>
      <c r="T402" s="549"/>
      <c r="U402" s="54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41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549"/>
      <c r="P403" s="549"/>
      <c r="Q403" s="549"/>
      <c r="R403" s="549"/>
      <c r="S403" s="549"/>
      <c r="T403" s="549"/>
      <c r="U403" s="54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41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549"/>
      <c r="P404" s="549"/>
      <c r="Q404" s="549"/>
      <c r="R404" s="549"/>
      <c r="S404" s="549"/>
      <c r="T404" s="549"/>
      <c r="U404" s="54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41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549"/>
      <c r="P405" s="549"/>
      <c r="Q405" s="549"/>
      <c r="R405" s="549"/>
      <c r="S405" s="549"/>
      <c r="T405" s="549"/>
      <c r="U405" s="54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41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549"/>
      <c r="P406" s="549"/>
      <c r="Q406" s="549"/>
      <c r="R406" s="549"/>
      <c r="S406" s="549"/>
      <c r="T406" s="549"/>
      <c r="U406" s="54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41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549"/>
      <c r="P407" s="549"/>
      <c r="Q407" s="549"/>
      <c r="R407" s="549"/>
      <c r="S407" s="549"/>
      <c r="T407" s="549"/>
      <c r="U407" s="54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41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549"/>
      <c r="P408" s="549"/>
      <c r="Q408" s="549"/>
      <c r="R408" s="549"/>
      <c r="S408" s="549"/>
      <c r="T408" s="549"/>
      <c r="U408" s="54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41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49"/>
      <c r="P409" s="549"/>
      <c r="Q409" s="549"/>
      <c r="R409" s="549"/>
      <c r="S409" s="549"/>
      <c r="T409" s="549"/>
      <c r="U409" s="54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41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549"/>
      <c r="P410" s="549"/>
      <c r="Q410" s="549"/>
      <c r="R410" s="549"/>
      <c r="S410" s="549"/>
      <c r="T410" s="549"/>
      <c r="U410" s="54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41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549"/>
      <c r="P411" s="549"/>
      <c r="Q411" s="549"/>
      <c r="R411" s="549"/>
      <c r="S411" s="549"/>
      <c r="T411" s="549"/>
      <c r="U411" s="54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41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549"/>
      <c r="P412" s="549"/>
      <c r="Q412" s="549"/>
      <c r="R412" s="549"/>
      <c r="S412" s="549"/>
      <c r="T412" s="549"/>
      <c r="U412" s="54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41">
        <f t="shared" si="170"/>
        <v>0</v>
      </c>
      <c r="I413" s="129"/>
      <c r="J413" s="130"/>
      <c r="K413" s="131"/>
      <c r="L413" s="129"/>
      <c r="M413" s="109"/>
      <c r="N413" s="130"/>
      <c r="O413" s="549"/>
      <c r="P413" s="549"/>
      <c r="Q413" s="549"/>
      <c r="R413" s="549"/>
      <c r="S413" s="549"/>
      <c r="T413" s="549"/>
      <c r="U413" s="54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41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549"/>
      <c r="P414" s="549"/>
      <c r="Q414" s="549"/>
      <c r="R414" s="549"/>
      <c r="S414" s="549"/>
      <c r="T414" s="549"/>
      <c r="U414" s="54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41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549"/>
      <c r="P415" s="549"/>
      <c r="Q415" s="549"/>
      <c r="R415" s="549"/>
      <c r="S415" s="549"/>
      <c r="T415" s="549"/>
      <c r="U415" s="54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41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549"/>
      <c r="P416" s="549"/>
      <c r="Q416" s="549"/>
      <c r="R416" s="549"/>
      <c r="S416" s="549"/>
      <c r="T416" s="549"/>
      <c r="U416" s="54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41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549"/>
      <c r="P417" s="549"/>
      <c r="Q417" s="549"/>
      <c r="R417" s="549"/>
      <c r="S417" s="549"/>
      <c r="T417" s="549"/>
      <c r="U417" s="54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41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549"/>
      <c r="P418" s="549"/>
      <c r="Q418" s="549"/>
      <c r="R418" s="549"/>
      <c r="S418" s="549"/>
      <c r="T418" s="549"/>
      <c r="U418" s="54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41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549"/>
      <c r="P419" s="549"/>
      <c r="Q419" s="549"/>
      <c r="R419" s="549"/>
      <c r="S419" s="549"/>
      <c r="T419" s="549"/>
      <c r="U419" s="54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41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549"/>
      <c r="P420" s="549"/>
      <c r="Q420" s="549"/>
      <c r="R420" s="549"/>
      <c r="S420" s="549"/>
      <c r="T420" s="549"/>
      <c r="U420" s="54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41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549"/>
      <c r="P421" s="549"/>
      <c r="Q421" s="549"/>
      <c r="R421" s="549"/>
      <c r="S421" s="549"/>
      <c r="T421" s="549"/>
      <c r="U421" s="54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41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549"/>
      <c r="P422" s="549"/>
      <c r="Q422" s="549"/>
      <c r="R422" s="549"/>
      <c r="S422" s="549"/>
      <c r="T422" s="549"/>
      <c r="U422" s="54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41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549"/>
      <c r="P423" s="549"/>
      <c r="Q423" s="549"/>
      <c r="R423" s="549"/>
      <c r="S423" s="549"/>
      <c r="T423" s="549"/>
      <c r="U423" s="54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41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549"/>
      <c r="P424" s="549"/>
      <c r="Q424" s="549"/>
      <c r="R424" s="549"/>
      <c r="S424" s="549"/>
      <c r="T424" s="549"/>
      <c r="U424" s="54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41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549"/>
      <c r="P425" s="549"/>
      <c r="Q425" s="549"/>
      <c r="R425" s="549"/>
      <c r="S425" s="549"/>
      <c r="T425" s="549"/>
      <c r="U425" s="54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41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549"/>
      <c r="P426" s="549"/>
      <c r="Q426" s="549"/>
      <c r="R426" s="549"/>
      <c r="S426" s="549"/>
      <c r="T426" s="549"/>
      <c r="U426" s="54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41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549"/>
      <c r="P427" s="549"/>
      <c r="Q427" s="549"/>
      <c r="R427" s="549"/>
      <c r="S427" s="549"/>
      <c r="T427" s="549"/>
      <c r="U427" s="54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89" t="s">
        <v>551</v>
      </c>
      <c r="B428" s="629"/>
      <c r="C428" s="550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540" t="s">
        <v>217</v>
      </c>
      <c r="C429" s="126" t="s">
        <v>179</v>
      </c>
      <c r="D429" s="108">
        <v>5.03</v>
      </c>
      <c r="E429" s="108"/>
      <c r="F429" s="127">
        <v>42743</v>
      </c>
      <c r="G429" s="128">
        <f>72+58</f>
        <v>130</v>
      </c>
      <c r="H429" s="541">
        <f t="shared" ref="H429:H462" si="195">D429*G429</f>
        <v>653.9</v>
      </c>
      <c r="I429" s="129">
        <f>6+7</f>
        <v>13</v>
      </c>
      <c r="J429" s="130">
        <f t="array" ref="J429">IF(ISERROR(G429/I429),"",G429/I429)</f>
        <v>10</v>
      </c>
      <c r="K429" s="131">
        <f t="array" ref="K429">IF(ISERROR(G429/L429),"",G429/L429)</f>
        <v>14.772727272727272</v>
      </c>
      <c r="L429" s="129">
        <v>8.8000000000000007</v>
      </c>
      <c r="M429" s="109">
        <f t="shared" ref="M429:M436" si="196">IF(ISERROR(I429-K429),"",I429-K429)</f>
        <v>-1.7727272727272716</v>
      </c>
      <c r="N429" s="130">
        <f t="shared" ref="N429:N436" si="197">SUM(O429:U429)</f>
        <v>0</v>
      </c>
      <c r="O429" s="549"/>
      <c r="P429" s="549"/>
      <c r="Q429" s="549"/>
      <c r="R429" s="549"/>
      <c r="S429" s="549"/>
      <c r="T429" s="549"/>
      <c r="U429" s="54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40" t="s">
        <v>217</v>
      </c>
      <c r="C430" s="126" t="s">
        <v>186</v>
      </c>
      <c r="D430" s="108">
        <v>5.03</v>
      </c>
      <c r="E430" s="108"/>
      <c r="F430" s="127"/>
      <c r="G430" s="128"/>
      <c r="H430" s="541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549"/>
      <c r="P430" s="549"/>
      <c r="Q430" s="549"/>
      <c r="R430" s="549"/>
      <c r="S430" s="549"/>
      <c r="T430" s="549"/>
      <c r="U430" s="54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40" t="s">
        <v>217</v>
      </c>
      <c r="C431" s="126" t="s">
        <v>204</v>
      </c>
      <c r="D431" s="108">
        <v>5.03</v>
      </c>
      <c r="E431" s="108"/>
      <c r="F431" s="127"/>
      <c r="G431" s="128"/>
      <c r="H431" s="541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549"/>
      <c r="P431" s="549"/>
      <c r="Q431" s="549"/>
      <c r="R431" s="549"/>
      <c r="S431" s="549"/>
      <c r="T431" s="549"/>
      <c r="U431" s="54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541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549"/>
      <c r="P432" s="549"/>
      <c r="Q432" s="549"/>
      <c r="R432" s="549"/>
      <c r="S432" s="549"/>
      <c r="T432" s="549"/>
      <c r="U432" s="54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541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549"/>
      <c r="P433" s="549"/>
      <c r="Q433" s="549"/>
      <c r="R433" s="549"/>
      <c r="S433" s="549"/>
      <c r="T433" s="549"/>
      <c r="U433" s="54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42745</v>
      </c>
      <c r="G434" s="128">
        <f>93+80</f>
        <v>173</v>
      </c>
      <c r="H434" s="541">
        <f t="shared" si="195"/>
        <v>870.19</v>
      </c>
      <c r="I434" s="129">
        <f>5*2+2*2</f>
        <v>14</v>
      </c>
      <c r="J434" s="130">
        <f t="array" ref="J434">IF(ISERROR(G434/I434),"",G434/I434)</f>
        <v>12.357142857142858</v>
      </c>
      <c r="K434" s="131">
        <f t="array" ref="K434">IF(ISERROR(G434/L434),"",G434/L434)</f>
        <v>18.602150537634408</v>
      </c>
      <c r="L434" s="129">
        <v>9.3000000000000007</v>
      </c>
      <c r="M434" s="109">
        <f t="shared" si="196"/>
        <v>-4.6021505376344081</v>
      </c>
      <c r="N434" s="130">
        <f t="shared" si="197"/>
        <v>0</v>
      </c>
      <c r="O434" s="549"/>
      <c r="P434" s="549"/>
      <c r="Q434" s="549"/>
      <c r="R434" s="549"/>
      <c r="S434" s="549"/>
      <c r="T434" s="549"/>
      <c r="U434" s="54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25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41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549"/>
      <c r="P435" s="549"/>
      <c r="Q435" s="549"/>
      <c r="R435" s="549"/>
      <c r="S435" s="549"/>
      <c r="T435" s="549"/>
      <c r="U435" s="54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25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41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549"/>
      <c r="P436" s="549"/>
      <c r="Q436" s="549"/>
      <c r="R436" s="549"/>
      <c r="S436" s="549"/>
      <c r="T436" s="549"/>
      <c r="U436" s="549"/>
      <c r="V436" s="132"/>
      <c r="W436" s="133"/>
      <c r="X436" s="132"/>
      <c r="Y436" s="132"/>
      <c r="Z436" s="132"/>
      <c r="AA436" s="132"/>
    </row>
    <row r="437" spans="1:27" ht="20.25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41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49"/>
      <c r="P437" s="549"/>
      <c r="Q437" s="549"/>
      <c r="R437" s="549"/>
      <c r="S437" s="549"/>
      <c r="T437" s="549"/>
      <c r="U437" s="54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25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41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49"/>
      <c r="P438" s="549"/>
      <c r="Q438" s="549"/>
      <c r="R438" s="549"/>
      <c r="S438" s="549"/>
      <c r="T438" s="549"/>
      <c r="U438" s="54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25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41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49"/>
      <c r="P439" s="549"/>
      <c r="Q439" s="549"/>
      <c r="R439" s="549"/>
      <c r="S439" s="549"/>
      <c r="T439" s="549"/>
      <c r="U439" s="54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25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41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49"/>
      <c r="P440" s="549"/>
      <c r="Q440" s="549"/>
      <c r="R440" s="549"/>
      <c r="S440" s="549"/>
      <c r="T440" s="549"/>
      <c r="U440" s="54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25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41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549"/>
      <c r="P441" s="549"/>
      <c r="Q441" s="549"/>
      <c r="R441" s="549"/>
      <c r="S441" s="549"/>
      <c r="T441" s="549"/>
      <c r="U441" s="54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25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41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549"/>
      <c r="P442" s="549"/>
      <c r="Q442" s="549"/>
      <c r="R442" s="549"/>
      <c r="S442" s="549"/>
      <c r="T442" s="549"/>
      <c r="U442" s="54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25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41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549"/>
      <c r="P443" s="549"/>
      <c r="Q443" s="549"/>
      <c r="R443" s="549"/>
      <c r="S443" s="549"/>
      <c r="T443" s="549"/>
      <c r="U443" s="54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25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41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549"/>
      <c r="P444" s="549"/>
      <c r="Q444" s="549"/>
      <c r="R444" s="549"/>
      <c r="S444" s="549"/>
      <c r="T444" s="549"/>
      <c r="U444" s="54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25" hidden="1" customHeight="1">
      <c r="A445" s="304">
        <v>30600005</v>
      </c>
      <c r="B445" s="540" t="s">
        <v>222</v>
      </c>
      <c r="C445" s="126" t="s">
        <v>181</v>
      </c>
      <c r="D445" s="108">
        <v>9.36</v>
      </c>
      <c r="E445" s="108"/>
      <c r="F445" s="127"/>
      <c r="G445" s="128"/>
      <c r="H445" s="541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549"/>
      <c r="P445" s="549"/>
      <c r="Q445" s="549"/>
      <c r="R445" s="549"/>
      <c r="S445" s="549"/>
      <c r="T445" s="549"/>
      <c r="U445" s="54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25" hidden="1" customHeight="1">
      <c r="A446" s="304">
        <v>30600008</v>
      </c>
      <c r="B446" s="540" t="s">
        <v>222</v>
      </c>
      <c r="C446" s="126" t="s">
        <v>179</v>
      </c>
      <c r="D446" s="108">
        <v>9.36</v>
      </c>
      <c r="E446" s="108"/>
      <c r="F446" s="127"/>
      <c r="G446" s="128"/>
      <c r="H446" s="541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549"/>
      <c r="P446" s="549"/>
      <c r="Q446" s="549"/>
      <c r="R446" s="549"/>
      <c r="S446" s="549"/>
      <c r="T446" s="549"/>
      <c r="U446" s="54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25" hidden="1" customHeight="1">
      <c r="A447" s="304">
        <v>30600007</v>
      </c>
      <c r="B447" s="540" t="s">
        <v>222</v>
      </c>
      <c r="C447" s="126" t="s">
        <v>221</v>
      </c>
      <c r="D447" s="108">
        <v>9.36</v>
      </c>
      <c r="E447" s="108"/>
      <c r="F447" s="127"/>
      <c r="G447" s="128"/>
      <c r="H447" s="541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549"/>
      <c r="P447" s="549"/>
      <c r="Q447" s="549"/>
      <c r="R447" s="549"/>
      <c r="S447" s="549"/>
      <c r="T447" s="549"/>
      <c r="U447" s="54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25" hidden="1" customHeight="1">
      <c r="A448" s="304">
        <v>30600006</v>
      </c>
      <c r="B448" s="540" t="s">
        <v>222</v>
      </c>
      <c r="C448" s="126" t="s">
        <v>186</v>
      </c>
      <c r="D448" s="108">
        <v>9.36</v>
      </c>
      <c r="E448" s="108"/>
      <c r="F448" s="127"/>
      <c r="G448" s="128"/>
      <c r="H448" s="541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549"/>
      <c r="P448" s="549"/>
      <c r="Q448" s="549"/>
      <c r="R448" s="549"/>
      <c r="S448" s="549"/>
      <c r="T448" s="549"/>
      <c r="U448" s="54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25" hidden="1" customHeight="1">
      <c r="A449" s="299">
        <v>30400026</v>
      </c>
      <c r="B449" s="540" t="s">
        <v>393</v>
      </c>
      <c r="C449" s="187" t="s">
        <v>395</v>
      </c>
      <c r="D449" s="108">
        <v>5</v>
      </c>
      <c r="E449" s="108"/>
      <c r="F449" s="127"/>
      <c r="G449" s="128"/>
      <c r="H449" s="541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549"/>
      <c r="P449" s="549"/>
      <c r="Q449" s="549"/>
      <c r="R449" s="549"/>
      <c r="S449" s="549"/>
      <c r="T449" s="549"/>
      <c r="U449" s="549"/>
      <c r="V449" s="132"/>
      <c r="W449" s="133"/>
      <c r="X449" s="132"/>
      <c r="Y449" s="132"/>
      <c r="Z449" s="132"/>
      <c r="AA449" s="132"/>
    </row>
    <row r="450" spans="1:27" ht="20.25" hidden="1" customHeight="1">
      <c r="A450" s="299">
        <v>30400028</v>
      </c>
      <c r="B450" s="540" t="s">
        <v>393</v>
      </c>
      <c r="C450" s="187" t="s">
        <v>402</v>
      </c>
      <c r="D450" s="108">
        <v>5</v>
      </c>
      <c r="E450" s="108"/>
      <c r="F450" s="127"/>
      <c r="G450" s="128"/>
      <c r="H450" s="541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549"/>
      <c r="P450" s="549"/>
      <c r="Q450" s="549"/>
      <c r="R450" s="549"/>
      <c r="S450" s="549"/>
      <c r="T450" s="549"/>
      <c r="U450" s="549"/>
      <c r="V450" s="132"/>
      <c r="W450" s="133"/>
      <c r="X450" s="132"/>
      <c r="Y450" s="132"/>
      <c r="Z450" s="132"/>
      <c r="AA450" s="132"/>
    </row>
    <row r="451" spans="1:27" ht="20.25" customHeight="1">
      <c r="A451" s="299">
        <v>30400027</v>
      </c>
      <c r="B451" s="540" t="s">
        <v>404</v>
      </c>
      <c r="C451" s="187" t="s">
        <v>405</v>
      </c>
      <c r="D451" s="108">
        <v>5</v>
      </c>
      <c r="E451" s="108"/>
      <c r="F451" s="127">
        <v>42746</v>
      </c>
      <c r="G451" s="128">
        <v>543</v>
      </c>
      <c r="H451" s="541">
        <f t="shared" si="195"/>
        <v>2715</v>
      </c>
      <c r="I451" s="129">
        <f>10*2</f>
        <v>20</v>
      </c>
      <c r="J451" s="130">
        <f t="array" ref="J451">IF(ISERROR(G451/I451),"",G451/I451)</f>
        <v>27.15</v>
      </c>
      <c r="K451" s="131">
        <f t="array" ref="K451">IF(ISERROR(G451/L451),"",G451/L451)</f>
        <v>108.6</v>
      </c>
      <c r="L451" s="129">
        <v>5</v>
      </c>
      <c r="M451" s="109">
        <f t="shared" si="199"/>
        <v>-88.6</v>
      </c>
      <c r="N451" s="130">
        <f t="shared" si="200"/>
        <v>0</v>
      </c>
      <c r="O451" s="549"/>
      <c r="P451" s="549"/>
      <c r="Q451" s="549"/>
      <c r="R451" s="549"/>
      <c r="S451" s="549"/>
      <c r="T451" s="549"/>
      <c r="U451" s="54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40" t="s">
        <v>342</v>
      </c>
      <c r="C452" s="187" t="s">
        <v>372</v>
      </c>
      <c r="D452" s="108">
        <v>5</v>
      </c>
      <c r="E452" s="108"/>
      <c r="F452" s="127"/>
      <c r="G452" s="128"/>
      <c r="H452" s="541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549"/>
      <c r="P452" s="549"/>
      <c r="Q452" s="549"/>
      <c r="R452" s="549"/>
      <c r="S452" s="549"/>
      <c r="T452" s="549"/>
      <c r="U452" s="54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40" t="s">
        <v>343</v>
      </c>
      <c r="C453" s="126" t="s">
        <v>345</v>
      </c>
      <c r="D453" s="108">
        <v>5</v>
      </c>
      <c r="E453" s="108"/>
      <c r="F453" s="127"/>
      <c r="G453" s="128"/>
      <c r="H453" s="541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549"/>
      <c r="P453" s="549"/>
      <c r="Q453" s="549"/>
      <c r="R453" s="549"/>
      <c r="S453" s="549"/>
      <c r="T453" s="549"/>
      <c r="U453" s="54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40" t="s">
        <v>343</v>
      </c>
      <c r="C454" s="126" t="s">
        <v>347</v>
      </c>
      <c r="D454" s="108">
        <v>5</v>
      </c>
      <c r="E454" s="108"/>
      <c r="F454" s="127"/>
      <c r="G454" s="128"/>
      <c r="H454" s="541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549"/>
      <c r="P454" s="549"/>
      <c r="Q454" s="549"/>
      <c r="R454" s="549"/>
      <c r="S454" s="549"/>
      <c r="T454" s="549"/>
      <c r="U454" s="54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541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549"/>
      <c r="P455" s="549"/>
      <c r="Q455" s="549"/>
      <c r="R455" s="549"/>
      <c r="S455" s="549"/>
      <c r="T455" s="549"/>
      <c r="U455" s="54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41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549"/>
      <c r="P456" s="549"/>
      <c r="Q456" s="549"/>
      <c r="R456" s="549"/>
      <c r="S456" s="549"/>
      <c r="T456" s="549"/>
      <c r="U456" s="54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41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549"/>
      <c r="P457" s="549"/>
      <c r="Q457" s="549"/>
      <c r="R457" s="549"/>
      <c r="S457" s="549"/>
      <c r="T457" s="549"/>
      <c r="U457" s="54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41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549"/>
      <c r="P458" s="549"/>
      <c r="Q458" s="549"/>
      <c r="R458" s="549"/>
      <c r="S458" s="549"/>
      <c r="T458" s="549"/>
      <c r="U458" s="54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41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549"/>
      <c r="P459" s="549"/>
      <c r="Q459" s="549"/>
      <c r="R459" s="549"/>
      <c r="S459" s="549"/>
      <c r="T459" s="549"/>
      <c r="U459" s="54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41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549"/>
      <c r="P460" s="549"/>
      <c r="Q460" s="549"/>
      <c r="R460" s="549"/>
      <c r="S460" s="549"/>
      <c r="T460" s="549"/>
      <c r="U460" s="54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41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549"/>
      <c r="P461" s="549"/>
      <c r="Q461" s="549"/>
      <c r="R461" s="549"/>
      <c r="S461" s="549"/>
      <c r="T461" s="549"/>
      <c r="U461" s="54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41">
        <f t="shared" si="195"/>
        <v>0</v>
      </c>
      <c r="I462" s="129"/>
      <c r="J462" s="130" t="str">
        <f t="array" ref="J462">IF(ISERROR(G462/I462),"",G462/I462)</f>
        <v/>
      </c>
      <c r="K462" s="541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549"/>
      <c r="P462" s="549"/>
      <c r="Q462" s="549"/>
      <c r="R462" s="549"/>
      <c r="S462" s="549"/>
      <c r="T462" s="549"/>
      <c r="U462" s="54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550" t="s">
        <v>202</v>
      </c>
      <c r="D463" s="143"/>
      <c r="E463" s="143"/>
      <c r="F463" s="144"/>
      <c r="G463" s="145">
        <f>SUM(G429:G462)</f>
        <v>846</v>
      </c>
      <c r="H463" s="146">
        <f>SUM(H429:H462)</f>
        <v>4239.09</v>
      </c>
      <c r="I463" s="146">
        <f>SUM(I429:I462)</f>
        <v>47</v>
      </c>
      <c r="J463" s="130">
        <f t="array" ref="J463">IF(ISERROR(G463/I463),"",G463/I463)</f>
        <v>18</v>
      </c>
      <c r="K463" s="146">
        <f>SUM(K429:K462)</f>
        <v>141.97487781036168</v>
      </c>
      <c r="L463" s="147"/>
      <c r="M463" s="150">
        <f t="shared" ref="M463:V463" si="209">SUM(M429:M462)</f>
        <v>-94.974877810361676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41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549"/>
      <c r="P464" s="549"/>
      <c r="Q464" s="549"/>
      <c r="R464" s="549"/>
      <c r="S464" s="549"/>
      <c r="T464" s="549"/>
      <c r="U464" s="54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41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549"/>
      <c r="P465" s="549"/>
      <c r="Q465" s="549"/>
      <c r="R465" s="549"/>
      <c r="S465" s="549"/>
      <c r="T465" s="549"/>
      <c r="U465" s="54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41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549"/>
      <c r="P466" s="549"/>
      <c r="Q466" s="549"/>
      <c r="R466" s="549"/>
      <c r="S466" s="549"/>
      <c r="T466" s="549"/>
      <c r="U466" s="54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41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549"/>
      <c r="P467" s="549"/>
      <c r="Q467" s="549"/>
      <c r="R467" s="549"/>
      <c r="S467" s="549"/>
      <c r="T467" s="549"/>
      <c r="U467" s="54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46" t="s">
        <v>203</v>
      </c>
      <c r="D468" s="108">
        <v>5.03</v>
      </c>
      <c r="E468" s="108"/>
      <c r="F468" s="127"/>
      <c r="G468" s="128"/>
      <c r="H468" s="541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549"/>
      <c r="P468" s="549"/>
      <c r="Q468" s="549"/>
      <c r="R468" s="549"/>
      <c r="S468" s="549"/>
      <c r="T468" s="549"/>
      <c r="U468" s="54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41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549"/>
      <c r="P469" s="549"/>
      <c r="Q469" s="549"/>
      <c r="R469" s="549"/>
      <c r="S469" s="549"/>
      <c r="T469" s="549"/>
      <c r="U469" s="54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41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549"/>
      <c r="P470" s="549"/>
      <c r="Q470" s="549"/>
      <c r="R470" s="549"/>
      <c r="S470" s="549"/>
      <c r="T470" s="549"/>
      <c r="U470" s="54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46" t="s">
        <v>228</v>
      </c>
      <c r="D471" s="108">
        <v>5.03</v>
      </c>
      <c r="E471" s="108"/>
      <c r="F471" s="127"/>
      <c r="G471" s="128"/>
      <c r="H471" s="541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549"/>
      <c r="P471" s="549"/>
      <c r="Q471" s="549"/>
      <c r="R471" s="549"/>
      <c r="S471" s="549"/>
      <c r="T471" s="549"/>
      <c r="U471" s="54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46" t="s">
        <v>212</v>
      </c>
      <c r="D472" s="108">
        <v>5.03</v>
      </c>
      <c r="E472" s="108"/>
      <c r="F472" s="127"/>
      <c r="G472" s="128"/>
      <c r="H472" s="541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549"/>
      <c r="P472" s="549"/>
      <c r="Q472" s="549"/>
      <c r="R472" s="549"/>
      <c r="S472" s="549"/>
      <c r="T472" s="549"/>
      <c r="U472" s="54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46" t="s">
        <v>203</v>
      </c>
      <c r="D473" s="108">
        <v>5.03</v>
      </c>
      <c r="E473" s="108"/>
      <c r="F473" s="127"/>
      <c r="G473" s="128"/>
      <c r="H473" s="541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549"/>
      <c r="P473" s="549"/>
      <c r="Q473" s="549"/>
      <c r="R473" s="549"/>
      <c r="S473" s="549"/>
      <c r="T473" s="549"/>
      <c r="U473" s="54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46" t="s">
        <v>186</v>
      </c>
      <c r="D474" s="108">
        <v>5.03</v>
      </c>
      <c r="E474" s="108"/>
      <c r="F474" s="127"/>
      <c r="G474" s="128"/>
      <c r="H474" s="541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549"/>
      <c r="P474" s="549"/>
      <c r="Q474" s="549"/>
      <c r="R474" s="549"/>
      <c r="S474" s="549"/>
      <c r="T474" s="549"/>
      <c r="U474" s="54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46" t="s">
        <v>228</v>
      </c>
      <c r="D475" s="108">
        <v>5.03</v>
      </c>
      <c r="E475" s="108"/>
      <c r="F475" s="127"/>
      <c r="G475" s="128"/>
      <c r="H475" s="541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549"/>
      <c r="P475" s="549"/>
      <c r="Q475" s="549"/>
      <c r="R475" s="549"/>
      <c r="S475" s="549"/>
      <c r="T475" s="549"/>
      <c r="U475" s="54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46" t="s">
        <v>199</v>
      </c>
      <c r="D476" s="108">
        <v>5.03</v>
      </c>
      <c r="E476" s="108"/>
      <c r="F476" s="127"/>
      <c r="G476" s="128"/>
      <c r="H476" s="541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549"/>
      <c r="P476" s="549"/>
      <c r="Q476" s="549"/>
      <c r="R476" s="549"/>
      <c r="S476" s="549"/>
      <c r="T476" s="549"/>
      <c r="U476" s="54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41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549"/>
      <c r="P477" s="549"/>
      <c r="Q477" s="549"/>
      <c r="R477" s="549"/>
      <c r="S477" s="549"/>
      <c r="T477" s="549"/>
      <c r="U477" s="54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41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549"/>
      <c r="P478" s="549"/>
      <c r="Q478" s="549"/>
      <c r="R478" s="549"/>
      <c r="S478" s="549"/>
      <c r="T478" s="549"/>
      <c r="U478" s="54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550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41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549"/>
      <c r="P480" s="549"/>
      <c r="Q480" s="549"/>
      <c r="R480" s="549"/>
      <c r="S480" s="549"/>
      <c r="T480" s="549"/>
      <c r="U480" s="54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41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549"/>
      <c r="P481" s="549"/>
      <c r="Q481" s="549"/>
      <c r="R481" s="549"/>
      <c r="S481" s="549"/>
      <c r="T481" s="549"/>
      <c r="U481" s="54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41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549"/>
      <c r="P482" s="549"/>
      <c r="Q482" s="549"/>
      <c r="R482" s="549"/>
      <c r="S482" s="549"/>
      <c r="T482" s="549"/>
      <c r="U482" s="54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41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549"/>
      <c r="P483" s="549"/>
      <c r="Q483" s="549"/>
      <c r="R483" s="549"/>
      <c r="S483" s="549"/>
      <c r="T483" s="549"/>
      <c r="U483" s="54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41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549"/>
      <c r="P484" s="549"/>
      <c r="Q484" s="549"/>
      <c r="R484" s="549"/>
      <c r="S484" s="549"/>
      <c r="T484" s="549"/>
      <c r="U484" s="54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41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549"/>
      <c r="P485" s="549"/>
      <c r="Q485" s="549"/>
      <c r="R485" s="549"/>
      <c r="S485" s="549"/>
      <c r="T485" s="549"/>
      <c r="U485" s="54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41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549"/>
      <c r="P486" s="549"/>
      <c r="Q486" s="549"/>
      <c r="R486" s="549"/>
      <c r="S486" s="549"/>
      <c r="T486" s="549"/>
      <c r="U486" s="54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41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549"/>
      <c r="P487" s="549"/>
      <c r="Q487" s="549"/>
      <c r="R487" s="549"/>
      <c r="S487" s="549"/>
      <c r="T487" s="549"/>
      <c r="U487" s="54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41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549"/>
      <c r="P488" s="549"/>
      <c r="Q488" s="549"/>
      <c r="R488" s="549"/>
      <c r="S488" s="549"/>
      <c r="T488" s="549"/>
      <c r="U488" s="549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41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549"/>
      <c r="P489" s="549"/>
      <c r="Q489" s="549"/>
      <c r="R489" s="549"/>
      <c r="S489" s="549"/>
      <c r="T489" s="549"/>
      <c r="U489" s="54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550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47"/>
      <c r="D491" s="108">
        <v>3.65</v>
      </c>
      <c r="E491" s="108"/>
      <c r="F491" s="153"/>
      <c r="G491" s="128"/>
      <c r="H491" s="541">
        <f t="shared" ref="H491:H505" si="222">D491*G491</f>
        <v>0</v>
      </c>
      <c r="I491" s="129"/>
      <c r="J491" s="130" t="str">
        <f t="array" ref="J491">IF(ISERROR(G491/I491),"",G491/I491)</f>
        <v/>
      </c>
      <c r="K491" s="541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549"/>
      <c r="P491" s="549"/>
      <c r="Q491" s="549"/>
      <c r="R491" s="549"/>
      <c r="S491" s="549"/>
      <c r="T491" s="549"/>
      <c r="U491" s="54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47"/>
      <c r="D492" s="108">
        <v>6.58</v>
      </c>
      <c r="E492" s="108"/>
      <c r="F492" s="127"/>
      <c r="G492" s="128"/>
      <c r="H492" s="541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549"/>
      <c r="P492" s="549"/>
      <c r="Q492" s="549"/>
      <c r="R492" s="549"/>
      <c r="S492" s="549"/>
      <c r="T492" s="549"/>
      <c r="U492" s="54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47"/>
      <c r="D493" s="108">
        <v>7.8</v>
      </c>
      <c r="E493" s="108"/>
      <c r="F493" s="127"/>
      <c r="G493" s="128"/>
      <c r="H493" s="541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549"/>
      <c r="P493" s="549"/>
      <c r="Q493" s="549"/>
      <c r="R493" s="549"/>
      <c r="S493" s="549"/>
      <c r="T493" s="549"/>
      <c r="U493" s="54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47"/>
      <c r="D494" s="108">
        <v>4.4000000000000004</v>
      </c>
      <c r="E494" s="108"/>
      <c r="F494" s="127"/>
      <c r="G494" s="128"/>
      <c r="H494" s="541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549"/>
      <c r="P494" s="549"/>
      <c r="Q494" s="549"/>
      <c r="R494" s="549"/>
      <c r="S494" s="549"/>
      <c r="T494" s="549"/>
      <c r="U494" s="54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41">
        <f t="shared" si="222"/>
        <v>0</v>
      </c>
      <c r="I495" s="129"/>
      <c r="J495" s="130"/>
      <c r="K495" s="131"/>
      <c r="L495" s="129"/>
      <c r="M495" s="109"/>
      <c r="N495" s="130"/>
      <c r="O495" s="549"/>
      <c r="P495" s="549"/>
      <c r="Q495" s="549"/>
      <c r="R495" s="549"/>
      <c r="S495" s="549"/>
      <c r="T495" s="549"/>
      <c r="U495" s="54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47"/>
      <c r="D496" s="108"/>
      <c r="E496" s="108"/>
      <c r="F496" s="127"/>
      <c r="G496" s="128"/>
      <c r="H496" s="541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549"/>
      <c r="P496" s="549"/>
      <c r="Q496" s="549"/>
      <c r="R496" s="549"/>
      <c r="S496" s="549"/>
      <c r="T496" s="549"/>
      <c r="U496" s="54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47" t="s">
        <v>239</v>
      </c>
      <c r="C497" s="547" t="s">
        <v>179</v>
      </c>
      <c r="D497" s="108">
        <v>6.04</v>
      </c>
      <c r="E497" s="108"/>
      <c r="F497" s="127"/>
      <c r="G497" s="128"/>
      <c r="H497" s="541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549"/>
      <c r="P497" s="549"/>
      <c r="Q497" s="549"/>
      <c r="R497" s="549"/>
      <c r="S497" s="549"/>
      <c r="T497" s="549"/>
      <c r="U497" s="54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47" t="s">
        <v>239</v>
      </c>
      <c r="C498" s="547" t="s">
        <v>186</v>
      </c>
      <c r="D498" s="108">
        <v>6.04</v>
      </c>
      <c r="E498" s="108"/>
      <c r="F498" s="127"/>
      <c r="G498" s="128"/>
      <c r="H498" s="541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549"/>
      <c r="P498" s="549"/>
      <c r="Q498" s="549"/>
      <c r="R498" s="549"/>
      <c r="S498" s="549"/>
      <c r="T498" s="549"/>
      <c r="U498" s="54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47" t="s">
        <v>443</v>
      </c>
      <c r="C499" s="547" t="s">
        <v>179</v>
      </c>
      <c r="D499" s="108"/>
      <c r="E499" s="108"/>
      <c r="F499" s="127"/>
      <c r="G499" s="128"/>
      <c r="H499" s="541">
        <f t="shared" si="222"/>
        <v>0</v>
      </c>
      <c r="I499" s="129"/>
      <c r="J499" s="130"/>
      <c r="K499" s="131"/>
      <c r="L499" s="129"/>
      <c r="M499" s="109"/>
      <c r="N499" s="130"/>
      <c r="O499" s="549"/>
      <c r="P499" s="549"/>
      <c r="Q499" s="549"/>
      <c r="R499" s="549"/>
      <c r="S499" s="549"/>
      <c r="T499" s="549"/>
      <c r="U499" s="54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47" t="s">
        <v>443</v>
      </c>
      <c r="C500" s="547" t="s">
        <v>186</v>
      </c>
      <c r="D500" s="108"/>
      <c r="E500" s="108"/>
      <c r="F500" s="127"/>
      <c r="G500" s="128"/>
      <c r="H500" s="541">
        <f t="shared" si="222"/>
        <v>0</v>
      </c>
      <c r="I500" s="129"/>
      <c r="J500" s="130"/>
      <c r="K500" s="131"/>
      <c r="L500" s="129"/>
      <c r="M500" s="109"/>
      <c r="N500" s="130"/>
      <c r="O500" s="549"/>
      <c r="P500" s="549"/>
      <c r="Q500" s="549"/>
      <c r="R500" s="549"/>
      <c r="S500" s="549"/>
      <c r="T500" s="549"/>
      <c r="U500" s="54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40" t="s">
        <v>240</v>
      </c>
      <c r="C501" s="126"/>
      <c r="D501" s="108">
        <v>7.3</v>
      </c>
      <c r="E501" s="108"/>
      <c r="F501" s="127"/>
      <c r="G501" s="128"/>
      <c r="H501" s="541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549"/>
      <c r="P501" s="549"/>
      <c r="Q501" s="549"/>
      <c r="R501" s="549"/>
      <c r="S501" s="549"/>
      <c r="T501" s="549"/>
      <c r="U501" s="54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40" t="s">
        <v>241</v>
      </c>
      <c r="C502" s="126"/>
      <c r="D502" s="108">
        <f>78*120/1000</f>
        <v>9.36</v>
      </c>
      <c r="E502" s="108"/>
      <c r="F502" s="127"/>
      <c r="G502" s="128"/>
      <c r="H502" s="541">
        <f t="shared" si="222"/>
        <v>0</v>
      </c>
      <c r="I502" s="129"/>
      <c r="J502" s="130"/>
      <c r="K502" s="131"/>
      <c r="L502" s="129"/>
      <c r="M502" s="109"/>
      <c r="N502" s="130"/>
      <c r="O502" s="549"/>
      <c r="P502" s="549"/>
      <c r="Q502" s="549"/>
      <c r="R502" s="549"/>
      <c r="S502" s="549"/>
      <c r="T502" s="549"/>
      <c r="U502" s="54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40" t="s">
        <v>242</v>
      </c>
      <c r="C503" s="126"/>
      <c r="D503" s="108">
        <v>4.5</v>
      </c>
      <c r="E503" s="108"/>
      <c r="F503" s="127"/>
      <c r="G503" s="128"/>
      <c r="H503" s="541">
        <f t="shared" si="222"/>
        <v>0</v>
      </c>
      <c r="I503" s="129"/>
      <c r="J503" s="130"/>
      <c r="K503" s="131"/>
      <c r="L503" s="129"/>
      <c r="M503" s="109"/>
      <c r="N503" s="130"/>
      <c r="O503" s="549"/>
      <c r="P503" s="549"/>
      <c r="Q503" s="549"/>
      <c r="R503" s="549"/>
      <c r="S503" s="549"/>
      <c r="T503" s="549"/>
      <c r="U503" s="54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40" t="s">
        <v>243</v>
      </c>
      <c r="C504" s="126"/>
      <c r="D504" s="108">
        <v>4.5</v>
      </c>
      <c r="E504" s="108"/>
      <c r="F504" s="127"/>
      <c r="G504" s="128"/>
      <c r="H504" s="541">
        <f t="shared" si="222"/>
        <v>0</v>
      </c>
      <c r="I504" s="129"/>
      <c r="J504" s="130"/>
      <c r="K504" s="131"/>
      <c r="L504" s="129"/>
      <c r="M504" s="109"/>
      <c r="N504" s="130"/>
      <c r="O504" s="549"/>
      <c r="P504" s="549"/>
      <c r="Q504" s="549"/>
      <c r="R504" s="549"/>
      <c r="S504" s="549"/>
      <c r="T504" s="549"/>
      <c r="U504" s="54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40"/>
      <c r="C505" s="126"/>
      <c r="D505" s="108"/>
      <c r="E505" s="108"/>
      <c r="F505" s="127"/>
      <c r="G505" s="128"/>
      <c r="H505" s="541">
        <f t="shared" si="222"/>
        <v>0</v>
      </c>
      <c r="I505" s="129"/>
      <c r="J505" s="130"/>
      <c r="K505" s="131"/>
      <c r="L505" s="129"/>
      <c r="M505" s="109"/>
      <c r="N505" s="130"/>
      <c r="O505" s="549"/>
      <c r="P505" s="549"/>
      <c r="Q505" s="549"/>
      <c r="R505" s="549"/>
      <c r="S505" s="549"/>
      <c r="T505" s="549"/>
      <c r="U505" s="54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550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846</v>
      </c>
      <c r="H507" s="154">
        <f>SUM(H370,H428,H463,H479,H490,H506)</f>
        <v>4239.09</v>
      </c>
      <c r="I507" s="154">
        <f>SUM(I370,I428,I463,I479,I490,I506)</f>
        <v>47</v>
      </c>
      <c r="J507" s="155">
        <f t="array" ref="J507">IF(ISERROR(G507/I507),"",G507/I507)</f>
        <v>18</v>
      </c>
      <c r="K507" s="154">
        <f>SUM(K370,K428,K463,K479,K490,K506)</f>
        <v>141.97487781036168</v>
      </c>
      <c r="L507" s="155">
        <f>IF(ISERROR(G507/K507),"",G507/K507)</f>
        <v>5.9588006909927893</v>
      </c>
      <c r="M507" s="154">
        <f t="shared" ref="M507:V507" si="235">SUM(M370,M428,M463,M479,M490,M506)</f>
        <v>-94.974877810361676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543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543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543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543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543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543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543">
        <f>G507</f>
        <v>846</v>
      </c>
      <c r="C514" s="638" t="s">
        <v>269</v>
      </c>
      <c r="D514" s="639"/>
      <c r="E514" s="631">
        <f>H507</f>
        <v>4239.09</v>
      </c>
      <c r="F514" s="631"/>
      <c r="G514" s="631" t="s">
        <v>270</v>
      </c>
      <c r="H514" s="631"/>
      <c r="I514" s="640">
        <f>L507</f>
        <v>5.9588006909927893</v>
      </c>
      <c r="J514" s="640"/>
      <c r="K514" s="628" t="s">
        <v>271</v>
      </c>
      <c r="L514" s="628"/>
      <c r="M514" s="640">
        <f>J507</f>
        <v>18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543">
        <f>I507+C513</f>
        <v>48</v>
      </c>
      <c r="C515" s="641" t="s">
        <v>251</v>
      </c>
      <c r="D515" s="642"/>
      <c r="E515" s="643">
        <f>K507+I513</f>
        <v>152.97487781036168</v>
      </c>
      <c r="F515" s="643"/>
      <c r="G515" s="631" t="s">
        <v>274</v>
      </c>
      <c r="H515" s="631"/>
      <c r="I515" s="640">
        <f>B515-E515</f>
        <v>-104.97487781036168</v>
      </c>
      <c r="J515" s="640"/>
      <c r="K515" s="628" t="s">
        <v>275</v>
      </c>
      <c r="L515" s="628"/>
      <c r="M515" s="632">
        <f>IF(ISERROR(I515/E515),"",I515/E515)</f>
        <v>-0.68622298846020879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543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544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12016</v>
      </c>
      <c r="D519" s="627"/>
      <c r="E519" s="673" t="s">
        <v>269</v>
      </c>
      <c r="F519" s="673"/>
      <c r="G519" s="643">
        <f>SUM(E171,E342,E514)</f>
        <v>61051.16</v>
      </c>
      <c r="H519" s="643"/>
      <c r="I519" s="631" t="s">
        <v>270</v>
      </c>
      <c r="J519" s="673"/>
      <c r="K519" s="626">
        <f>IF(ISERROR(C519/G520),"",C519/G520)</f>
        <v>14.763197708540256</v>
      </c>
      <c r="L519" s="627"/>
      <c r="M519" s="631" t="s">
        <v>271</v>
      </c>
      <c r="N519" s="631"/>
      <c r="O519" s="668">
        <f t="array" ref="O519">IF(ISERROR(C519/C520),"",C519/C520)</f>
        <v>16.747038327526134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717.5</v>
      </c>
      <c r="D520" s="627"/>
      <c r="E520" s="631" t="s">
        <v>251</v>
      </c>
      <c r="F520" s="631"/>
      <c r="G520" s="643">
        <f>SUM(E172,E343,E515)</f>
        <v>813.91580856828534</v>
      </c>
      <c r="H520" s="643"/>
      <c r="I520" s="641" t="s">
        <v>274</v>
      </c>
      <c r="J520" s="642"/>
      <c r="K520" s="638">
        <f>C520-G520</f>
        <v>-96.415808568285343</v>
      </c>
      <c r="L520" s="639"/>
      <c r="M520" s="638" t="s">
        <v>275</v>
      </c>
      <c r="N520" s="639"/>
      <c r="O520" s="671">
        <f>IF(ISERROR(K520/C520),"",K520/C520)</f>
        <v>-0.13437743354464857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44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3225</v>
      </c>
      <c r="D524" s="642"/>
      <c r="E524" s="681">
        <f>IF(ISERROR(C524/C530),"",C524/C530)</f>
        <v>0.26839214380825566</v>
      </c>
      <c r="F524" s="682"/>
      <c r="G524" s="676"/>
      <c r="H524" s="677"/>
      <c r="I524" s="683" t="s">
        <v>301</v>
      </c>
      <c r="J524" s="684"/>
      <c r="K524" s="638">
        <f t="shared" ref="K524:K529" si="237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8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5374</v>
      </c>
      <c r="D525" s="642"/>
      <c r="E525" s="681">
        <f>IF(ISERROR(C525/C530),"",C525/C530)</f>
        <v>0.447237017310253</v>
      </c>
      <c r="F525" s="682"/>
      <c r="G525" s="676"/>
      <c r="H525" s="677"/>
      <c r="I525" s="683" t="s">
        <v>302</v>
      </c>
      <c r="J525" s="684"/>
      <c r="K525" s="638">
        <f t="shared" si="237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8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1904</v>
      </c>
      <c r="D526" s="642"/>
      <c r="E526" s="681">
        <f>IF(ISERROR(C526/C530),"",C526/C530)</f>
        <v>0.1584553928095872</v>
      </c>
      <c r="F526" s="682"/>
      <c r="G526" s="676"/>
      <c r="H526" s="677"/>
      <c r="I526" s="683" t="s">
        <v>303</v>
      </c>
      <c r="J526" s="684"/>
      <c r="K526" s="638">
        <f t="shared" si="237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8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1205</v>
      </c>
      <c r="D527" s="642"/>
      <c r="E527" s="681">
        <f>IF(ISERROR(C527/C530),"",C527/C530)</f>
        <v>0.10028295605858854</v>
      </c>
      <c r="F527" s="682"/>
      <c r="G527" s="676"/>
      <c r="H527" s="677"/>
      <c r="I527" s="683" t="s">
        <v>304</v>
      </c>
      <c r="J527" s="684"/>
      <c r="K527" s="638">
        <f t="shared" si="237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8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0</v>
      </c>
      <c r="D528" s="642"/>
      <c r="E528" s="681">
        <f>IF(ISERROR(C528/C530),"",C528/C530)</f>
        <v>0</v>
      </c>
      <c r="F528" s="682"/>
      <c r="G528" s="676"/>
      <c r="H528" s="677"/>
      <c r="I528" s="683" t="s">
        <v>306</v>
      </c>
      <c r="J528" s="684"/>
      <c r="K528" s="638">
        <f t="shared" si="237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8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308</v>
      </c>
      <c r="D529" s="642"/>
      <c r="E529" s="681">
        <f>IF(ISERROR(C529/C530),"",C529/C530)</f>
        <v>2.5632490013315579E-2</v>
      </c>
      <c r="F529" s="682"/>
      <c r="G529" s="676"/>
      <c r="H529" s="677"/>
      <c r="I529" s="683" t="s">
        <v>307</v>
      </c>
      <c r="J529" s="684"/>
      <c r="K529" s="638">
        <f t="shared" si="237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8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12016</v>
      </c>
      <c r="D530" s="642"/>
      <c r="E530" s="681">
        <f>SUM(E524:F529)</f>
        <v>0.99999999999999989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547" t="s">
        <v>309</v>
      </c>
      <c r="D532" s="547" t="s">
        <v>310</v>
      </c>
      <c r="E532" s="547" t="s">
        <v>311</v>
      </c>
      <c r="F532" s="547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4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41" t="s">
        <v>322</v>
      </c>
      <c r="Q532" s="129" t="s">
        <v>323</v>
      </c>
      <c r="R532" s="109" t="s">
        <v>324</v>
      </c>
      <c r="S532" s="547" t="s">
        <v>325</v>
      </c>
      <c r="T532" s="54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+'12'!C533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548">
        <f t="array" ref="S533">IF(ISERROR(Q533/J533),"",Q533/J533)</f>
        <v>1</v>
      </c>
      <c r="T533" s="548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38</v>
      </c>
      <c r="D534" s="106">
        <f>+'12'!C534</f>
        <v>40</v>
      </c>
      <c r="E534" s="110"/>
      <c r="F534" s="110"/>
      <c r="G534" s="107"/>
      <c r="H534" s="106"/>
      <c r="I534" s="106">
        <v>1</v>
      </c>
      <c r="J534" s="106">
        <f>C534-H534-I534</f>
        <v>37</v>
      </c>
      <c r="K534" s="106"/>
      <c r="L534" s="106"/>
      <c r="M534" s="106"/>
      <c r="N534" s="106"/>
      <c r="O534" s="110">
        <v>2</v>
      </c>
      <c r="P534" s="111"/>
      <c r="Q534" s="106">
        <f>J534-K534-L534</f>
        <v>37</v>
      </c>
      <c r="R534" s="109">
        <f>Q534*11-M534-N534</f>
        <v>407</v>
      </c>
      <c r="S534" s="548">
        <f t="array" ref="S534">IF(ISERROR(Q534/J534),"",Q534/J534)</f>
        <v>1</v>
      </c>
      <c r="T534" s="548">
        <f t="array" ref="T534">IF(ISERROR((O534:P534)/C534),"",SUM(O534:P534)/C534)</f>
        <v>5.2631578947368418E-2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+'12'!C535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48">
        <f t="array" ref="S535">IF(ISERROR(Q535/J535),"",Q535/J535)</f>
        <v>1</v>
      </c>
      <c r="T535" s="548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94</v>
      </c>
      <c r="D536" s="112">
        <f t="shared" ref="D536:N536" si="239">SUM(D533:D535)</f>
        <v>96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1</v>
      </c>
      <c r="J536" s="112">
        <f t="shared" si="239"/>
        <v>93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2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1</v>
      </c>
      <c r="T536" s="115">
        <f t="array" ref="T536">IF(ISERROR((O536:P536)/C536),"",SUM(O536:P536)/C536)</f>
        <v>2.1276595744680851E-2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K533" sqref="K5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26.25" customHeight="1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2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6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9.7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1.75" customHeight="1">
      <c r="A6" s="599"/>
      <c r="B6" s="599"/>
      <c r="C6" s="599"/>
      <c r="D6" s="599"/>
      <c r="E6" s="602"/>
      <c r="F6" s="605"/>
      <c r="G6" s="569" t="s">
        <v>50</v>
      </c>
      <c r="H6" s="555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customHeight="1">
      <c r="A7" s="299">
        <v>30100030</v>
      </c>
      <c r="B7" s="558" t="s">
        <v>178</v>
      </c>
      <c r="C7" s="126" t="s">
        <v>179</v>
      </c>
      <c r="D7" s="108">
        <v>5.03</v>
      </c>
      <c r="E7" s="108"/>
      <c r="F7" s="127">
        <v>42748</v>
      </c>
      <c r="G7" s="108">
        <f>108*3+88</f>
        <v>412</v>
      </c>
      <c r="H7" s="566">
        <f t="shared" ref="H7:H27" si="0">D7*G7</f>
        <v>2072.36</v>
      </c>
      <c r="I7" s="129">
        <v>25</v>
      </c>
      <c r="J7" s="130">
        <f t="array" ref="J7">IF(ISERROR(G7/I7),"",G7/I7)</f>
        <v>16.48</v>
      </c>
      <c r="K7" s="131">
        <f t="array" ref="K7">IF(ISERROR(G7/L7),"",G7/L7)</f>
        <v>25.75</v>
      </c>
      <c r="L7" s="129">
        <v>16</v>
      </c>
      <c r="M7" s="109">
        <f t="shared" ref="M7:M27" si="1">IF(ISERROR(I7-K7),"",I7-K7)</f>
        <v>-0.75</v>
      </c>
      <c r="N7" s="130">
        <f>SUM(O7:U7)</f>
        <v>0</v>
      </c>
      <c r="O7" s="557"/>
      <c r="P7" s="557"/>
      <c r="Q7" s="557"/>
      <c r="R7" s="557"/>
      <c r="S7" s="557"/>
      <c r="T7" s="557"/>
      <c r="U7" s="557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08"/>
      <c r="H8" s="56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57"/>
      <c r="Q8" s="557"/>
      <c r="R8" s="557"/>
      <c r="S8" s="557"/>
      <c r="T8" s="557"/>
      <c r="U8" s="55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08"/>
      <c r="H9" s="56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57"/>
      <c r="P9" s="557"/>
      <c r="Q9" s="557"/>
      <c r="R9" s="557"/>
      <c r="S9" s="557"/>
      <c r="T9" s="557"/>
      <c r="U9" s="55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08"/>
      <c r="H10" s="56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57"/>
      <c r="P10" s="557"/>
      <c r="Q10" s="557"/>
      <c r="R10" s="557"/>
      <c r="S10" s="557"/>
      <c r="T10" s="557"/>
      <c r="U10" s="55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08"/>
      <c r="H11" s="56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57"/>
      <c r="P11" s="557"/>
      <c r="Q11" s="557"/>
      <c r="R11" s="557"/>
      <c r="S11" s="557"/>
      <c r="T11" s="557"/>
      <c r="U11" s="55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552"/>
      <c r="H12" s="56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57"/>
      <c r="P12" s="557"/>
      <c r="Q12" s="557"/>
      <c r="R12" s="557"/>
      <c r="S12" s="557"/>
      <c r="T12" s="557"/>
      <c r="U12" s="557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08"/>
      <c r="H13" s="56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57"/>
      <c r="P13" s="557"/>
      <c r="Q13" s="557"/>
      <c r="R13" s="557"/>
      <c r="S13" s="557"/>
      <c r="T13" s="557"/>
      <c r="U13" s="557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08">
        <v>80</v>
      </c>
      <c r="H14" s="566">
        <f t="shared" si="0"/>
        <v>402.40000000000003</v>
      </c>
      <c r="I14" s="129">
        <v>25</v>
      </c>
      <c r="J14" s="130"/>
      <c r="K14" s="131">
        <f t="array" ref="K14">IF(ISERROR(G14/L14),"",G14/L14)</f>
        <v>26.666666666666668</v>
      </c>
      <c r="L14" s="129">
        <v>3</v>
      </c>
      <c r="M14" s="109">
        <f t="shared" si="1"/>
        <v>-1.6666666666666679</v>
      </c>
      <c r="N14" s="130">
        <f t="shared" si="4"/>
        <v>0</v>
      </c>
      <c r="O14" s="557"/>
      <c r="P14" s="557"/>
      <c r="Q14" s="557"/>
      <c r="R14" s="557"/>
      <c r="S14" s="557"/>
      <c r="T14" s="557"/>
      <c r="U14" s="55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08"/>
      <c r="H15" s="566">
        <f t="shared" si="0"/>
        <v>0</v>
      </c>
      <c r="I15" s="56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57"/>
      <c r="P15" s="557"/>
      <c r="Q15" s="557"/>
      <c r="R15" s="557"/>
      <c r="S15" s="557"/>
      <c r="T15" s="557"/>
      <c r="U15" s="55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08"/>
      <c r="H16" s="566">
        <f t="shared" si="0"/>
        <v>0</v>
      </c>
      <c r="I16" s="56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57"/>
      <c r="P16" s="557"/>
      <c r="Q16" s="557"/>
      <c r="R16" s="557"/>
      <c r="S16" s="557"/>
      <c r="T16" s="557"/>
      <c r="U16" s="55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08"/>
      <c r="H17" s="56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57"/>
      <c r="P17" s="557"/>
      <c r="Q17" s="557"/>
      <c r="R17" s="557"/>
      <c r="S17" s="557"/>
      <c r="T17" s="557"/>
      <c r="U17" s="55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08"/>
      <c r="H18" s="56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57"/>
      <c r="P18" s="557"/>
      <c r="Q18" s="557"/>
      <c r="R18" s="557"/>
      <c r="S18" s="557"/>
      <c r="T18" s="557"/>
      <c r="U18" s="557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42747</v>
      </c>
      <c r="G19" s="108">
        <f>90*8+40</f>
        <v>760</v>
      </c>
      <c r="H19" s="566">
        <f t="shared" si="0"/>
        <v>3845.6</v>
      </c>
      <c r="I19" s="129">
        <v>40</v>
      </c>
      <c r="J19" s="129">
        <f t="array" ref="J19">IF(ISERROR(G19/I19),"",G19/I19)</f>
        <v>19</v>
      </c>
      <c r="K19" s="131">
        <f t="array" ref="K19">IF(ISERROR(G19/L19),"",G19/L19)</f>
        <v>40</v>
      </c>
      <c r="L19" s="129">
        <v>19</v>
      </c>
      <c r="M19" s="109">
        <f t="shared" si="1"/>
        <v>0</v>
      </c>
      <c r="N19" s="129">
        <f t="shared" si="4"/>
        <v>0</v>
      </c>
      <c r="O19" s="557"/>
      <c r="P19" s="557"/>
      <c r="Q19" s="557"/>
      <c r="R19" s="557"/>
      <c r="S19" s="557"/>
      <c r="T19" s="557"/>
      <c r="U19" s="557"/>
      <c r="V19" s="132">
        <f t="shared" ref="V19:V21" si="5">SUM(X19:AA19)</f>
        <v>0</v>
      </c>
      <c r="W19" s="560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08"/>
      <c r="H20" s="56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557"/>
      <c r="P20" s="557"/>
      <c r="Q20" s="557"/>
      <c r="R20" s="557"/>
      <c r="S20" s="557"/>
      <c r="T20" s="557"/>
      <c r="U20" s="557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42745</v>
      </c>
      <c r="G21" s="108">
        <f>94+100*9</f>
        <v>994</v>
      </c>
      <c r="H21" s="566">
        <f t="shared" si="0"/>
        <v>5059.46</v>
      </c>
      <c r="I21" s="129">
        <v>43</v>
      </c>
      <c r="J21" s="130">
        <f t="array" ref="J21">IF(ISERROR(G21/I21),"",G21/I21)</f>
        <v>23.11627906976744</v>
      </c>
      <c r="K21" s="131">
        <f t="array" ref="K21">IF(ISERROR(G21/L21),"",G21/L21)</f>
        <v>43.217391304347828</v>
      </c>
      <c r="L21" s="129">
        <v>23</v>
      </c>
      <c r="M21" s="109">
        <f t="shared" si="1"/>
        <v>-0.21739130434782794</v>
      </c>
      <c r="N21" s="130">
        <f t="shared" si="4"/>
        <v>0</v>
      </c>
      <c r="O21" s="557"/>
      <c r="P21" s="557"/>
      <c r="Q21" s="557"/>
      <c r="R21" s="557"/>
      <c r="S21" s="557"/>
      <c r="T21" s="557"/>
      <c r="U21" s="557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56" t="s">
        <v>190</v>
      </c>
      <c r="D22" s="108">
        <v>4.8</v>
      </c>
      <c r="E22" s="108"/>
      <c r="F22" s="127"/>
      <c r="G22" s="108"/>
      <c r="H22" s="56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57"/>
      <c r="P22" s="557"/>
      <c r="Q22" s="557"/>
      <c r="R22" s="557"/>
      <c r="S22" s="557"/>
      <c r="T22" s="557"/>
      <c r="U22" s="55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56" t="s">
        <v>187</v>
      </c>
      <c r="D23" s="108">
        <v>4.8</v>
      </c>
      <c r="E23" s="108"/>
      <c r="F23" s="127"/>
      <c r="G23" s="108"/>
      <c r="H23" s="56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57"/>
      <c r="P23" s="557"/>
      <c r="Q23" s="557"/>
      <c r="R23" s="557"/>
      <c r="S23" s="557"/>
      <c r="T23" s="557"/>
      <c r="U23" s="55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56" t="s">
        <v>179</v>
      </c>
      <c r="D24" s="108">
        <v>4.8</v>
      </c>
      <c r="E24" s="108"/>
      <c r="F24" s="127"/>
      <c r="G24" s="108"/>
      <c r="H24" s="56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57"/>
      <c r="P24" s="557"/>
      <c r="Q24" s="557"/>
      <c r="R24" s="557"/>
      <c r="S24" s="557"/>
      <c r="T24" s="557"/>
      <c r="U24" s="55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56" t="s">
        <v>199</v>
      </c>
      <c r="D25" s="108">
        <v>4.8</v>
      </c>
      <c r="E25" s="108"/>
      <c r="F25" s="127"/>
      <c r="G25" s="108"/>
      <c r="H25" s="56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57"/>
      <c r="P25" s="557"/>
      <c r="Q25" s="557"/>
      <c r="R25" s="557"/>
      <c r="S25" s="557"/>
      <c r="T25" s="557"/>
      <c r="U25" s="55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08"/>
      <c r="H26" s="56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57"/>
      <c r="P26" s="557"/>
      <c r="Q26" s="557"/>
      <c r="R26" s="557"/>
      <c r="S26" s="557"/>
      <c r="T26" s="557"/>
      <c r="U26" s="55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08"/>
      <c r="H27" s="56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57"/>
      <c r="P27" s="557"/>
      <c r="Q27" s="557"/>
      <c r="R27" s="557"/>
      <c r="S27" s="557"/>
      <c r="T27" s="557"/>
      <c r="U27" s="55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564" t="s">
        <v>202</v>
      </c>
      <c r="D28" s="143"/>
      <c r="E28" s="143"/>
      <c r="F28" s="144"/>
      <c r="G28" s="143">
        <f>SUM(G7:G27)</f>
        <v>2246</v>
      </c>
      <c r="H28" s="146">
        <f>SUM(H7:H27)</f>
        <v>11379.82</v>
      </c>
      <c r="I28" s="146">
        <f>SUM(I7:I27)</f>
        <v>133</v>
      </c>
      <c r="J28" s="130">
        <f t="array" ref="J28">IF(ISERROR(G28/I28),"",G28/I28)</f>
        <v>16.887218045112782</v>
      </c>
      <c r="K28" s="146">
        <f>SUM(K7:K27)</f>
        <v>135.6340579710145</v>
      </c>
      <c r="L28" s="147"/>
      <c r="M28" s="146">
        <f t="shared" ref="M28:V28" si="10">SUM(M7:M27)</f>
        <v>-2.6340579710144958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558" t="s">
        <v>206</v>
      </c>
      <c r="C29" s="126" t="s">
        <v>199</v>
      </c>
      <c r="D29" s="108">
        <v>5.03</v>
      </c>
      <c r="E29" s="108"/>
      <c r="F29" s="127"/>
      <c r="G29" s="108"/>
      <c r="H29" s="56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61"/>
      <c r="P29" s="561"/>
      <c r="Q29" s="561"/>
      <c r="R29" s="561"/>
      <c r="S29" s="561"/>
      <c r="T29" s="561"/>
      <c r="U29" s="56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58" t="s">
        <v>425</v>
      </c>
      <c r="C30" s="187" t="s">
        <v>427</v>
      </c>
      <c r="D30" s="108">
        <v>5.03</v>
      </c>
      <c r="E30" s="108"/>
      <c r="F30" s="127"/>
      <c r="G30" s="108"/>
      <c r="H30" s="56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61"/>
      <c r="P30" s="561"/>
      <c r="Q30" s="561"/>
      <c r="R30" s="561"/>
      <c r="S30" s="561"/>
      <c r="T30" s="561"/>
      <c r="U30" s="56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58" t="s">
        <v>206</v>
      </c>
      <c r="C31" s="126" t="s">
        <v>186</v>
      </c>
      <c r="D31" s="108">
        <v>5.03</v>
      </c>
      <c r="E31" s="108"/>
      <c r="F31" s="127"/>
      <c r="G31" s="108"/>
      <c r="H31" s="56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61"/>
      <c r="P31" s="561"/>
      <c r="Q31" s="561"/>
      <c r="R31" s="561"/>
      <c r="S31" s="561"/>
      <c r="T31" s="561"/>
      <c r="U31" s="56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58" t="s">
        <v>206</v>
      </c>
      <c r="C32" s="126" t="s">
        <v>203</v>
      </c>
      <c r="D32" s="108">
        <v>5.03</v>
      </c>
      <c r="E32" s="108"/>
      <c r="F32" s="127"/>
      <c r="G32" s="108"/>
      <c r="H32" s="56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61"/>
      <c r="P32" s="561"/>
      <c r="Q32" s="561"/>
      <c r="R32" s="561"/>
      <c r="S32" s="561"/>
      <c r="T32" s="561"/>
      <c r="U32" s="56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58" t="s">
        <v>206</v>
      </c>
      <c r="C33" s="126" t="s">
        <v>207</v>
      </c>
      <c r="D33" s="108">
        <v>5.03</v>
      </c>
      <c r="E33" s="108"/>
      <c r="F33" s="127"/>
      <c r="G33" s="108"/>
      <c r="H33" s="56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61"/>
      <c r="P33" s="561"/>
      <c r="Q33" s="561"/>
      <c r="R33" s="561"/>
      <c r="S33" s="561"/>
      <c r="T33" s="561"/>
      <c r="U33" s="56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58" t="s">
        <v>414</v>
      </c>
      <c r="C34" s="187" t="s">
        <v>415</v>
      </c>
      <c r="D34" s="108">
        <v>5.03</v>
      </c>
      <c r="E34" s="108"/>
      <c r="F34" s="127"/>
      <c r="G34" s="108"/>
      <c r="H34" s="566">
        <f t="shared" si="11"/>
        <v>0</v>
      </c>
      <c r="I34" s="129"/>
      <c r="J34" s="130"/>
      <c r="K34" s="131"/>
      <c r="L34" s="129">
        <v>52</v>
      </c>
      <c r="M34" s="109"/>
      <c r="N34" s="130"/>
      <c r="O34" s="561"/>
      <c r="P34" s="561"/>
      <c r="Q34" s="561"/>
      <c r="R34" s="561"/>
      <c r="S34" s="561"/>
      <c r="T34" s="561"/>
      <c r="U34" s="56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58" t="s">
        <v>414</v>
      </c>
      <c r="C35" s="187" t="s">
        <v>416</v>
      </c>
      <c r="D35" s="108">
        <v>5.03</v>
      </c>
      <c r="E35" s="108"/>
      <c r="F35" s="127"/>
      <c r="G35" s="108"/>
      <c r="H35" s="566">
        <f t="shared" si="11"/>
        <v>0</v>
      </c>
      <c r="I35" s="129"/>
      <c r="J35" s="130"/>
      <c r="K35" s="131"/>
      <c r="L35" s="129">
        <v>52</v>
      </c>
      <c r="M35" s="109"/>
      <c r="N35" s="130"/>
      <c r="O35" s="561"/>
      <c r="P35" s="561"/>
      <c r="Q35" s="561"/>
      <c r="R35" s="561"/>
      <c r="S35" s="561"/>
      <c r="T35" s="561"/>
      <c r="U35" s="56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58" t="s">
        <v>414</v>
      </c>
      <c r="C36" s="187" t="s">
        <v>61</v>
      </c>
      <c r="D36" s="108">
        <v>5.03</v>
      </c>
      <c r="E36" s="108"/>
      <c r="F36" s="127"/>
      <c r="G36" s="108"/>
      <c r="H36" s="566">
        <f t="shared" si="11"/>
        <v>0</v>
      </c>
      <c r="I36" s="129"/>
      <c r="J36" s="130"/>
      <c r="K36" s="131"/>
      <c r="L36" s="129">
        <v>52</v>
      </c>
      <c r="M36" s="109"/>
      <c r="N36" s="130"/>
      <c r="O36" s="561"/>
      <c r="P36" s="561"/>
      <c r="Q36" s="561"/>
      <c r="R36" s="561"/>
      <c r="S36" s="561"/>
      <c r="T36" s="561"/>
      <c r="U36" s="56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558" t="s">
        <v>208</v>
      </c>
      <c r="C37" s="126" t="s">
        <v>179</v>
      </c>
      <c r="D37" s="108">
        <v>5.08</v>
      </c>
      <c r="E37" s="108"/>
      <c r="F37" s="127">
        <v>42746</v>
      </c>
      <c r="G37" s="108">
        <f>12+108*3+1</f>
        <v>337</v>
      </c>
      <c r="H37" s="566">
        <f t="shared" si="11"/>
        <v>1711.96</v>
      </c>
      <c r="I37" s="129">
        <v>16</v>
      </c>
      <c r="J37" s="130">
        <f t="array" ref="J37">IF(ISERROR(G37/I37),"",G37/I37)</f>
        <v>21.0625</v>
      </c>
      <c r="K37" s="131">
        <f t="array" ref="K37">IF(ISERROR(G37/L37),"",G37/L37)</f>
        <v>16.047619047619047</v>
      </c>
      <c r="L37" s="129">
        <v>21</v>
      </c>
      <c r="M37" s="109">
        <f t="shared" ref="M37:M66" si="19">IF(ISERROR(I37-K37),"",I37-K37)</f>
        <v>-4.761904761904745E-2</v>
      </c>
      <c r="N37" s="130">
        <f t="shared" ref="N37:N52" si="20">SUM(O37:U37)</f>
        <v>0</v>
      </c>
      <c r="O37" s="561"/>
      <c r="P37" s="561"/>
      <c r="Q37" s="561"/>
      <c r="R37" s="561"/>
      <c r="S37" s="561"/>
      <c r="T37" s="561"/>
      <c r="U37" s="561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558" t="s">
        <v>208</v>
      </c>
      <c r="C38" s="126" t="s">
        <v>204</v>
      </c>
      <c r="D38" s="108">
        <v>5.08</v>
      </c>
      <c r="E38" s="108"/>
      <c r="F38" s="127"/>
      <c r="G38" s="108"/>
      <c r="H38" s="56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61"/>
      <c r="P38" s="561"/>
      <c r="Q38" s="561"/>
      <c r="R38" s="561"/>
      <c r="S38" s="561"/>
      <c r="T38" s="561"/>
      <c r="U38" s="56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58" t="s">
        <v>208</v>
      </c>
      <c r="C39" s="126" t="s">
        <v>205</v>
      </c>
      <c r="D39" s="108">
        <v>5.08</v>
      </c>
      <c r="E39" s="108"/>
      <c r="F39" s="127"/>
      <c r="G39" s="108"/>
      <c r="H39" s="56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61"/>
      <c r="P39" s="561"/>
      <c r="Q39" s="561"/>
      <c r="R39" s="561"/>
      <c r="S39" s="561"/>
      <c r="T39" s="561"/>
      <c r="U39" s="56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58" t="s">
        <v>208</v>
      </c>
      <c r="C40" s="126" t="s">
        <v>186</v>
      </c>
      <c r="D40" s="108">
        <v>5.08</v>
      </c>
      <c r="E40" s="108"/>
      <c r="F40" s="127"/>
      <c r="G40" s="108"/>
      <c r="H40" s="56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61"/>
      <c r="P40" s="561"/>
      <c r="Q40" s="561"/>
      <c r="R40" s="561"/>
      <c r="S40" s="561"/>
      <c r="T40" s="561"/>
      <c r="U40" s="56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58" t="s">
        <v>208</v>
      </c>
      <c r="C41" s="126" t="s">
        <v>203</v>
      </c>
      <c r="D41" s="108">
        <v>5.08</v>
      </c>
      <c r="E41" s="108"/>
      <c r="F41" s="127"/>
      <c r="G41" s="108"/>
      <c r="H41" s="56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61"/>
      <c r="P41" s="561"/>
      <c r="Q41" s="561"/>
      <c r="R41" s="561"/>
      <c r="S41" s="561"/>
      <c r="T41" s="561"/>
      <c r="U41" s="56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58" t="s">
        <v>208</v>
      </c>
      <c r="C42" s="126" t="s">
        <v>199</v>
      </c>
      <c r="D42" s="108">
        <v>5.08</v>
      </c>
      <c r="E42" s="108"/>
      <c r="F42" s="127"/>
      <c r="G42" s="108"/>
      <c r="H42" s="56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57"/>
      <c r="P42" s="557"/>
      <c r="Q42" s="557"/>
      <c r="R42" s="557"/>
      <c r="S42" s="557"/>
      <c r="T42" s="557"/>
      <c r="U42" s="55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58" t="s">
        <v>208</v>
      </c>
      <c r="C43" s="126" t="s">
        <v>187</v>
      </c>
      <c r="D43" s="108">
        <v>5.08</v>
      </c>
      <c r="E43" s="108"/>
      <c r="F43" s="127"/>
      <c r="G43" s="108"/>
      <c r="H43" s="56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61"/>
      <c r="P43" s="561"/>
      <c r="Q43" s="561"/>
      <c r="R43" s="561"/>
      <c r="S43" s="561"/>
      <c r="T43" s="561"/>
      <c r="U43" s="56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558" t="s">
        <v>208</v>
      </c>
      <c r="C44" s="126" t="s">
        <v>207</v>
      </c>
      <c r="D44" s="108">
        <v>5.08</v>
      </c>
      <c r="E44" s="108"/>
      <c r="F44" s="127">
        <v>42749</v>
      </c>
      <c r="G44" s="108">
        <f>108*4</f>
        <v>432</v>
      </c>
      <c r="H44" s="566">
        <f t="shared" si="11"/>
        <v>2194.56</v>
      </c>
      <c r="I44" s="129">
        <v>21</v>
      </c>
      <c r="J44" s="130">
        <f t="array" ref="J44">IF(ISERROR(G44/I44),"",G44/I44)</f>
        <v>20.571428571428573</v>
      </c>
      <c r="K44" s="131">
        <f t="array" ref="K44">IF(ISERROR(G44/L44),"",G44/L44)</f>
        <v>20.571428571428573</v>
      </c>
      <c r="L44" s="129">
        <v>21</v>
      </c>
      <c r="M44" s="109">
        <f t="shared" si="19"/>
        <v>0.42857142857142705</v>
      </c>
      <c r="N44" s="130">
        <f t="shared" si="20"/>
        <v>0</v>
      </c>
      <c r="O44" s="557"/>
      <c r="P44" s="557"/>
      <c r="Q44" s="557"/>
      <c r="R44" s="557"/>
      <c r="S44" s="557"/>
      <c r="T44" s="557"/>
      <c r="U44" s="557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558" t="s">
        <v>209</v>
      </c>
      <c r="C45" s="126" t="s">
        <v>194</v>
      </c>
      <c r="D45" s="108">
        <v>5.03</v>
      </c>
      <c r="E45" s="108"/>
      <c r="F45" s="127">
        <v>42746</v>
      </c>
      <c r="G45" s="582">
        <f>24+108*7-108</f>
        <v>672</v>
      </c>
      <c r="H45" s="566">
        <f t="shared" si="11"/>
        <v>3380.1600000000003</v>
      </c>
      <c r="I45" s="129">
        <v>12</v>
      </c>
      <c r="J45" s="130">
        <f t="array" ref="J45">IF(ISERROR(G45/I45),"",G45/I45)</f>
        <v>56</v>
      </c>
      <c r="K45" s="131">
        <f t="array" ref="K45">IF(ISERROR(G45/L45),"",G45/L45)</f>
        <v>12</v>
      </c>
      <c r="L45" s="129">
        <v>56</v>
      </c>
      <c r="M45" s="109">
        <f t="shared" si="19"/>
        <v>0</v>
      </c>
      <c r="N45" s="130">
        <f t="shared" si="20"/>
        <v>0</v>
      </c>
      <c r="O45" s="561"/>
      <c r="P45" s="561"/>
      <c r="Q45" s="561"/>
      <c r="R45" s="561"/>
      <c r="S45" s="561"/>
      <c r="T45" s="561"/>
      <c r="U45" s="561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58" t="s">
        <v>209</v>
      </c>
      <c r="C46" s="126" t="s">
        <v>179</v>
      </c>
      <c r="D46" s="108">
        <v>5.03</v>
      </c>
      <c r="E46" s="108"/>
      <c r="F46" s="127"/>
      <c r="G46" s="108"/>
      <c r="H46" s="56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61"/>
      <c r="P46" s="561"/>
      <c r="Q46" s="561"/>
      <c r="R46" s="561"/>
      <c r="S46" s="561"/>
      <c r="T46" s="561"/>
      <c r="U46" s="56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58" t="s">
        <v>209</v>
      </c>
      <c r="C47" s="126" t="s">
        <v>195</v>
      </c>
      <c r="D47" s="108">
        <v>5.03</v>
      </c>
      <c r="E47" s="108"/>
      <c r="F47" s="127"/>
      <c r="G47" s="108"/>
      <c r="H47" s="56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61"/>
      <c r="P47" s="561"/>
      <c r="Q47" s="561"/>
      <c r="R47" s="561"/>
      <c r="S47" s="561"/>
      <c r="T47" s="561"/>
      <c r="U47" s="56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58" t="s">
        <v>209</v>
      </c>
      <c r="C48" s="126" t="s">
        <v>204</v>
      </c>
      <c r="D48" s="108">
        <v>5.03</v>
      </c>
      <c r="E48" s="108"/>
      <c r="F48" s="127"/>
      <c r="G48" s="108"/>
      <c r="H48" s="56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61"/>
      <c r="P48" s="561"/>
      <c r="Q48" s="561"/>
      <c r="R48" s="561"/>
      <c r="S48" s="561"/>
      <c r="T48" s="561"/>
      <c r="U48" s="56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58" t="s">
        <v>382</v>
      </c>
      <c r="C49" s="187" t="s">
        <v>383</v>
      </c>
      <c r="D49" s="108">
        <v>5.03</v>
      </c>
      <c r="E49" s="108"/>
      <c r="F49" s="127"/>
      <c r="G49" s="108"/>
      <c r="H49" s="56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61"/>
      <c r="P49" s="561"/>
      <c r="Q49" s="561"/>
      <c r="R49" s="561"/>
      <c r="S49" s="561"/>
      <c r="T49" s="561"/>
      <c r="U49" s="56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58" t="s">
        <v>382</v>
      </c>
      <c r="C50" s="187" t="s">
        <v>384</v>
      </c>
      <c r="D50" s="108">
        <v>5.03</v>
      </c>
      <c r="E50" s="108"/>
      <c r="F50" s="127"/>
      <c r="G50" s="108"/>
      <c r="H50" s="56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61"/>
      <c r="P50" s="561"/>
      <c r="Q50" s="561"/>
      <c r="R50" s="561"/>
      <c r="S50" s="561"/>
      <c r="T50" s="561"/>
      <c r="U50" s="56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58" t="s">
        <v>382</v>
      </c>
      <c r="C51" s="187" t="s">
        <v>389</v>
      </c>
      <c r="D51" s="108">
        <v>5.03</v>
      </c>
      <c r="E51" s="108"/>
      <c r="F51" s="127"/>
      <c r="G51" s="108"/>
      <c r="H51" s="56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61"/>
      <c r="P51" s="561"/>
      <c r="Q51" s="561"/>
      <c r="R51" s="561"/>
      <c r="S51" s="561"/>
      <c r="T51" s="561"/>
      <c r="U51" s="56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58" t="s">
        <v>382</v>
      </c>
      <c r="C52" s="187" t="s">
        <v>391</v>
      </c>
      <c r="D52" s="108">
        <v>5.03</v>
      </c>
      <c r="E52" s="108"/>
      <c r="F52" s="127"/>
      <c r="G52" s="108"/>
      <c r="H52" s="56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61"/>
      <c r="P52" s="561"/>
      <c r="Q52" s="561"/>
      <c r="R52" s="561"/>
      <c r="S52" s="561"/>
      <c r="T52" s="561"/>
      <c r="U52" s="56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58" t="s">
        <v>418</v>
      </c>
      <c r="C53" s="187" t="s">
        <v>364</v>
      </c>
      <c r="D53" s="108">
        <v>5.03</v>
      </c>
      <c r="E53" s="108"/>
      <c r="F53" s="127"/>
      <c r="G53" s="108"/>
      <c r="H53" s="56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61"/>
      <c r="P53" s="561"/>
      <c r="Q53" s="561"/>
      <c r="R53" s="561"/>
      <c r="S53" s="561"/>
      <c r="T53" s="561"/>
      <c r="U53" s="56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58" t="s">
        <v>418</v>
      </c>
      <c r="C54" s="187" t="s">
        <v>365</v>
      </c>
      <c r="D54" s="108">
        <v>5.03</v>
      </c>
      <c r="E54" s="108"/>
      <c r="F54" s="127"/>
      <c r="G54" s="108"/>
      <c r="H54" s="56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61"/>
      <c r="P54" s="561"/>
      <c r="Q54" s="561"/>
      <c r="R54" s="561"/>
      <c r="S54" s="561"/>
      <c r="T54" s="561"/>
      <c r="U54" s="56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58" t="s">
        <v>418</v>
      </c>
      <c r="C55" s="187" t="s">
        <v>366</v>
      </c>
      <c r="D55" s="108">
        <v>5.03</v>
      </c>
      <c r="E55" s="108"/>
      <c r="F55" s="127"/>
      <c r="G55" s="108"/>
      <c r="H55" s="56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61"/>
      <c r="P55" s="561"/>
      <c r="Q55" s="561"/>
      <c r="R55" s="561"/>
      <c r="S55" s="561"/>
      <c r="T55" s="561"/>
      <c r="U55" s="56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58" t="s">
        <v>418</v>
      </c>
      <c r="C56" s="187" t="s">
        <v>367</v>
      </c>
      <c r="D56" s="108">
        <v>5.03</v>
      </c>
      <c r="E56" s="108"/>
      <c r="F56" s="127"/>
      <c r="G56" s="108"/>
      <c r="H56" s="56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61"/>
      <c r="P56" s="561"/>
      <c r="Q56" s="561"/>
      <c r="R56" s="561"/>
      <c r="S56" s="561"/>
      <c r="T56" s="561"/>
      <c r="U56" s="56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08"/>
      <c r="H57" s="56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57"/>
      <c r="P57" s="557"/>
      <c r="Q57" s="557"/>
      <c r="R57" s="557"/>
      <c r="S57" s="557"/>
      <c r="T57" s="557"/>
      <c r="U57" s="55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08"/>
      <c r="H58" s="56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57"/>
      <c r="P58" s="557"/>
      <c r="Q58" s="557"/>
      <c r="R58" s="557"/>
      <c r="S58" s="557"/>
      <c r="T58" s="557"/>
      <c r="U58" s="55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08"/>
      <c r="H59" s="56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57"/>
      <c r="P59" s="557"/>
      <c r="Q59" s="557"/>
      <c r="R59" s="557"/>
      <c r="S59" s="557"/>
      <c r="T59" s="557"/>
      <c r="U59" s="55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08"/>
      <c r="H60" s="56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57"/>
      <c r="P60" s="557"/>
      <c r="Q60" s="557"/>
      <c r="R60" s="557"/>
      <c r="S60" s="557"/>
      <c r="T60" s="557"/>
      <c r="U60" s="55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08"/>
      <c r="H61" s="56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57"/>
      <c r="P61" s="557"/>
      <c r="Q61" s="557"/>
      <c r="R61" s="557"/>
      <c r="S61" s="557"/>
      <c r="T61" s="557"/>
      <c r="U61" s="55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08"/>
      <c r="H62" s="56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57"/>
      <c r="P62" s="557"/>
      <c r="Q62" s="557"/>
      <c r="R62" s="557"/>
      <c r="S62" s="557"/>
      <c r="T62" s="557"/>
      <c r="U62" s="55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08"/>
      <c r="H63" s="56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57"/>
      <c r="P63" s="557"/>
      <c r="Q63" s="557"/>
      <c r="R63" s="557"/>
      <c r="S63" s="557"/>
      <c r="T63" s="557"/>
      <c r="U63" s="55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42747</v>
      </c>
      <c r="G64" s="108">
        <f>90*2+90*3+40</f>
        <v>490</v>
      </c>
      <c r="H64" s="566">
        <f t="shared" si="11"/>
        <v>2464.7000000000003</v>
      </c>
      <c r="I64" s="129">
        <v>10</v>
      </c>
      <c r="J64" s="130">
        <f t="array" ref="J64">IF(ISERROR(G64/I64),"",G64/I64)</f>
        <v>49</v>
      </c>
      <c r="K64" s="131">
        <f t="array" ref="K64">IF(ISERROR(G64/L64),"",G64/L64)</f>
        <v>9.8000000000000007</v>
      </c>
      <c r="L64" s="129">
        <v>50</v>
      </c>
      <c r="M64" s="109">
        <f t="shared" si="19"/>
        <v>0.19999999999999929</v>
      </c>
      <c r="N64" s="130">
        <f t="shared" si="23"/>
        <v>0</v>
      </c>
      <c r="O64" s="557"/>
      <c r="P64" s="557"/>
      <c r="Q64" s="557"/>
      <c r="R64" s="557"/>
      <c r="S64" s="557"/>
      <c r="T64" s="557"/>
      <c r="U64" s="557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>
        <v>42747</v>
      </c>
      <c r="G65" s="108">
        <f>70+90*3</f>
        <v>340</v>
      </c>
      <c r="H65" s="566">
        <f t="shared" si="11"/>
        <v>1710.2</v>
      </c>
      <c r="I65" s="129">
        <v>7</v>
      </c>
      <c r="J65" s="130">
        <f t="array" ref="J65">IF(ISERROR(G65/I65),"",G65/I65)</f>
        <v>48.571428571428569</v>
      </c>
      <c r="K65" s="131">
        <f t="array" ref="K65">IF(ISERROR(G65/L65),"",G65/L65)</f>
        <v>6.8</v>
      </c>
      <c r="L65" s="129">
        <v>50</v>
      </c>
      <c r="M65" s="109">
        <f t="shared" si="19"/>
        <v>0.20000000000000018</v>
      </c>
      <c r="N65" s="130">
        <f t="shared" si="23"/>
        <v>0</v>
      </c>
      <c r="O65" s="557"/>
      <c r="P65" s="557"/>
      <c r="Q65" s="557"/>
      <c r="R65" s="557"/>
      <c r="S65" s="557"/>
      <c r="T65" s="557"/>
      <c r="U65" s="557"/>
      <c r="V65" s="132">
        <f t="shared" si="24"/>
        <v>0</v>
      </c>
      <c r="W65" s="133">
        <f t="shared" si="25"/>
        <v>0</v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08"/>
      <c r="H66" s="56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57"/>
      <c r="P66" s="557"/>
      <c r="Q66" s="557"/>
      <c r="R66" s="557"/>
      <c r="S66" s="557"/>
      <c r="T66" s="557"/>
      <c r="U66" s="55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08"/>
      <c r="H67" s="56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57"/>
      <c r="P67" s="557"/>
      <c r="Q67" s="557"/>
      <c r="R67" s="557"/>
      <c r="S67" s="557"/>
      <c r="T67" s="557"/>
      <c r="U67" s="55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08"/>
      <c r="H68" s="56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57"/>
      <c r="P68" s="557"/>
      <c r="Q68" s="557"/>
      <c r="R68" s="557"/>
      <c r="S68" s="557"/>
      <c r="T68" s="557"/>
      <c r="U68" s="55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08"/>
      <c r="H69" s="56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57"/>
      <c r="P69" s="557"/>
      <c r="Q69" s="557"/>
      <c r="R69" s="557"/>
      <c r="S69" s="557"/>
      <c r="T69" s="557"/>
      <c r="U69" s="55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08"/>
      <c r="H70" s="56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57"/>
      <c r="P70" s="557"/>
      <c r="Q70" s="557"/>
      <c r="R70" s="557"/>
      <c r="S70" s="557"/>
      <c r="T70" s="557"/>
      <c r="U70" s="55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08"/>
      <c r="H71" s="566">
        <f t="shared" si="11"/>
        <v>0</v>
      </c>
      <c r="I71" s="129"/>
      <c r="J71" s="130"/>
      <c r="K71" s="131"/>
      <c r="L71" s="129"/>
      <c r="M71" s="109"/>
      <c r="N71" s="130"/>
      <c r="O71" s="557"/>
      <c r="P71" s="557"/>
      <c r="Q71" s="557"/>
      <c r="R71" s="557"/>
      <c r="S71" s="557"/>
      <c r="T71" s="557"/>
      <c r="U71" s="55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08"/>
      <c r="H72" s="56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57"/>
      <c r="P72" s="557"/>
      <c r="Q72" s="557"/>
      <c r="R72" s="557"/>
      <c r="S72" s="557"/>
      <c r="T72" s="557"/>
      <c r="U72" s="55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08"/>
      <c r="H73" s="56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57"/>
      <c r="P73" s="557"/>
      <c r="Q73" s="557"/>
      <c r="R73" s="557"/>
      <c r="S73" s="557"/>
      <c r="T73" s="557"/>
      <c r="U73" s="55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08"/>
      <c r="H74" s="56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57"/>
      <c r="P74" s="557"/>
      <c r="Q74" s="557"/>
      <c r="R74" s="557"/>
      <c r="S74" s="557"/>
      <c r="T74" s="557"/>
      <c r="U74" s="55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08"/>
      <c r="H75" s="56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57"/>
      <c r="P75" s="557"/>
      <c r="Q75" s="557"/>
      <c r="R75" s="557"/>
      <c r="S75" s="557"/>
      <c r="T75" s="557"/>
      <c r="U75" s="55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08"/>
      <c r="H76" s="56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57"/>
      <c r="P76" s="557"/>
      <c r="Q76" s="557"/>
      <c r="R76" s="557"/>
      <c r="S76" s="557"/>
      <c r="T76" s="557"/>
      <c r="U76" s="55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08"/>
      <c r="H77" s="56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57"/>
      <c r="P77" s="557"/>
      <c r="Q77" s="557"/>
      <c r="R77" s="557"/>
      <c r="S77" s="557"/>
      <c r="T77" s="557"/>
      <c r="U77" s="55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08"/>
      <c r="H78" s="56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57"/>
      <c r="P78" s="557"/>
      <c r="Q78" s="557"/>
      <c r="R78" s="557"/>
      <c r="S78" s="557"/>
      <c r="T78" s="557"/>
      <c r="U78" s="55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08"/>
      <c r="H79" s="56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57"/>
      <c r="P79" s="557"/>
      <c r="Q79" s="557"/>
      <c r="R79" s="557"/>
      <c r="S79" s="557"/>
      <c r="T79" s="557"/>
      <c r="U79" s="55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08"/>
      <c r="H80" s="56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57"/>
      <c r="P80" s="557"/>
      <c r="Q80" s="557"/>
      <c r="R80" s="557"/>
      <c r="S80" s="557"/>
      <c r="T80" s="557"/>
      <c r="U80" s="55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08"/>
      <c r="H81" s="56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57"/>
      <c r="P81" s="557"/>
      <c r="Q81" s="557"/>
      <c r="R81" s="557"/>
      <c r="S81" s="557"/>
      <c r="T81" s="557"/>
      <c r="U81" s="55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08"/>
      <c r="H82" s="56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57"/>
      <c r="P82" s="557"/>
      <c r="Q82" s="557"/>
      <c r="R82" s="557"/>
      <c r="S82" s="557"/>
      <c r="T82" s="557"/>
      <c r="U82" s="55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08"/>
      <c r="H83" s="56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57"/>
      <c r="P83" s="557"/>
      <c r="Q83" s="557"/>
      <c r="R83" s="557"/>
      <c r="S83" s="557"/>
      <c r="T83" s="557"/>
      <c r="U83" s="55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08"/>
      <c r="H84" s="56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57"/>
      <c r="P84" s="557"/>
      <c r="Q84" s="557"/>
      <c r="R84" s="557"/>
      <c r="S84" s="557"/>
      <c r="T84" s="557"/>
      <c r="U84" s="55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08"/>
      <c r="H85" s="56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57"/>
      <c r="P85" s="557"/>
      <c r="Q85" s="557"/>
      <c r="R85" s="557"/>
      <c r="S85" s="557"/>
      <c r="T85" s="557"/>
      <c r="U85" s="557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64" t="s">
        <v>202</v>
      </c>
      <c r="D86" s="143"/>
      <c r="E86" s="143"/>
      <c r="F86" s="144"/>
      <c r="G86" s="143">
        <f>SUM(G29:G85)</f>
        <v>2271</v>
      </c>
      <c r="H86" s="146">
        <f>SUM(H29:H85)</f>
        <v>11461.580000000002</v>
      </c>
      <c r="I86" s="146">
        <f>SUM(I29:I85)</f>
        <v>66</v>
      </c>
      <c r="J86" s="130">
        <f t="array" ref="J86">IF(ISERROR(G86/I86),"",G86/I86)</f>
        <v>34.409090909090907</v>
      </c>
      <c r="K86" s="146">
        <f>SUM(K29:K85)</f>
        <v>65.219047619047615</v>
      </c>
      <c r="L86" s="147"/>
      <c r="M86" s="150">
        <f t="shared" ref="M86:V86" si="34">SUM(M29:M85)</f>
        <v>0.78095238095237907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58" t="s">
        <v>217</v>
      </c>
      <c r="C87" s="126" t="s">
        <v>179</v>
      </c>
      <c r="D87" s="108">
        <v>5.03</v>
      </c>
      <c r="E87" s="108"/>
      <c r="F87" s="127"/>
      <c r="G87" s="108"/>
      <c r="H87" s="56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57"/>
      <c r="P87" s="557"/>
      <c r="Q87" s="557"/>
      <c r="R87" s="557"/>
      <c r="S87" s="557"/>
      <c r="T87" s="557"/>
      <c r="U87" s="55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58" t="s">
        <v>217</v>
      </c>
      <c r="C88" s="126" t="s">
        <v>186</v>
      </c>
      <c r="D88" s="108">
        <v>5.03</v>
      </c>
      <c r="E88" s="108"/>
      <c r="F88" s="127"/>
      <c r="G88" s="108"/>
      <c r="H88" s="56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57"/>
      <c r="P88" s="557"/>
      <c r="Q88" s="557"/>
      <c r="R88" s="557"/>
      <c r="S88" s="557"/>
      <c r="T88" s="557"/>
      <c r="U88" s="55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58" t="s">
        <v>217</v>
      </c>
      <c r="C89" s="126" t="s">
        <v>204</v>
      </c>
      <c r="D89" s="108">
        <v>5.03</v>
      </c>
      <c r="E89" s="108"/>
      <c r="F89" s="127"/>
      <c r="G89" s="108"/>
      <c r="H89" s="56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57"/>
      <c r="P89" s="557"/>
      <c r="Q89" s="557"/>
      <c r="R89" s="557"/>
      <c r="S89" s="557"/>
      <c r="T89" s="557"/>
      <c r="U89" s="55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08"/>
      <c r="H90" s="56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57"/>
      <c r="P90" s="557"/>
      <c r="Q90" s="557"/>
      <c r="R90" s="557"/>
      <c r="S90" s="557"/>
      <c r="T90" s="557"/>
      <c r="U90" s="55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08"/>
      <c r="H91" s="56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57"/>
      <c r="P91" s="557"/>
      <c r="Q91" s="557"/>
      <c r="R91" s="557"/>
      <c r="S91" s="557"/>
      <c r="T91" s="557"/>
      <c r="U91" s="557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08"/>
      <c r="H92" s="56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57"/>
      <c r="P92" s="557"/>
      <c r="Q92" s="557"/>
      <c r="R92" s="557"/>
      <c r="S92" s="557"/>
      <c r="T92" s="557"/>
      <c r="U92" s="55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08"/>
      <c r="H93" s="56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57"/>
      <c r="P93" s="557"/>
      <c r="Q93" s="557"/>
      <c r="R93" s="557"/>
      <c r="S93" s="557"/>
      <c r="T93" s="557"/>
      <c r="U93" s="55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08"/>
      <c r="H94" s="56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57"/>
      <c r="P94" s="557"/>
      <c r="Q94" s="557"/>
      <c r="R94" s="557"/>
      <c r="S94" s="557"/>
      <c r="T94" s="557"/>
      <c r="U94" s="55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08"/>
      <c r="H95" s="56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57"/>
      <c r="P95" s="557"/>
      <c r="Q95" s="557"/>
      <c r="R95" s="557"/>
      <c r="S95" s="557"/>
      <c r="T95" s="557"/>
      <c r="U95" s="55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08"/>
      <c r="H96" s="56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57"/>
      <c r="P96" s="557"/>
      <c r="Q96" s="557"/>
      <c r="R96" s="557"/>
      <c r="S96" s="557"/>
      <c r="T96" s="557"/>
      <c r="U96" s="55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08"/>
      <c r="H97" s="56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57"/>
      <c r="P97" s="557"/>
      <c r="Q97" s="557"/>
      <c r="R97" s="557"/>
      <c r="S97" s="557"/>
      <c r="T97" s="557"/>
      <c r="U97" s="55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08"/>
      <c r="H98" s="56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57"/>
      <c r="P98" s="557"/>
      <c r="Q98" s="557"/>
      <c r="R98" s="557"/>
      <c r="S98" s="557"/>
      <c r="T98" s="557"/>
      <c r="U98" s="55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08"/>
      <c r="H99" s="56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57"/>
      <c r="P99" s="557"/>
      <c r="Q99" s="557"/>
      <c r="R99" s="557"/>
      <c r="S99" s="557"/>
      <c r="T99" s="557"/>
      <c r="U99" s="55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08"/>
      <c r="H100" s="56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57"/>
      <c r="P100" s="557"/>
      <c r="Q100" s="557"/>
      <c r="R100" s="557"/>
      <c r="S100" s="557"/>
      <c r="T100" s="557"/>
      <c r="U100" s="55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08"/>
      <c r="H101" s="56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57"/>
      <c r="P101" s="557"/>
      <c r="Q101" s="557"/>
      <c r="R101" s="557"/>
      <c r="S101" s="557"/>
      <c r="T101" s="557"/>
      <c r="U101" s="55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08"/>
      <c r="H102" s="56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57"/>
      <c r="P102" s="557"/>
      <c r="Q102" s="557"/>
      <c r="R102" s="557"/>
      <c r="S102" s="557"/>
      <c r="T102" s="557"/>
      <c r="U102" s="55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58" t="s">
        <v>222</v>
      </c>
      <c r="C103" s="126" t="s">
        <v>181</v>
      </c>
      <c r="D103" s="108">
        <v>10.199999999999999</v>
      </c>
      <c r="E103" s="108"/>
      <c r="F103" s="127"/>
      <c r="G103" s="108"/>
      <c r="H103" s="56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57"/>
      <c r="P103" s="557"/>
      <c r="Q103" s="557"/>
      <c r="R103" s="557"/>
      <c r="S103" s="557"/>
      <c r="T103" s="557"/>
      <c r="U103" s="55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58" t="s">
        <v>222</v>
      </c>
      <c r="C104" s="126" t="s">
        <v>179</v>
      </c>
      <c r="D104" s="108">
        <v>10.199999999999999</v>
      </c>
      <c r="E104" s="108"/>
      <c r="F104" s="127"/>
      <c r="G104" s="108"/>
      <c r="H104" s="56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57"/>
      <c r="P104" s="557"/>
      <c r="Q104" s="557"/>
      <c r="R104" s="557"/>
      <c r="S104" s="557"/>
      <c r="T104" s="557"/>
      <c r="U104" s="55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58" t="s">
        <v>222</v>
      </c>
      <c r="C105" s="126" t="s">
        <v>221</v>
      </c>
      <c r="D105" s="108">
        <v>10.199999999999999</v>
      </c>
      <c r="E105" s="108"/>
      <c r="F105" s="127"/>
      <c r="G105" s="108"/>
      <c r="H105" s="56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57"/>
      <c r="P105" s="557"/>
      <c r="Q105" s="557"/>
      <c r="R105" s="557"/>
      <c r="S105" s="557"/>
      <c r="T105" s="557"/>
      <c r="U105" s="55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58" t="s">
        <v>222</v>
      </c>
      <c r="C106" s="126" t="s">
        <v>186</v>
      </c>
      <c r="D106" s="108">
        <v>10.199999999999999</v>
      </c>
      <c r="E106" s="108"/>
      <c r="F106" s="127"/>
      <c r="G106" s="108"/>
      <c r="H106" s="56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57"/>
      <c r="P106" s="557"/>
      <c r="Q106" s="557"/>
      <c r="R106" s="557"/>
      <c r="S106" s="557"/>
      <c r="T106" s="557"/>
      <c r="U106" s="55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58" t="s">
        <v>393</v>
      </c>
      <c r="C107" s="187" t="s">
        <v>395</v>
      </c>
      <c r="D107" s="108">
        <v>5</v>
      </c>
      <c r="E107" s="108"/>
      <c r="F107" s="127">
        <v>42747</v>
      </c>
      <c r="G107" s="108">
        <f>90*2+100+90*2+62</f>
        <v>522</v>
      </c>
      <c r="H107" s="566">
        <f t="shared" si="36"/>
        <v>2610</v>
      </c>
      <c r="I107" s="129">
        <v>100</v>
      </c>
      <c r="J107" s="130"/>
      <c r="K107" s="131">
        <f t="array" ref="K107">IF(ISERROR(G107/L107),"",G107/L107)</f>
        <v>104.4</v>
      </c>
      <c r="L107" s="129">
        <v>5</v>
      </c>
      <c r="M107" s="109">
        <f t="shared" si="37"/>
        <v>-4.4000000000000057</v>
      </c>
      <c r="N107" s="130">
        <f t="shared" si="40"/>
        <v>0</v>
      </c>
      <c r="O107" s="557"/>
      <c r="P107" s="557"/>
      <c r="Q107" s="557"/>
      <c r="R107" s="557"/>
      <c r="S107" s="557"/>
      <c r="T107" s="557"/>
      <c r="U107" s="55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58" t="s">
        <v>393</v>
      </c>
      <c r="C108" s="187" t="s">
        <v>402</v>
      </c>
      <c r="D108" s="108">
        <v>5</v>
      </c>
      <c r="E108" s="108"/>
      <c r="F108" s="127"/>
      <c r="G108" s="108"/>
      <c r="H108" s="56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57"/>
      <c r="P108" s="557"/>
      <c r="Q108" s="557"/>
      <c r="R108" s="557"/>
      <c r="S108" s="557"/>
      <c r="T108" s="557"/>
      <c r="U108" s="55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58" t="s">
        <v>404</v>
      </c>
      <c r="C109" s="187" t="s">
        <v>405</v>
      </c>
      <c r="D109" s="108">
        <v>5</v>
      </c>
      <c r="E109" s="108"/>
      <c r="F109" s="127"/>
      <c r="G109" s="108"/>
      <c r="H109" s="56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57"/>
      <c r="P109" s="557"/>
      <c r="Q109" s="557"/>
      <c r="R109" s="557"/>
      <c r="S109" s="557"/>
      <c r="T109" s="557"/>
      <c r="U109" s="55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58" t="s">
        <v>492</v>
      </c>
      <c r="C110" s="187" t="s">
        <v>372</v>
      </c>
      <c r="D110" s="108">
        <v>5</v>
      </c>
      <c r="E110" s="108"/>
      <c r="F110" s="127"/>
      <c r="G110" s="108"/>
      <c r="H110" s="56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57"/>
      <c r="P110" s="557"/>
      <c r="Q110" s="557"/>
      <c r="R110" s="557"/>
      <c r="S110" s="557"/>
      <c r="T110" s="557"/>
      <c r="U110" s="55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58" t="s">
        <v>343</v>
      </c>
      <c r="C111" s="126" t="s">
        <v>345</v>
      </c>
      <c r="D111" s="108">
        <v>5</v>
      </c>
      <c r="E111" s="108"/>
      <c r="F111" s="127"/>
      <c r="G111" s="108"/>
      <c r="H111" s="56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57"/>
      <c r="P111" s="557"/>
      <c r="Q111" s="557"/>
      <c r="R111" s="557"/>
      <c r="S111" s="557"/>
      <c r="T111" s="557"/>
      <c r="U111" s="55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58" t="s">
        <v>343</v>
      </c>
      <c r="C112" s="126" t="s">
        <v>347</v>
      </c>
      <c r="D112" s="108">
        <v>5</v>
      </c>
      <c r="E112" s="108"/>
      <c r="F112" s="127"/>
      <c r="G112" s="108"/>
      <c r="H112" s="56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57"/>
      <c r="P112" s="557"/>
      <c r="Q112" s="557"/>
      <c r="R112" s="557"/>
      <c r="S112" s="557"/>
      <c r="T112" s="557"/>
      <c r="U112" s="557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08"/>
      <c r="H113" s="56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57"/>
      <c r="P113" s="557"/>
      <c r="Q113" s="557"/>
      <c r="R113" s="557"/>
      <c r="S113" s="557"/>
      <c r="T113" s="557"/>
      <c r="U113" s="557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08"/>
      <c r="H114" s="56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57"/>
      <c r="P114" s="557"/>
      <c r="Q114" s="557"/>
      <c r="R114" s="557"/>
      <c r="S114" s="557"/>
      <c r="T114" s="557"/>
      <c r="U114" s="557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08"/>
      <c r="H115" s="56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57"/>
      <c r="P115" s="557"/>
      <c r="Q115" s="557"/>
      <c r="R115" s="557"/>
      <c r="S115" s="557"/>
      <c r="T115" s="557"/>
      <c r="U115" s="557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08"/>
      <c r="H116" s="56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57"/>
      <c r="P116" s="557"/>
      <c r="Q116" s="557"/>
      <c r="R116" s="557"/>
      <c r="S116" s="557"/>
      <c r="T116" s="557"/>
      <c r="U116" s="557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08"/>
      <c r="H117" s="56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57"/>
      <c r="P117" s="557"/>
      <c r="Q117" s="557"/>
      <c r="R117" s="557"/>
      <c r="S117" s="557"/>
      <c r="T117" s="557"/>
      <c r="U117" s="557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08">
        <v>67</v>
      </c>
      <c r="H118" s="566">
        <f t="shared" si="36"/>
        <v>339.69</v>
      </c>
      <c r="I118" s="129">
        <v>7</v>
      </c>
      <c r="J118" s="130">
        <f t="array" ref="J118">IF(ISERROR(G118/I118),"",G118/I118)</f>
        <v>9.5714285714285712</v>
      </c>
      <c r="K118" s="131">
        <f t="array" ref="K118">IF(ISERROR(G118/L118),"",G118/L118)</f>
        <v>7.4444444444444446</v>
      </c>
      <c r="L118" s="129">
        <v>9</v>
      </c>
      <c r="M118" s="109">
        <f t="shared" ref="M118:M120" si="46">IF(ISERROR(I118-K118),"",I118-K118)</f>
        <v>-0.44444444444444464</v>
      </c>
      <c r="N118" s="130">
        <f t="shared" ref="N118:N120" si="47">SUM(O118:U118)</f>
        <v>0</v>
      </c>
      <c r="O118" s="557"/>
      <c r="P118" s="557"/>
      <c r="Q118" s="557"/>
      <c r="R118" s="557"/>
      <c r="S118" s="557"/>
      <c r="T118" s="557"/>
      <c r="U118" s="557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08"/>
      <c r="H119" s="56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57"/>
      <c r="P119" s="557"/>
      <c r="Q119" s="557"/>
      <c r="R119" s="557"/>
      <c r="S119" s="557"/>
      <c r="T119" s="557"/>
      <c r="U119" s="55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08">
        <f>100+77</f>
        <v>177</v>
      </c>
      <c r="H120" s="566">
        <f t="shared" si="36"/>
        <v>895.61999999999989</v>
      </c>
      <c r="I120" s="129">
        <v>19</v>
      </c>
      <c r="J120" s="130">
        <f t="array" ref="J120">IF(ISERROR(G120/I120),"",G120/I120)</f>
        <v>9.3157894736842106</v>
      </c>
      <c r="K120" s="566">
        <f t="array" ref="K120">IF(ISERROR(G120/L120),"",G120/L120)</f>
        <v>19.666666666666668</v>
      </c>
      <c r="L120" s="129">
        <v>9</v>
      </c>
      <c r="M120" s="109">
        <f t="shared" si="46"/>
        <v>-0.66666666666666785</v>
      </c>
      <c r="N120" s="130">
        <f t="shared" si="47"/>
        <v>0</v>
      </c>
      <c r="O120" s="557"/>
      <c r="P120" s="557"/>
      <c r="Q120" s="557"/>
      <c r="R120" s="557"/>
      <c r="S120" s="557"/>
      <c r="T120" s="557"/>
      <c r="U120" s="557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564" t="s">
        <v>202</v>
      </c>
      <c r="D121" s="143"/>
      <c r="E121" s="143"/>
      <c r="F121" s="144"/>
      <c r="G121" s="143">
        <f>SUM(G87:G120)</f>
        <v>766</v>
      </c>
      <c r="H121" s="146">
        <f>SUM(H87:H120)</f>
        <v>3845.31</v>
      </c>
      <c r="I121" s="146">
        <f>SUM(I87:I120)</f>
        <v>126</v>
      </c>
      <c r="J121" s="130">
        <f t="array" ref="J121">IF(ISERROR(G121/I121),"",G121/I121)</f>
        <v>6.0793650793650791</v>
      </c>
      <c r="K121" s="146">
        <f>SUM(K87:K120)</f>
        <v>131.51111111111112</v>
      </c>
      <c r="L121" s="147"/>
      <c r="M121" s="150">
        <f t="shared" ref="M121:V121" si="50">SUM(M87:M120)</f>
        <v>-5.5111111111111182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08"/>
      <c r="H122" s="56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57"/>
      <c r="P122" s="557"/>
      <c r="Q122" s="557"/>
      <c r="R122" s="557"/>
      <c r="S122" s="557"/>
      <c r="T122" s="557"/>
      <c r="U122" s="55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08"/>
      <c r="H123" s="566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57"/>
      <c r="P123" s="557"/>
      <c r="Q123" s="557"/>
      <c r="R123" s="557"/>
      <c r="S123" s="557"/>
      <c r="T123" s="557"/>
      <c r="U123" s="55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08"/>
      <c r="H124" s="56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57"/>
      <c r="P124" s="557"/>
      <c r="Q124" s="557"/>
      <c r="R124" s="557"/>
      <c r="S124" s="557"/>
      <c r="T124" s="557"/>
      <c r="U124" s="55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08"/>
      <c r="H125" s="56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57"/>
      <c r="P125" s="557"/>
      <c r="Q125" s="557"/>
      <c r="R125" s="557"/>
      <c r="S125" s="557"/>
      <c r="T125" s="557"/>
      <c r="U125" s="55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62" t="s">
        <v>203</v>
      </c>
      <c r="D126" s="108">
        <v>5.03</v>
      </c>
      <c r="E126" s="108"/>
      <c r="F126" s="127"/>
      <c r="G126" s="108"/>
      <c r="H126" s="56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57"/>
      <c r="P126" s="557"/>
      <c r="Q126" s="557"/>
      <c r="R126" s="557"/>
      <c r="S126" s="557"/>
      <c r="T126" s="557"/>
      <c r="U126" s="55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08"/>
      <c r="H127" s="56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57"/>
      <c r="P127" s="557"/>
      <c r="Q127" s="557"/>
      <c r="R127" s="557"/>
      <c r="S127" s="557"/>
      <c r="T127" s="557"/>
      <c r="U127" s="55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08"/>
      <c r="H128" s="56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57"/>
      <c r="P128" s="557"/>
      <c r="Q128" s="557"/>
      <c r="R128" s="557"/>
      <c r="S128" s="557"/>
      <c r="T128" s="557"/>
      <c r="U128" s="55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62" t="s">
        <v>228</v>
      </c>
      <c r="D129" s="108">
        <v>5.03</v>
      </c>
      <c r="E129" s="108"/>
      <c r="F129" s="127"/>
      <c r="G129" s="108"/>
      <c r="H129" s="56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57"/>
      <c r="P129" s="557"/>
      <c r="Q129" s="557"/>
      <c r="R129" s="557"/>
      <c r="S129" s="557"/>
      <c r="T129" s="557"/>
      <c r="U129" s="55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62" t="s">
        <v>212</v>
      </c>
      <c r="D130" s="108">
        <v>5.03</v>
      </c>
      <c r="E130" s="108"/>
      <c r="F130" s="127"/>
      <c r="G130" s="108"/>
      <c r="H130" s="56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57"/>
      <c r="P130" s="557"/>
      <c r="Q130" s="557"/>
      <c r="R130" s="557"/>
      <c r="S130" s="557"/>
      <c r="T130" s="557"/>
      <c r="U130" s="55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62" t="s">
        <v>203</v>
      </c>
      <c r="D131" s="108">
        <v>5.03</v>
      </c>
      <c r="E131" s="108"/>
      <c r="F131" s="127"/>
      <c r="G131" s="108"/>
      <c r="H131" s="56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57"/>
      <c r="P131" s="557"/>
      <c r="Q131" s="557"/>
      <c r="R131" s="557"/>
      <c r="S131" s="557"/>
      <c r="T131" s="557"/>
      <c r="U131" s="55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62" t="s">
        <v>186</v>
      </c>
      <c r="D132" s="108">
        <v>5.03</v>
      </c>
      <c r="E132" s="108"/>
      <c r="F132" s="127"/>
      <c r="G132" s="108"/>
      <c r="H132" s="56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57"/>
      <c r="P132" s="557"/>
      <c r="Q132" s="557"/>
      <c r="R132" s="557"/>
      <c r="S132" s="557"/>
      <c r="T132" s="557"/>
      <c r="U132" s="55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62" t="s">
        <v>228</v>
      </c>
      <c r="D133" s="108">
        <v>5.03</v>
      </c>
      <c r="E133" s="108"/>
      <c r="F133" s="127"/>
      <c r="G133" s="108"/>
      <c r="H133" s="56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57"/>
      <c r="P133" s="557"/>
      <c r="Q133" s="557"/>
      <c r="R133" s="557"/>
      <c r="S133" s="557"/>
      <c r="T133" s="557"/>
      <c r="U133" s="55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62" t="s">
        <v>199</v>
      </c>
      <c r="D134" s="108">
        <v>5.03</v>
      </c>
      <c r="E134" s="108"/>
      <c r="F134" s="127"/>
      <c r="G134" s="108"/>
      <c r="H134" s="56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57"/>
      <c r="P134" s="557"/>
      <c r="Q134" s="557"/>
      <c r="R134" s="557"/>
      <c r="S134" s="557"/>
      <c r="T134" s="557"/>
      <c r="U134" s="55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08"/>
      <c r="H135" s="56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557"/>
      <c r="P135" s="557"/>
      <c r="Q135" s="557"/>
      <c r="R135" s="557"/>
      <c r="S135" s="557"/>
      <c r="T135" s="557"/>
      <c r="U135" s="557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42748</v>
      </c>
      <c r="G136" s="108">
        <f>90*10</f>
        <v>900</v>
      </c>
      <c r="H136" s="566">
        <f t="shared" si="51"/>
        <v>4554</v>
      </c>
      <c r="I136" s="129">
        <v>39</v>
      </c>
      <c r="J136" s="130">
        <f t="array" ref="J136">IF(ISERROR(G136/I136),"",G136/I136)</f>
        <v>23.076923076923077</v>
      </c>
      <c r="K136" s="131">
        <f t="array" ref="K136">IF(ISERROR(G136/L136),"",G136/L136)</f>
        <v>39.130434782608695</v>
      </c>
      <c r="L136" s="129">
        <v>23</v>
      </c>
      <c r="M136" s="109">
        <f t="shared" si="52"/>
        <v>-0.13043478260869534</v>
      </c>
      <c r="N136" s="130">
        <f t="shared" si="53"/>
        <v>0</v>
      </c>
      <c r="O136" s="557"/>
      <c r="P136" s="557"/>
      <c r="Q136" s="557"/>
      <c r="R136" s="557"/>
      <c r="S136" s="557"/>
      <c r="T136" s="557"/>
      <c r="U136" s="557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564" t="s">
        <v>202</v>
      </c>
      <c r="D137" s="143"/>
      <c r="E137" s="143"/>
      <c r="F137" s="144"/>
      <c r="G137" s="143">
        <f>SUM(G122:G136)</f>
        <v>900</v>
      </c>
      <c r="H137" s="146">
        <f>SUM(H122:H136)</f>
        <v>4554</v>
      </c>
      <c r="I137" s="146">
        <f>SUM(I122:I136)</f>
        <v>39</v>
      </c>
      <c r="J137" s="130">
        <f t="array" ref="J137">IF(ISERROR(G137/I137),"",G137/I137)</f>
        <v>23.076923076923077</v>
      </c>
      <c r="K137" s="146">
        <f>SUM(K122:K136)</f>
        <v>39.130434782608695</v>
      </c>
      <c r="L137" s="147"/>
      <c r="M137" s="150">
        <f>SUM(M122:M136)</f>
        <v>-0.13043478260869534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08"/>
      <c r="H138" s="56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57"/>
      <c r="P138" s="557"/>
      <c r="Q138" s="557"/>
      <c r="R138" s="557"/>
      <c r="S138" s="557"/>
      <c r="T138" s="557"/>
      <c r="U138" s="557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08"/>
      <c r="H139" s="56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57"/>
      <c r="P139" s="557"/>
      <c r="Q139" s="557"/>
      <c r="R139" s="557"/>
      <c r="S139" s="557"/>
      <c r="T139" s="557"/>
      <c r="U139" s="55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08"/>
      <c r="H140" s="56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57"/>
      <c r="P140" s="557"/>
      <c r="Q140" s="557"/>
      <c r="R140" s="557"/>
      <c r="S140" s="557"/>
      <c r="T140" s="557"/>
      <c r="U140" s="55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08"/>
      <c r="H141" s="56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57"/>
      <c r="P141" s="557"/>
      <c r="Q141" s="557"/>
      <c r="R141" s="557"/>
      <c r="S141" s="557"/>
      <c r="T141" s="557"/>
      <c r="U141" s="55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08"/>
      <c r="H142" s="56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57"/>
      <c r="P142" s="557"/>
      <c r="Q142" s="557"/>
      <c r="R142" s="557"/>
      <c r="S142" s="557"/>
      <c r="T142" s="557"/>
      <c r="U142" s="55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08"/>
      <c r="H143" s="566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57"/>
      <c r="P143" s="557"/>
      <c r="Q143" s="557"/>
      <c r="R143" s="557"/>
      <c r="S143" s="557"/>
      <c r="T143" s="557"/>
      <c r="U143" s="557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08"/>
      <c r="H144" s="56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57"/>
      <c r="P144" s="557"/>
      <c r="Q144" s="557"/>
      <c r="R144" s="557"/>
      <c r="S144" s="557"/>
      <c r="T144" s="557"/>
      <c r="U144" s="557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08"/>
      <c r="H145" s="56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57"/>
      <c r="P145" s="557"/>
      <c r="Q145" s="557"/>
      <c r="R145" s="557"/>
      <c r="S145" s="557"/>
      <c r="T145" s="557"/>
      <c r="U145" s="55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08"/>
      <c r="H146" s="56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57"/>
      <c r="P146" s="557"/>
      <c r="Q146" s="557"/>
      <c r="R146" s="557"/>
      <c r="S146" s="557"/>
      <c r="T146" s="557"/>
      <c r="U146" s="557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08"/>
      <c r="H147" s="56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57"/>
      <c r="P147" s="557"/>
      <c r="Q147" s="557"/>
      <c r="R147" s="557"/>
      <c r="S147" s="557"/>
      <c r="T147" s="557"/>
      <c r="U147" s="557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18" t="s">
        <v>234</v>
      </c>
      <c r="B148" s="619"/>
      <c r="C148" s="564" t="s">
        <v>202</v>
      </c>
      <c r="D148" s="143"/>
      <c r="E148" s="143"/>
      <c r="F148" s="144"/>
      <c r="G148" s="143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56"/>
      <c r="D149" s="108">
        <v>3.65</v>
      </c>
      <c r="E149" s="108"/>
      <c r="F149" s="153"/>
      <c r="G149" s="108"/>
      <c r="H149" s="566">
        <f t="shared" ref="H149:H162" si="63">D149*G149</f>
        <v>0</v>
      </c>
      <c r="I149" s="129"/>
      <c r="J149" s="130" t="str">
        <f t="array" ref="J149">IF(ISERROR(G149/I149),"",G149/I149)</f>
        <v/>
      </c>
      <c r="K149" s="56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57"/>
      <c r="P149" s="557"/>
      <c r="Q149" s="557"/>
      <c r="R149" s="557"/>
      <c r="S149" s="557"/>
      <c r="T149" s="557"/>
      <c r="U149" s="557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56"/>
      <c r="D150" s="108">
        <v>6.58</v>
      </c>
      <c r="E150" s="108"/>
      <c r="F150" s="127"/>
      <c r="G150" s="108"/>
      <c r="H150" s="56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57"/>
      <c r="P150" s="557"/>
      <c r="Q150" s="557"/>
      <c r="R150" s="557"/>
      <c r="S150" s="557"/>
      <c r="T150" s="557"/>
      <c r="U150" s="557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56"/>
      <c r="D151" s="108">
        <v>7.8</v>
      </c>
      <c r="E151" s="108"/>
      <c r="F151" s="127"/>
      <c r="G151" s="108"/>
      <c r="H151" s="56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57"/>
      <c r="P151" s="557"/>
      <c r="Q151" s="557"/>
      <c r="R151" s="557"/>
      <c r="S151" s="557"/>
      <c r="T151" s="557"/>
      <c r="U151" s="557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56"/>
      <c r="D152" s="108">
        <v>4.4000000000000004</v>
      </c>
      <c r="E152" s="108"/>
      <c r="F152" s="127"/>
      <c r="G152" s="108"/>
      <c r="H152" s="566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57"/>
      <c r="P152" s="557"/>
      <c r="Q152" s="557"/>
      <c r="R152" s="557"/>
      <c r="S152" s="557"/>
      <c r="T152" s="557"/>
      <c r="U152" s="557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08"/>
      <c r="H153" s="56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57"/>
      <c r="P153" s="557"/>
      <c r="Q153" s="557"/>
      <c r="R153" s="557"/>
      <c r="S153" s="557"/>
      <c r="T153" s="557"/>
      <c r="U153" s="557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56" t="s">
        <v>239</v>
      </c>
      <c r="C154" s="556" t="s">
        <v>179</v>
      </c>
      <c r="D154" s="108">
        <v>6.04</v>
      </c>
      <c r="E154" s="108"/>
      <c r="F154" s="127"/>
      <c r="G154" s="108"/>
      <c r="H154" s="56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557"/>
      <c r="P154" s="557"/>
      <c r="Q154" s="557"/>
      <c r="R154" s="557"/>
      <c r="S154" s="557"/>
      <c r="T154" s="557"/>
      <c r="U154" s="557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56" t="s">
        <v>239</v>
      </c>
      <c r="C155" s="556" t="s">
        <v>186</v>
      </c>
      <c r="D155" s="108">
        <v>6.04</v>
      </c>
      <c r="E155" s="108"/>
      <c r="F155" s="127"/>
      <c r="G155" s="108"/>
      <c r="H155" s="56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57"/>
      <c r="P155" s="557"/>
      <c r="Q155" s="557"/>
      <c r="R155" s="557"/>
      <c r="S155" s="557"/>
      <c r="T155" s="557"/>
      <c r="U155" s="557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56" t="s">
        <v>443</v>
      </c>
      <c r="C156" s="556" t="s">
        <v>179</v>
      </c>
      <c r="D156" s="108">
        <v>6</v>
      </c>
      <c r="E156" s="108"/>
      <c r="F156" s="127"/>
      <c r="G156" s="108"/>
      <c r="H156" s="566">
        <f t="shared" si="63"/>
        <v>0</v>
      </c>
      <c r="I156" s="129"/>
      <c r="J156" s="130"/>
      <c r="K156" s="131"/>
      <c r="L156" s="129"/>
      <c r="M156" s="109"/>
      <c r="N156" s="130"/>
      <c r="O156" s="557"/>
      <c r="P156" s="557"/>
      <c r="Q156" s="557"/>
      <c r="R156" s="557"/>
      <c r="S156" s="557"/>
      <c r="T156" s="557"/>
      <c r="U156" s="557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556" t="s">
        <v>443</v>
      </c>
      <c r="C157" s="556" t="s">
        <v>60</v>
      </c>
      <c r="D157" s="108">
        <v>6</v>
      </c>
      <c r="E157" s="108"/>
      <c r="F157" s="127">
        <v>42746</v>
      </c>
      <c r="G157" s="108">
        <v>42</v>
      </c>
      <c r="H157" s="566">
        <f t="shared" si="63"/>
        <v>252</v>
      </c>
      <c r="I157" s="129">
        <v>10</v>
      </c>
      <c r="J157" s="130"/>
      <c r="K157" s="131">
        <f t="array" ref="K157">IF(ISERROR(G157/L157),"",G157/L157)</f>
        <v>7</v>
      </c>
      <c r="L157" s="129">
        <v>6</v>
      </c>
      <c r="M157" s="109"/>
      <c r="N157" s="130"/>
      <c r="O157" s="557"/>
      <c r="P157" s="557"/>
      <c r="Q157" s="557"/>
      <c r="R157" s="557"/>
      <c r="S157" s="557"/>
      <c r="T157" s="557"/>
      <c r="U157" s="557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58" t="s">
        <v>240</v>
      </c>
      <c r="C158" s="126"/>
      <c r="D158" s="108">
        <v>7.3</v>
      </c>
      <c r="E158" s="108"/>
      <c r="F158" s="127"/>
      <c r="G158" s="108"/>
      <c r="H158" s="56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557"/>
      <c r="P158" s="557"/>
      <c r="Q158" s="557"/>
      <c r="R158" s="557"/>
      <c r="S158" s="557"/>
      <c r="T158" s="557"/>
      <c r="U158" s="557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58" t="s">
        <v>241</v>
      </c>
      <c r="C159" s="126"/>
      <c r="D159" s="108">
        <f>78*120/1000</f>
        <v>9.36</v>
      </c>
      <c r="E159" s="108"/>
      <c r="F159" s="127"/>
      <c r="G159" s="108"/>
      <c r="H159" s="56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557"/>
      <c r="P159" s="557"/>
      <c r="Q159" s="557"/>
      <c r="R159" s="557"/>
      <c r="S159" s="557"/>
      <c r="T159" s="557"/>
      <c r="U159" s="557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58" t="s">
        <v>242</v>
      </c>
      <c r="C160" s="126"/>
      <c r="D160" s="108">
        <v>4.5</v>
      </c>
      <c r="E160" s="108"/>
      <c r="F160" s="127"/>
      <c r="G160" s="108"/>
      <c r="H160" s="566">
        <f t="shared" si="63"/>
        <v>0</v>
      </c>
      <c r="I160" s="129"/>
      <c r="J160" s="130"/>
      <c r="K160" s="131"/>
      <c r="L160" s="129"/>
      <c r="M160" s="109"/>
      <c r="N160" s="130"/>
      <c r="O160" s="557"/>
      <c r="P160" s="557"/>
      <c r="Q160" s="557"/>
      <c r="R160" s="557"/>
      <c r="S160" s="557"/>
      <c r="T160" s="557"/>
      <c r="U160" s="55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58" t="s">
        <v>243</v>
      </c>
      <c r="C161" s="126"/>
      <c r="D161" s="108">
        <v>4.5</v>
      </c>
      <c r="E161" s="108"/>
      <c r="F161" s="127"/>
      <c r="G161" s="108"/>
      <c r="H161" s="566">
        <f t="shared" si="63"/>
        <v>0</v>
      </c>
      <c r="I161" s="129"/>
      <c r="J161" s="130"/>
      <c r="K161" s="131"/>
      <c r="L161" s="129"/>
      <c r="M161" s="109"/>
      <c r="N161" s="130"/>
      <c r="O161" s="557"/>
      <c r="P161" s="557"/>
      <c r="Q161" s="557"/>
      <c r="R161" s="557"/>
      <c r="S161" s="557"/>
      <c r="T161" s="557"/>
      <c r="U161" s="557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08"/>
      <c r="H162" s="566">
        <f t="shared" si="63"/>
        <v>0</v>
      </c>
      <c r="I162" s="129"/>
      <c r="J162" s="130"/>
      <c r="K162" s="131"/>
      <c r="L162" s="129"/>
      <c r="M162" s="109"/>
      <c r="N162" s="130"/>
      <c r="O162" s="557"/>
      <c r="P162" s="557"/>
      <c r="Q162" s="557"/>
      <c r="R162" s="557"/>
      <c r="S162" s="557"/>
      <c r="T162" s="557"/>
      <c r="U162" s="557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564" t="s">
        <v>202</v>
      </c>
      <c r="D163" s="143"/>
      <c r="E163" s="143"/>
      <c r="F163" s="144"/>
      <c r="G163" s="143">
        <f>SUM(G149:G161)</f>
        <v>42</v>
      </c>
      <c r="H163" s="146">
        <f>SUM(H149:H159)</f>
        <v>252</v>
      </c>
      <c r="I163" s="146">
        <f>SUM(I149:I161)</f>
        <v>10</v>
      </c>
      <c r="J163" s="130">
        <f t="array" ref="J163">IF(ISERROR(G163/I163),"",G163/I163)</f>
        <v>4.2</v>
      </c>
      <c r="K163" s="146">
        <f>SUM(K149:K159)</f>
        <v>7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553">
        <f>SUM(G28,G86,G121,G137,G148,G163)</f>
        <v>6225</v>
      </c>
      <c r="H164" s="154">
        <f>SUM(H28,H86,H121,H137,H148,H163)</f>
        <v>31492.710000000003</v>
      </c>
      <c r="I164" s="154">
        <f>SUM(I28,I86,I121,I137,I148,I163)</f>
        <v>374</v>
      </c>
      <c r="J164" s="155">
        <f t="array" ref="J164">IF(ISERROR(G164/I164),"",G164/I164)</f>
        <v>16.644385026737968</v>
      </c>
      <c r="K164" s="154">
        <f>SUM(K28,K86,K121,K137,K148,K163)</f>
        <v>378.49465148378192</v>
      </c>
      <c r="L164" s="155">
        <f>IF(ISERROR(G164/K164),"",G164/K164)</f>
        <v>16.446731745340752</v>
      </c>
      <c r="M164" s="154">
        <f t="shared" ref="M164:AA164" si="76">SUM(M28,M86,M121,M137,M148,M163)</f>
        <v>-7.4946514837819302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563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563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563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563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563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563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563">
        <f>G164</f>
        <v>6225</v>
      </c>
      <c r="C171" s="638" t="s">
        <v>269</v>
      </c>
      <c r="D171" s="639"/>
      <c r="E171" s="631">
        <f>H164</f>
        <v>31492.710000000003</v>
      </c>
      <c r="F171" s="631"/>
      <c r="G171" s="631" t="s">
        <v>270</v>
      </c>
      <c r="H171" s="631"/>
      <c r="I171" s="640">
        <f>L164</f>
        <v>16.446731745340752</v>
      </c>
      <c r="J171" s="640"/>
      <c r="K171" s="628" t="s">
        <v>271</v>
      </c>
      <c r="L171" s="628"/>
      <c r="M171" s="640">
        <f>J164</f>
        <v>16.644385026737968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563">
        <f>I164+C170</f>
        <v>378</v>
      </c>
      <c r="C172" s="641" t="s">
        <v>251</v>
      </c>
      <c r="D172" s="642"/>
      <c r="E172" s="643">
        <f>K164+I170</f>
        <v>419.49465148378192</v>
      </c>
      <c r="F172" s="643"/>
      <c r="G172" s="631" t="s">
        <v>274</v>
      </c>
      <c r="H172" s="631"/>
      <c r="I172" s="640">
        <f>B172-E172</f>
        <v>-41.494651483781922</v>
      </c>
      <c r="J172" s="640"/>
      <c r="K172" s="628" t="s">
        <v>275</v>
      </c>
      <c r="L172" s="628"/>
      <c r="M172" s="632">
        <f>IF(ISERROR(I172/E172),"",I172/E172)</f>
        <v>-9.8915805808280119E-2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563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2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568" t="s">
        <v>550</v>
      </c>
      <c r="H177" s="556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customHeight="1">
      <c r="A178" s="299">
        <v>30100030</v>
      </c>
      <c r="B178" s="558" t="s">
        <v>178</v>
      </c>
      <c r="C178" s="126" t="s">
        <v>179</v>
      </c>
      <c r="D178" s="108">
        <v>5.03</v>
      </c>
      <c r="E178" s="108"/>
      <c r="F178" s="127">
        <v>42748</v>
      </c>
      <c r="G178" s="108">
        <f>108*5+48+84</f>
        <v>672</v>
      </c>
      <c r="H178" s="566">
        <f t="shared" ref="H178:H187" si="77">D178*G178</f>
        <v>3380.1600000000003</v>
      </c>
      <c r="I178" s="129">
        <v>41</v>
      </c>
      <c r="J178" s="130">
        <f t="array" ref="J178">IF(ISERROR(G178/I178),"",G178/I178)</f>
        <v>16.390243902439025</v>
      </c>
      <c r="K178" s="131">
        <f t="array" ref="K178">IF(ISERROR(G178/L178),"",G178/L178)</f>
        <v>42</v>
      </c>
      <c r="L178" s="129">
        <v>16</v>
      </c>
      <c r="M178" s="109">
        <f t="shared" ref="M178:M187" si="78">IF(ISERROR(I178-K178),"",I178-K178)</f>
        <v>-1</v>
      </c>
      <c r="N178" s="130">
        <f>SUM(O178:U178)</f>
        <v>0</v>
      </c>
      <c r="O178" s="557"/>
      <c r="P178" s="557"/>
      <c r="Q178" s="557"/>
      <c r="R178" s="557"/>
      <c r="S178" s="557"/>
      <c r="T178" s="557"/>
      <c r="U178" s="557"/>
      <c r="V178" s="132">
        <f t="shared" ref="V178:V183" si="79">SUM(X178:AA178)</f>
        <v>0</v>
      </c>
      <c r="W178" s="133">
        <f t="shared" ref="W178:W183" si="80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08"/>
      <c r="H179" s="56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557"/>
      <c r="P179" s="557"/>
      <c r="Q179" s="557"/>
      <c r="R179" s="557"/>
      <c r="S179" s="557"/>
      <c r="T179" s="557"/>
      <c r="U179" s="55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08"/>
      <c r="H180" s="56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557"/>
      <c r="P180" s="557"/>
      <c r="Q180" s="557"/>
      <c r="R180" s="557"/>
      <c r="S180" s="557"/>
      <c r="T180" s="557"/>
      <c r="U180" s="55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08"/>
      <c r="H181" s="56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557"/>
      <c r="P181" s="557"/>
      <c r="Q181" s="557"/>
      <c r="R181" s="557"/>
      <c r="S181" s="557"/>
      <c r="T181" s="557"/>
      <c r="U181" s="557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08"/>
      <c r="H182" s="56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557"/>
      <c r="P182" s="557"/>
      <c r="Q182" s="557"/>
      <c r="R182" s="557"/>
      <c r="S182" s="557"/>
      <c r="T182" s="557"/>
      <c r="U182" s="557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552"/>
      <c r="H183" s="56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557"/>
      <c r="P183" s="557"/>
      <c r="Q183" s="557"/>
      <c r="R183" s="557"/>
      <c r="S183" s="557"/>
      <c r="T183" s="557"/>
      <c r="U183" s="557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08"/>
      <c r="H184" s="56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557"/>
      <c r="P184" s="557"/>
      <c r="Q184" s="557"/>
      <c r="R184" s="557"/>
      <c r="S184" s="557"/>
      <c r="T184" s="557"/>
      <c r="U184" s="55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08"/>
      <c r="H185" s="56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557"/>
      <c r="P185" s="557"/>
      <c r="Q185" s="557"/>
      <c r="R185" s="557"/>
      <c r="S185" s="557"/>
      <c r="T185" s="557"/>
      <c r="U185" s="557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08"/>
      <c r="H186" s="566">
        <f t="shared" si="77"/>
        <v>0</v>
      </c>
      <c r="I186" s="56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557"/>
      <c r="P186" s="557"/>
      <c r="Q186" s="557"/>
      <c r="R186" s="557"/>
      <c r="S186" s="557"/>
      <c r="T186" s="557"/>
      <c r="U186" s="55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08"/>
      <c r="H187" s="566">
        <f t="shared" si="77"/>
        <v>0</v>
      </c>
      <c r="I187" s="56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557"/>
      <c r="P187" s="557"/>
      <c r="Q187" s="557"/>
      <c r="R187" s="557"/>
      <c r="S187" s="557"/>
      <c r="T187" s="557"/>
      <c r="U187" s="557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08"/>
      <c r="H188" s="56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57"/>
      <c r="P188" s="557"/>
      <c r="Q188" s="557"/>
      <c r="R188" s="557"/>
      <c r="S188" s="557"/>
      <c r="T188" s="557"/>
      <c r="U188" s="55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08"/>
      <c r="H189" s="56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57"/>
      <c r="P189" s="557"/>
      <c r="Q189" s="557"/>
      <c r="R189" s="557"/>
      <c r="S189" s="557"/>
      <c r="T189" s="557"/>
      <c r="U189" s="557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42747</v>
      </c>
      <c r="G190" s="108">
        <f>90*6+50+90*2</f>
        <v>770</v>
      </c>
      <c r="H190" s="566">
        <f t="shared" ref="H190:H198" si="82">D190*G190</f>
        <v>3896.2</v>
      </c>
      <c r="I190" s="129">
        <v>40</v>
      </c>
      <c r="J190" s="130">
        <f t="array" ref="J190">IF(ISERROR(G190/I190),"",G190/I190)</f>
        <v>19.25</v>
      </c>
      <c r="K190" s="131">
        <f t="array" ref="K190">IF(ISERROR(G190/L190),"",G190/L190)</f>
        <v>40.526315789473685</v>
      </c>
      <c r="L190" s="129">
        <v>19</v>
      </c>
      <c r="M190" s="109">
        <f t="shared" ref="M190:M198" si="83">IF(ISERROR(I190-K190),"",I190-K190)</f>
        <v>-0.52631578947368496</v>
      </c>
      <c r="N190" s="130">
        <f t="shared" ref="N190:N192" si="84">SUM(O190:U190)</f>
        <v>0</v>
      </c>
      <c r="O190" s="557"/>
      <c r="P190" s="557"/>
      <c r="Q190" s="557"/>
      <c r="R190" s="557"/>
      <c r="S190" s="557"/>
      <c r="T190" s="557"/>
      <c r="U190" s="557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42749</v>
      </c>
      <c r="G191" s="108">
        <v>100</v>
      </c>
      <c r="H191" s="566">
        <f t="shared" si="82"/>
        <v>509</v>
      </c>
      <c r="I191" s="129">
        <v>4</v>
      </c>
      <c r="J191" s="130">
        <f t="array" ref="J191">IF(ISERROR(G191/I191),"",G191/I191)</f>
        <v>25</v>
      </c>
      <c r="K191" s="131">
        <f t="array" ref="K191">IF(ISERROR(G191/L191),"",G191/L191)</f>
        <v>4.3478260869565215</v>
      </c>
      <c r="L191" s="129">
        <v>23</v>
      </c>
      <c r="M191" s="109">
        <f t="shared" si="83"/>
        <v>-0.34782608695652151</v>
      </c>
      <c r="N191" s="130">
        <f t="shared" si="84"/>
        <v>0</v>
      </c>
      <c r="O191" s="557"/>
      <c r="P191" s="557"/>
      <c r="Q191" s="557"/>
      <c r="R191" s="557"/>
      <c r="S191" s="557"/>
      <c r="T191" s="557"/>
      <c r="U191" s="557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42745</v>
      </c>
      <c r="G192" s="108">
        <f>100*8+71+6</f>
        <v>877</v>
      </c>
      <c r="H192" s="566">
        <f t="shared" si="82"/>
        <v>4463.93</v>
      </c>
      <c r="I192" s="129">
        <v>34</v>
      </c>
      <c r="J192" s="130">
        <f t="array" ref="J192">IF(ISERROR(G192/I192),"",G192/I192)</f>
        <v>25.794117647058822</v>
      </c>
      <c r="K192" s="131">
        <f t="array" ref="K192">IF(ISERROR(G192/L192),"",G192/L192)</f>
        <v>38.130434782608695</v>
      </c>
      <c r="L192" s="129">
        <v>23</v>
      </c>
      <c r="M192" s="109">
        <f t="shared" si="83"/>
        <v>-4.1304347826086953</v>
      </c>
      <c r="N192" s="130">
        <f t="shared" si="84"/>
        <v>0</v>
      </c>
      <c r="O192" s="557"/>
      <c r="P192" s="557"/>
      <c r="Q192" s="557"/>
      <c r="R192" s="557"/>
      <c r="S192" s="557"/>
      <c r="T192" s="557"/>
      <c r="U192" s="557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56" t="s">
        <v>190</v>
      </c>
      <c r="D193" s="108">
        <v>4.8</v>
      </c>
      <c r="E193" s="108"/>
      <c r="F193" s="127"/>
      <c r="G193" s="108"/>
      <c r="H193" s="56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557"/>
      <c r="P193" s="557"/>
      <c r="Q193" s="557"/>
      <c r="R193" s="557"/>
      <c r="S193" s="557"/>
      <c r="T193" s="557"/>
      <c r="U193" s="55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56" t="s">
        <v>187</v>
      </c>
      <c r="D194" s="108">
        <v>4.8</v>
      </c>
      <c r="E194" s="108"/>
      <c r="F194" s="127"/>
      <c r="G194" s="108"/>
      <c r="H194" s="56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557"/>
      <c r="P194" s="557"/>
      <c r="Q194" s="557"/>
      <c r="R194" s="557"/>
      <c r="S194" s="557"/>
      <c r="T194" s="557"/>
      <c r="U194" s="55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56" t="s">
        <v>179</v>
      </c>
      <c r="D195" s="108">
        <v>4.8</v>
      </c>
      <c r="E195" s="108"/>
      <c r="F195" s="127"/>
      <c r="G195" s="108"/>
      <c r="H195" s="56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557"/>
      <c r="P195" s="557"/>
      <c r="Q195" s="557"/>
      <c r="R195" s="557"/>
      <c r="S195" s="557"/>
      <c r="T195" s="557"/>
      <c r="U195" s="55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56" t="s">
        <v>199</v>
      </c>
      <c r="D196" s="108">
        <v>4.8</v>
      </c>
      <c r="E196" s="108"/>
      <c r="F196" s="127"/>
      <c r="G196" s="108"/>
      <c r="H196" s="56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557"/>
      <c r="P196" s="557"/>
      <c r="Q196" s="557"/>
      <c r="R196" s="557"/>
      <c r="S196" s="557"/>
      <c r="T196" s="557"/>
      <c r="U196" s="557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08"/>
      <c r="H197" s="56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557"/>
      <c r="P197" s="557"/>
      <c r="Q197" s="557"/>
      <c r="R197" s="557"/>
      <c r="S197" s="557"/>
      <c r="T197" s="557"/>
      <c r="U197" s="557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08"/>
      <c r="H198" s="56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557"/>
      <c r="P198" s="557"/>
      <c r="Q198" s="557"/>
      <c r="R198" s="557"/>
      <c r="S198" s="557"/>
      <c r="T198" s="557"/>
      <c r="U198" s="557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564" t="s">
        <v>202</v>
      </c>
      <c r="D199" s="143"/>
      <c r="E199" s="143"/>
      <c r="F199" s="144"/>
      <c r="G199" s="143">
        <f>SUM(G178:G198)</f>
        <v>2419</v>
      </c>
      <c r="H199" s="146">
        <f>SUM(H178:H198)</f>
        <v>12249.29</v>
      </c>
      <c r="I199" s="146">
        <f>SUM(I178:I198)</f>
        <v>119</v>
      </c>
      <c r="J199" s="130">
        <f t="array" ref="J199">IF(ISERROR(G199/I199),"",G199/I199)</f>
        <v>20.327731092436974</v>
      </c>
      <c r="K199" s="146">
        <f>SUM(K178:K198)</f>
        <v>125.00457665903889</v>
      </c>
      <c r="L199" s="147"/>
      <c r="M199" s="150">
        <f t="shared" ref="M199:AA199" si="90">SUM(M178:M198)</f>
        <v>-6.0045766590389018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558" t="s">
        <v>206</v>
      </c>
      <c r="C200" s="126" t="s">
        <v>199</v>
      </c>
      <c r="D200" s="108">
        <v>5.03</v>
      </c>
      <c r="E200" s="108"/>
      <c r="F200" s="127">
        <v>42749</v>
      </c>
      <c r="G200" s="108">
        <f>108*5</f>
        <v>540</v>
      </c>
      <c r="H200" s="566">
        <f t="shared" ref="H200:H256" si="91">D200*G200</f>
        <v>2716.2000000000003</v>
      </c>
      <c r="I200" s="129">
        <v>10</v>
      </c>
      <c r="J200" s="130">
        <f t="array" ref="J200">IF(ISERROR(G200/I200),"",G200/I200)</f>
        <v>54</v>
      </c>
      <c r="K200" s="131">
        <f t="array" ref="K200">IF(ISERROR(G200/L200),"",G200/L200)</f>
        <v>10.384615384615385</v>
      </c>
      <c r="L200" s="129">
        <v>52</v>
      </c>
      <c r="M200" s="109">
        <f t="shared" ref="M200" si="92">IF(ISERROR(I200-K200),"",I200-K200)</f>
        <v>-0.38461538461538503</v>
      </c>
      <c r="N200" s="130">
        <f t="shared" ref="N200" si="93">SUM(O200:U200)</f>
        <v>0</v>
      </c>
      <c r="O200" s="561"/>
      <c r="P200" s="561"/>
      <c r="Q200" s="561"/>
      <c r="R200" s="561"/>
      <c r="S200" s="561"/>
      <c r="T200" s="561"/>
      <c r="U200" s="561"/>
      <c r="V200" s="132">
        <f t="shared" ref="V200" si="94">SUM(X200:AA200)</f>
        <v>0</v>
      </c>
      <c r="W200" s="133">
        <f t="shared" ref="W200" si="95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58" t="s">
        <v>425</v>
      </c>
      <c r="C201" s="187" t="s">
        <v>427</v>
      </c>
      <c r="D201" s="108">
        <v>5.03</v>
      </c>
      <c r="E201" s="108"/>
      <c r="F201" s="127"/>
      <c r="G201" s="108"/>
      <c r="H201" s="56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561"/>
      <c r="P201" s="561"/>
      <c r="Q201" s="561"/>
      <c r="R201" s="561"/>
      <c r="S201" s="561"/>
      <c r="T201" s="561"/>
      <c r="U201" s="561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58" t="s">
        <v>206</v>
      </c>
      <c r="C202" s="126" t="s">
        <v>186</v>
      </c>
      <c r="D202" s="108">
        <v>5.03</v>
      </c>
      <c r="E202" s="108"/>
      <c r="F202" s="127"/>
      <c r="G202" s="108"/>
      <c r="H202" s="56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561"/>
      <c r="P202" s="561"/>
      <c r="Q202" s="561"/>
      <c r="R202" s="561"/>
      <c r="S202" s="561"/>
      <c r="T202" s="561"/>
      <c r="U202" s="561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58" t="s">
        <v>206</v>
      </c>
      <c r="C203" s="126" t="s">
        <v>203</v>
      </c>
      <c r="D203" s="108">
        <v>5.03</v>
      </c>
      <c r="E203" s="108"/>
      <c r="F203" s="127"/>
      <c r="G203" s="108"/>
      <c r="H203" s="56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561"/>
      <c r="P203" s="561"/>
      <c r="Q203" s="561"/>
      <c r="R203" s="561"/>
      <c r="S203" s="561"/>
      <c r="T203" s="561"/>
      <c r="U203" s="561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58" t="s">
        <v>206</v>
      </c>
      <c r="C204" s="126" t="s">
        <v>207</v>
      </c>
      <c r="D204" s="108">
        <v>5.03</v>
      </c>
      <c r="E204" s="108"/>
      <c r="F204" s="127"/>
      <c r="G204" s="108"/>
      <c r="H204" s="56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561"/>
      <c r="P204" s="561"/>
      <c r="Q204" s="561"/>
      <c r="R204" s="561"/>
      <c r="S204" s="561"/>
      <c r="T204" s="561"/>
      <c r="U204" s="561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58" t="s">
        <v>414</v>
      </c>
      <c r="C205" s="187" t="s">
        <v>415</v>
      </c>
      <c r="D205" s="108">
        <v>5.03</v>
      </c>
      <c r="E205" s="108"/>
      <c r="F205" s="127"/>
      <c r="G205" s="108"/>
      <c r="H205" s="56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61"/>
      <c r="P205" s="561"/>
      <c r="Q205" s="561"/>
      <c r="R205" s="561"/>
      <c r="S205" s="561"/>
      <c r="T205" s="561"/>
      <c r="U205" s="561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58" t="s">
        <v>414</v>
      </c>
      <c r="C206" s="187" t="s">
        <v>416</v>
      </c>
      <c r="D206" s="108">
        <v>5.03</v>
      </c>
      <c r="E206" s="108"/>
      <c r="F206" s="127"/>
      <c r="G206" s="108"/>
      <c r="H206" s="566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561"/>
      <c r="P206" s="561"/>
      <c r="Q206" s="561"/>
      <c r="R206" s="561"/>
      <c r="S206" s="561"/>
      <c r="T206" s="561"/>
      <c r="U206" s="56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58" t="s">
        <v>414</v>
      </c>
      <c r="C207" s="187" t="s">
        <v>61</v>
      </c>
      <c r="D207" s="108">
        <v>5.03</v>
      </c>
      <c r="E207" s="108"/>
      <c r="F207" s="127"/>
      <c r="G207" s="108"/>
      <c r="H207" s="56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561"/>
      <c r="P207" s="561"/>
      <c r="Q207" s="561"/>
      <c r="R207" s="561"/>
      <c r="S207" s="561"/>
      <c r="T207" s="561"/>
      <c r="U207" s="561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58" t="s">
        <v>208</v>
      </c>
      <c r="C208" s="126" t="s">
        <v>179</v>
      </c>
      <c r="D208" s="108">
        <v>5.08</v>
      </c>
      <c r="E208" s="108"/>
      <c r="F208" s="127"/>
      <c r="G208" s="108"/>
      <c r="H208" s="56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561"/>
      <c r="P208" s="561"/>
      <c r="Q208" s="561"/>
      <c r="R208" s="561"/>
      <c r="S208" s="561"/>
      <c r="T208" s="561"/>
      <c r="U208" s="561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58" t="s">
        <v>208</v>
      </c>
      <c r="C209" s="126" t="s">
        <v>204</v>
      </c>
      <c r="D209" s="108">
        <v>5.08</v>
      </c>
      <c r="E209" s="108"/>
      <c r="F209" s="127"/>
      <c r="G209" s="108"/>
      <c r="H209" s="56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561"/>
      <c r="P209" s="561"/>
      <c r="Q209" s="561"/>
      <c r="R209" s="561"/>
      <c r="S209" s="561"/>
      <c r="T209" s="561"/>
      <c r="U209" s="56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58" t="s">
        <v>208</v>
      </c>
      <c r="C210" s="126" t="s">
        <v>205</v>
      </c>
      <c r="D210" s="108">
        <v>5.08</v>
      </c>
      <c r="E210" s="108"/>
      <c r="F210" s="127"/>
      <c r="G210" s="108"/>
      <c r="H210" s="56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561"/>
      <c r="P210" s="561"/>
      <c r="Q210" s="561"/>
      <c r="R210" s="561"/>
      <c r="S210" s="561"/>
      <c r="T210" s="561"/>
      <c r="U210" s="561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58" t="s">
        <v>208</v>
      </c>
      <c r="C211" s="126" t="s">
        <v>186</v>
      </c>
      <c r="D211" s="108">
        <v>5.08</v>
      </c>
      <c r="E211" s="108"/>
      <c r="F211" s="127"/>
      <c r="G211" s="108"/>
      <c r="H211" s="56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561"/>
      <c r="P211" s="561"/>
      <c r="Q211" s="561"/>
      <c r="R211" s="561"/>
      <c r="S211" s="561"/>
      <c r="T211" s="561"/>
      <c r="U211" s="56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558" t="s">
        <v>208</v>
      </c>
      <c r="C212" s="126" t="s">
        <v>203</v>
      </c>
      <c r="D212" s="108">
        <v>5.08</v>
      </c>
      <c r="E212" s="108"/>
      <c r="F212" s="127">
        <v>42749</v>
      </c>
      <c r="G212" s="108">
        <f>108*5+57</f>
        <v>597</v>
      </c>
      <c r="H212" s="566">
        <f t="shared" si="91"/>
        <v>3032.76</v>
      </c>
      <c r="I212" s="129">
        <v>25</v>
      </c>
      <c r="J212" s="130">
        <f t="array" ref="J212">IF(ISERROR(G212/I212),"",G212/I212)</f>
        <v>23.88</v>
      </c>
      <c r="K212" s="131">
        <f t="array" ref="K212">IF(ISERROR(G212/L212),"",G212/L212)</f>
        <v>28.428571428571427</v>
      </c>
      <c r="L212" s="129">
        <v>21</v>
      </c>
      <c r="M212" s="109">
        <f t="shared" si="101"/>
        <v>-3.428571428571427</v>
      </c>
      <c r="N212" s="130">
        <f t="shared" si="102"/>
        <v>0</v>
      </c>
      <c r="O212" s="561"/>
      <c r="P212" s="561"/>
      <c r="Q212" s="561"/>
      <c r="R212" s="561"/>
      <c r="S212" s="561"/>
      <c r="T212" s="561"/>
      <c r="U212" s="561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58" t="s">
        <v>208</v>
      </c>
      <c r="C213" s="126" t="s">
        <v>199</v>
      </c>
      <c r="D213" s="108">
        <v>5.08</v>
      </c>
      <c r="E213" s="108"/>
      <c r="F213" s="127"/>
      <c r="G213" s="108"/>
      <c r="H213" s="56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557"/>
      <c r="P213" s="557"/>
      <c r="Q213" s="557"/>
      <c r="R213" s="557"/>
      <c r="S213" s="557"/>
      <c r="T213" s="557"/>
      <c r="U213" s="55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58" t="s">
        <v>208</v>
      </c>
      <c r="C214" s="126" t="s">
        <v>187</v>
      </c>
      <c r="D214" s="108">
        <v>5.08</v>
      </c>
      <c r="E214" s="108"/>
      <c r="F214" s="127"/>
      <c r="G214" s="108"/>
      <c r="H214" s="56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561"/>
      <c r="P214" s="561"/>
      <c r="Q214" s="561"/>
      <c r="R214" s="561"/>
      <c r="S214" s="561"/>
      <c r="T214" s="561"/>
      <c r="U214" s="56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558" t="s">
        <v>208</v>
      </c>
      <c r="C215" s="126" t="s">
        <v>207</v>
      </c>
      <c r="D215" s="108">
        <v>5.08</v>
      </c>
      <c r="E215" s="108"/>
      <c r="F215" s="127">
        <v>42749</v>
      </c>
      <c r="G215" s="108">
        <f>108+54+108</f>
        <v>270</v>
      </c>
      <c r="H215" s="566">
        <f t="shared" si="91"/>
        <v>1371.6</v>
      </c>
      <c r="I215" s="129">
        <v>11</v>
      </c>
      <c r="J215" s="130">
        <f t="array" ref="J215">IF(ISERROR(G215/I215),"",G215/I215)</f>
        <v>24.545454545454547</v>
      </c>
      <c r="K215" s="131">
        <f t="array" ref="K215">IF(ISERROR(G215/L215),"",G215/L215)</f>
        <v>12.857142857142858</v>
      </c>
      <c r="L215" s="129">
        <v>21</v>
      </c>
      <c r="M215" s="109">
        <f t="shared" si="101"/>
        <v>-1.8571428571428577</v>
      </c>
      <c r="N215" s="130">
        <f t="shared" si="102"/>
        <v>0</v>
      </c>
      <c r="O215" s="557"/>
      <c r="P215" s="557"/>
      <c r="Q215" s="557"/>
      <c r="R215" s="557"/>
      <c r="S215" s="557"/>
      <c r="T215" s="557"/>
      <c r="U215" s="557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58" t="s">
        <v>209</v>
      </c>
      <c r="C216" s="126" t="s">
        <v>194</v>
      </c>
      <c r="D216" s="108">
        <v>5.03</v>
      </c>
      <c r="E216" s="108"/>
      <c r="F216" s="127"/>
      <c r="G216" s="108"/>
      <c r="H216" s="56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561"/>
      <c r="P216" s="561"/>
      <c r="Q216" s="561"/>
      <c r="R216" s="561"/>
      <c r="S216" s="561"/>
      <c r="T216" s="561"/>
      <c r="U216" s="56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58" t="s">
        <v>209</v>
      </c>
      <c r="C217" s="126" t="s">
        <v>179</v>
      </c>
      <c r="D217" s="108">
        <v>5.03</v>
      </c>
      <c r="E217" s="108"/>
      <c r="F217" s="127"/>
      <c r="G217" s="108"/>
      <c r="H217" s="56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561"/>
      <c r="P217" s="561"/>
      <c r="Q217" s="561"/>
      <c r="R217" s="561"/>
      <c r="S217" s="561"/>
      <c r="T217" s="561"/>
      <c r="U217" s="561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58" t="s">
        <v>209</v>
      </c>
      <c r="C218" s="126" t="s">
        <v>195</v>
      </c>
      <c r="D218" s="108">
        <v>5.03</v>
      </c>
      <c r="E218" s="108"/>
      <c r="F218" s="127"/>
      <c r="G218" s="108"/>
      <c r="H218" s="56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561"/>
      <c r="P218" s="561"/>
      <c r="Q218" s="561"/>
      <c r="R218" s="561"/>
      <c r="S218" s="561"/>
      <c r="T218" s="561"/>
      <c r="U218" s="561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58" t="s">
        <v>209</v>
      </c>
      <c r="C219" s="126" t="s">
        <v>204</v>
      </c>
      <c r="D219" s="108">
        <v>5.03</v>
      </c>
      <c r="E219" s="108"/>
      <c r="F219" s="127"/>
      <c r="G219" s="108"/>
      <c r="H219" s="56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561"/>
      <c r="P219" s="561"/>
      <c r="Q219" s="561"/>
      <c r="R219" s="561"/>
      <c r="S219" s="561"/>
      <c r="T219" s="561"/>
      <c r="U219" s="561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58" t="s">
        <v>382</v>
      </c>
      <c r="C220" s="187" t="s">
        <v>383</v>
      </c>
      <c r="D220" s="108">
        <v>5.03</v>
      </c>
      <c r="E220" s="108"/>
      <c r="F220" s="127"/>
      <c r="G220" s="108"/>
      <c r="H220" s="56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561"/>
      <c r="P220" s="561"/>
      <c r="Q220" s="561"/>
      <c r="R220" s="561"/>
      <c r="S220" s="561"/>
      <c r="T220" s="561"/>
      <c r="U220" s="56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558" t="s">
        <v>382</v>
      </c>
      <c r="C221" s="187" t="s">
        <v>384</v>
      </c>
      <c r="D221" s="108">
        <v>5.03</v>
      </c>
      <c r="E221" s="108"/>
      <c r="F221" s="127"/>
      <c r="G221" s="108"/>
      <c r="H221" s="56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561"/>
      <c r="P221" s="561"/>
      <c r="Q221" s="561"/>
      <c r="R221" s="561"/>
      <c r="S221" s="561"/>
      <c r="T221" s="561"/>
      <c r="U221" s="56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58" t="s">
        <v>382</v>
      </c>
      <c r="C222" s="187" t="s">
        <v>389</v>
      </c>
      <c r="D222" s="108">
        <v>5.03</v>
      </c>
      <c r="E222" s="108"/>
      <c r="F222" s="127"/>
      <c r="G222" s="108"/>
      <c r="H222" s="56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561"/>
      <c r="P222" s="561"/>
      <c r="Q222" s="561"/>
      <c r="R222" s="561"/>
      <c r="S222" s="561"/>
      <c r="T222" s="561"/>
      <c r="U222" s="56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58" t="s">
        <v>382</v>
      </c>
      <c r="C223" s="187" t="s">
        <v>391</v>
      </c>
      <c r="D223" s="108">
        <v>5.03</v>
      </c>
      <c r="E223" s="108"/>
      <c r="F223" s="127"/>
      <c r="G223" s="108"/>
      <c r="H223" s="56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561"/>
      <c r="P223" s="561"/>
      <c r="Q223" s="561"/>
      <c r="R223" s="561"/>
      <c r="S223" s="561"/>
      <c r="T223" s="561"/>
      <c r="U223" s="56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58" t="s">
        <v>418</v>
      </c>
      <c r="C224" s="187" t="s">
        <v>364</v>
      </c>
      <c r="D224" s="108">
        <v>5.03</v>
      </c>
      <c r="E224" s="108"/>
      <c r="F224" s="127"/>
      <c r="G224" s="108"/>
      <c r="H224" s="56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561"/>
      <c r="P224" s="561"/>
      <c r="Q224" s="561"/>
      <c r="R224" s="561"/>
      <c r="S224" s="561"/>
      <c r="T224" s="561"/>
      <c r="U224" s="56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58" t="s">
        <v>418</v>
      </c>
      <c r="C225" s="187" t="s">
        <v>365</v>
      </c>
      <c r="D225" s="108">
        <v>5.03</v>
      </c>
      <c r="E225" s="108"/>
      <c r="F225" s="127"/>
      <c r="G225" s="108"/>
      <c r="H225" s="56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561"/>
      <c r="P225" s="561"/>
      <c r="Q225" s="561"/>
      <c r="R225" s="561"/>
      <c r="S225" s="561"/>
      <c r="T225" s="561"/>
      <c r="U225" s="56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58" t="s">
        <v>418</v>
      </c>
      <c r="C226" s="187" t="s">
        <v>366</v>
      </c>
      <c r="D226" s="108">
        <v>5.03</v>
      </c>
      <c r="E226" s="108"/>
      <c r="F226" s="127"/>
      <c r="G226" s="108"/>
      <c r="H226" s="56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561"/>
      <c r="P226" s="561"/>
      <c r="Q226" s="561"/>
      <c r="R226" s="561"/>
      <c r="S226" s="561"/>
      <c r="T226" s="561"/>
      <c r="U226" s="56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58" t="s">
        <v>418</v>
      </c>
      <c r="C227" s="187" t="s">
        <v>367</v>
      </c>
      <c r="D227" s="108">
        <v>5.03</v>
      </c>
      <c r="E227" s="108"/>
      <c r="F227" s="127"/>
      <c r="G227" s="108"/>
      <c r="H227" s="56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561"/>
      <c r="P227" s="561"/>
      <c r="Q227" s="561"/>
      <c r="R227" s="561"/>
      <c r="S227" s="561"/>
      <c r="T227" s="561"/>
      <c r="U227" s="561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08"/>
      <c r="H228" s="56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557"/>
      <c r="P228" s="557"/>
      <c r="Q228" s="557"/>
      <c r="R228" s="557"/>
      <c r="S228" s="557"/>
      <c r="T228" s="557"/>
      <c r="U228" s="557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08"/>
      <c r="H229" s="56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557"/>
      <c r="P229" s="557"/>
      <c r="Q229" s="557"/>
      <c r="R229" s="557"/>
      <c r="S229" s="557"/>
      <c r="T229" s="557"/>
      <c r="U229" s="557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08"/>
      <c r="H230" s="56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557"/>
      <c r="P230" s="557"/>
      <c r="Q230" s="557"/>
      <c r="R230" s="557"/>
      <c r="S230" s="557"/>
      <c r="T230" s="557"/>
      <c r="U230" s="557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08"/>
      <c r="H231" s="56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557"/>
      <c r="P231" s="557"/>
      <c r="Q231" s="557"/>
      <c r="R231" s="557"/>
      <c r="S231" s="557"/>
      <c r="T231" s="557"/>
      <c r="U231" s="557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08"/>
      <c r="H232" s="56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557"/>
      <c r="P232" s="557"/>
      <c r="Q232" s="557"/>
      <c r="R232" s="557"/>
      <c r="S232" s="557"/>
      <c r="T232" s="557"/>
      <c r="U232" s="557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08"/>
      <c r="H233" s="56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557"/>
      <c r="P233" s="557"/>
      <c r="Q233" s="557"/>
      <c r="R233" s="557"/>
      <c r="S233" s="557"/>
      <c r="T233" s="557"/>
      <c r="U233" s="557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08"/>
      <c r="H234" s="56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557"/>
      <c r="P234" s="557"/>
      <c r="Q234" s="557"/>
      <c r="R234" s="557"/>
      <c r="S234" s="557"/>
      <c r="T234" s="557"/>
      <c r="U234" s="557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>
        <v>42747</v>
      </c>
      <c r="G235" s="108">
        <f>90*9+33</f>
        <v>843</v>
      </c>
      <c r="H235" s="566">
        <f t="shared" si="91"/>
        <v>4240.29</v>
      </c>
      <c r="I235" s="129">
        <v>14</v>
      </c>
      <c r="J235" s="130">
        <f t="array" ref="J235">IF(ISERROR(G235/I235),"",G235/I235)</f>
        <v>60.214285714285715</v>
      </c>
      <c r="K235" s="131">
        <f t="array" ref="K235">IF(ISERROR(G235/L235),"",G235/L235)</f>
        <v>16.86</v>
      </c>
      <c r="L235" s="129">
        <v>50</v>
      </c>
      <c r="M235" s="109">
        <f t="shared" si="101"/>
        <v>-2.8599999999999994</v>
      </c>
      <c r="N235" s="130">
        <f t="shared" si="102"/>
        <v>0</v>
      </c>
      <c r="O235" s="557"/>
      <c r="P235" s="557"/>
      <c r="Q235" s="557"/>
      <c r="R235" s="557"/>
      <c r="S235" s="557"/>
      <c r="T235" s="557"/>
      <c r="U235" s="557"/>
      <c r="V235" s="132">
        <f t="shared" si="105"/>
        <v>0</v>
      </c>
      <c r="W235" s="133">
        <f t="shared" si="106"/>
        <v>0</v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08"/>
      <c r="H236" s="56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557"/>
      <c r="P236" s="557"/>
      <c r="Q236" s="557"/>
      <c r="R236" s="557"/>
      <c r="S236" s="557"/>
      <c r="T236" s="557"/>
      <c r="U236" s="557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08"/>
      <c r="H237" s="56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557"/>
      <c r="P237" s="557"/>
      <c r="Q237" s="557"/>
      <c r="R237" s="557"/>
      <c r="S237" s="557"/>
      <c r="T237" s="557"/>
      <c r="U237" s="557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08"/>
      <c r="H238" s="566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557"/>
      <c r="P238" s="557"/>
      <c r="Q238" s="557"/>
      <c r="R238" s="557"/>
      <c r="S238" s="557"/>
      <c r="T238" s="557"/>
      <c r="U238" s="55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08"/>
      <c r="H239" s="56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557"/>
      <c r="P239" s="557"/>
      <c r="Q239" s="557"/>
      <c r="R239" s="557"/>
      <c r="S239" s="557"/>
      <c r="T239" s="557"/>
      <c r="U239" s="557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08"/>
      <c r="H240" s="56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557"/>
      <c r="P240" s="557"/>
      <c r="Q240" s="557"/>
      <c r="R240" s="557"/>
      <c r="S240" s="557"/>
      <c r="T240" s="557"/>
      <c r="U240" s="557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08"/>
      <c r="H241" s="566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557"/>
      <c r="P241" s="557"/>
      <c r="Q241" s="557"/>
      <c r="R241" s="557"/>
      <c r="S241" s="557"/>
      <c r="T241" s="557"/>
      <c r="U241" s="557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08"/>
      <c r="H242" s="56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557"/>
      <c r="P242" s="557"/>
      <c r="Q242" s="557"/>
      <c r="R242" s="557"/>
      <c r="S242" s="557"/>
      <c r="T242" s="557"/>
      <c r="U242" s="557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08"/>
      <c r="H243" s="56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557"/>
      <c r="P243" s="557"/>
      <c r="Q243" s="557"/>
      <c r="R243" s="557"/>
      <c r="S243" s="557"/>
      <c r="T243" s="557"/>
      <c r="U243" s="557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08"/>
      <c r="H244" s="56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557"/>
      <c r="P244" s="557"/>
      <c r="Q244" s="557"/>
      <c r="R244" s="557"/>
      <c r="S244" s="557"/>
      <c r="T244" s="557"/>
      <c r="U244" s="557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08"/>
      <c r="H245" s="56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557"/>
      <c r="P245" s="557"/>
      <c r="Q245" s="557"/>
      <c r="R245" s="557"/>
      <c r="S245" s="557"/>
      <c r="T245" s="557"/>
      <c r="U245" s="557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08"/>
      <c r="H246" s="56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557"/>
      <c r="P246" s="557"/>
      <c r="Q246" s="557"/>
      <c r="R246" s="557"/>
      <c r="S246" s="557"/>
      <c r="T246" s="557"/>
      <c r="U246" s="557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08"/>
      <c r="H247" s="56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557"/>
      <c r="P247" s="557"/>
      <c r="Q247" s="557"/>
      <c r="R247" s="557"/>
      <c r="S247" s="557"/>
      <c r="T247" s="557"/>
      <c r="U247" s="55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08"/>
      <c r="H248" s="56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557"/>
      <c r="P248" s="557"/>
      <c r="Q248" s="557"/>
      <c r="R248" s="557"/>
      <c r="S248" s="557"/>
      <c r="T248" s="557"/>
      <c r="U248" s="55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08"/>
      <c r="H249" s="56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557"/>
      <c r="P249" s="557"/>
      <c r="Q249" s="557"/>
      <c r="R249" s="557"/>
      <c r="S249" s="557"/>
      <c r="T249" s="557"/>
      <c r="U249" s="55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08"/>
      <c r="H250" s="56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557"/>
      <c r="P250" s="557"/>
      <c r="Q250" s="557"/>
      <c r="R250" s="557"/>
      <c r="S250" s="557"/>
      <c r="T250" s="557"/>
      <c r="U250" s="55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08"/>
      <c r="H251" s="56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557"/>
      <c r="P251" s="557"/>
      <c r="Q251" s="557"/>
      <c r="R251" s="557"/>
      <c r="S251" s="557"/>
      <c r="T251" s="557"/>
      <c r="U251" s="55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08"/>
      <c r="H252" s="56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557"/>
      <c r="P252" s="557"/>
      <c r="Q252" s="557"/>
      <c r="R252" s="557"/>
      <c r="S252" s="557"/>
      <c r="T252" s="557"/>
      <c r="U252" s="55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08"/>
      <c r="H253" s="56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557"/>
      <c r="P253" s="557"/>
      <c r="Q253" s="557"/>
      <c r="R253" s="557"/>
      <c r="S253" s="557"/>
      <c r="T253" s="557"/>
      <c r="U253" s="55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08"/>
      <c r="H254" s="56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557"/>
      <c r="P254" s="557"/>
      <c r="Q254" s="557"/>
      <c r="R254" s="557"/>
      <c r="S254" s="557"/>
      <c r="T254" s="557"/>
      <c r="U254" s="55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08"/>
      <c r="H255" s="56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557"/>
      <c r="P255" s="557"/>
      <c r="Q255" s="557"/>
      <c r="R255" s="557"/>
      <c r="S255" s="557"/>
      <c r="T255" s="557"/>
      <c r="U255" s="557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08"/>
      <c r="H256" s="56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557"/>
      <c r="P256" s="557"/>
      <c r="Q256" s="557"/>
      <c r="R256" s="557"/>
      <c r="S256" s="557"/>
      <c r="T256" s="557"/>
      <c r="U256" s="557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64" t="s">
        <v>202</v>
      </c>
      <c r="D257" s="143"/>
      <c r="E257" s="143"/>
      <c r="F257" s="144"/>
      <c r="G257" s="143">
        <f>SUM(G200:G256)</f>
        <v>2250</v>
      </c>
      <c r="H257" s="146">
        <f>SUM(H200:H256)</f>
        <v>11360.850000000002</v>
      </c>
      <c r="I257" s="146">
        <f>SUM(I200:I256)</f>
        <v>60</v>
      </c>
      <c r="J257" s="130">
        <f t="array" ref="J257">IF(ISERROR(G257/I257),"",G257/I257)</f>
        <v>37.5</v>
      </c>
      <c r="K257" s="146">
        <f>SUM(K200:K256)</f>
        <v>68.530329670329664</v>
      </c>
      <c r="L257" s="147"/>
      <c r="M257" s="150">
        <f t="shared" ref="M257:V257" si="114">SUM(M200:M256)</f>
        <v>-8.5303296703296692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58" t="s">
        <v>217</v>
      </c>
      <c r="C258" s="126" t="s">
        <v>179</v>
      </c>
      <c r="D258" s="108">
        <v>5.03</v>
      </c>
      <c r="E258" s="108"/>
      <c r="F258" s="127"/>
      <c r="G258" s="108"/>
      <c r="H258" s="56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557"/>
      <c r="P258" s="557"/>
      <c r="Q258" s="557"/>
      <c r="R258" s="557"/>
      <c r="S258" s="557"/>
      <c r="T258" s="557"/>
      <c r="U258" s="557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58" t="s">
        <v>217</v>
      </c>
      <c r="C259" s="126" t="s">
        <v>186</v>
      </c>
      <c r="D259" s="108">
        <v>5.03</v>
      </c>
      <c r="E259" s="108"/>
      <c r="F259" s="127"/>
      <c r="G259" s="108"/>
      <c r="H259" s="56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557"/>
      <c r="P259" s="557"/>
      <c r="Q259" s="557"/>
      <c r="R259" s="557"/>
      <c r="S259" s="557"/>
      <c r="T259" s="557"/>
      <c r="U259" s="557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58" t="s">
        <v>217</v>
      </c>
      <c r="C260" s="126" t="s">
        <v>204</v>
      </c>
      <c r="D260" s="108">
        <v>5.03</v>
      </c>
      <c r="E260" s="108"/>
      <c r="F260" s="127"/>
      <c r="G260" s="108"/>
      <c r="H260" s="56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557"/>
      <c r="P260" s="557"/>
      <c r="Q260" s="557"/>
      <c r="R260" s="557"/>
      <c r="S260" s="557"/>
      <c r="T260" s="557"/>
      <c r="U260" s="557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08"/>
      <c r="H261" s="56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557"/>
      <c r="P261" s="557"/>
      <c r="Q261" s="557"/>
      <c r="R261" s="557"/>
      <c r="S261" s="557"/>
      <c r="T261" s="557"/>
      <c r="U261" s="557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08"/>
      <c r="H262" s="56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557"/>
      <c r="P262" s="557"/>
      <c r="Q262" s="557"/>
      <c r="R262" s="557"/>
      <c r="S262" s="557"/>
      <c r="T262" s="557"/>
      <c r="U262" s="557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08"/>
      <c r="H263" s="56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557"/>
      <c r="P263" s="557"/>
      <c r="Q263" s="557"/>
      <c r="R263" s="557"/>
      <c r="S263" s="557"/>
      <c r="T263" s="557"/>
      <c r="U263" s="557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08"/>
      <c r="H264" s="56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557"/>
      <c r="P264" s="557"/>
      <c r="Q264" s="557"/>
      <c r="R264" s="557"/>
      <c r="S264" s="557"/>
      <c r="T264" s="557"/>
      <c r="U264" s="557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08"/>
      <c r="H265" s="56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557"/>
      <c r="P265" s="557"/>
      <c r="Q265" s="557"/>
      <c r="R265" s="557"/>
      <c r="S265" s="557"/>
      <c r="T265" s="557"/>
      <c r="U265" s="557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08"/>
      <c r="H266" s="56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57"/>
      <c r="P266" s="557"/>
      <c r="Q266" s="557"/>
      <c r="R266" s="557"/>
      <c r="S266" s="557"/>
      <c r="T266" s="557"/>
      <c r="U266" s="55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08"/>
      <c r="H267" s="56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57"/>
      <c r="P267" s="557"/>
      <c r="Q267" s="557"/>
      <c r="R267" s="557"/>
      <c r="S267" s="557"/>
      <c r="T267" s="557"/>
      <c r="U267" s="55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08"/>
      <c r="H268" s="56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57"/>
      <c r="P268" s="557"/>
      <c r="Q268" s="557"/>
      <c r="R268" s="557"/>
      <c r="S268" s="557"/>
      <c r="T268" s="557"/>
      <c r="U268" s="55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08"/>
      <c r="H269" s="56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57"/>
      <c r="P269" s="557"/>
      <c r="Q269" s="557"/>
      <c r="R269" s="557"/>
      <c r="S269" s="557"/>
      <c r="T269" s="557"/>
      <c r="U269" s="557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08"/>
      <c r="H270" s="56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557"/>
      <c r="P270" s="557"/>
      <c r="Q270" s="557"/>
      <c r="R270" s="557"/>
      <c r="S270" s="557"/>
      <c r="T270" s="557"/>
      <c r="U270" s="557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08"/>
      <c r="H271" s="56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557"/>
      <c r="P271" s="557"/>
      <c r="Q271" s="557"/>
      <c r="R271" s="557"/>
      <c r="S271" s="557"/>
      <c r="T271" s="557"/>
      <c r="U271" s="557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08"/>
      <c r="H272" s="56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557"/>
      <c r="P272" s="557"/>
      <c r="Q272" s="557"/>
      <c r="R272" s="557"/>
      <c r="S272" s="557"/>
      <c r="T272" s="557"/>
      <c r="U272" s="557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08"/>
      <c r="H273" s="56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557"/>
      <c r="P273" s="557"/>
      <c r="Q273" s="557"/>
      <c r="R273" s="557"/>
      <c r="S273" s="557"/>
      <c r="T273" s="557"/>
      <c r="U273" s="557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58" t="s">
        <v>222</v>
      </c>
      <c r="C274" s="126" t="s">
        <v>181</v>
      </c>
      <c r="D274" s="108">
        <v>9.36</v>
      </c>
      <c r="E274" s="108"/>
      <c r="F274" s="127"/>
      <c r="G274" s="108"/>
      <c r="H274" s="56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557"/>
      <c r="P274" s="557"/>
      <c r="Q274" s="557"/>
      <c r="R274" s="557"/>
      <c r="S274" s="557"/>
      <c r="T274" s="557"/>
      <c r="U274" s="557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58" t="s">
        <v>222</v>
      </c>
      <c r="C275" s="126" t="s">
        <v>179</v>
      </c>
      <c r="D275" s="108">
        <v>9.36</v>
      </c>
      <c r="E275" s="108"/>
      <c r="F275" s="127"/>
      <c r="G275" s="108"/>
      <c r="H275" s="56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557"/>
      <c r="P275" s="557"/>
      <c r="Q275" s="557"/>
      <c r="R275" s="557"/>
      <c r="S275" s="557"/>
      <c r="T275" s="557"/>
      <c r="U275" s="557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58" t="s">
        <v>222</v>
      </c>
      <c r="C276" s="126" t="s">
        <v>221</v>
      </c>
      <c r="D276" s="108">
        <v>9.36</v>
      </c>
      <c r="E276" s="108"/>
      <c r="F276" s="127"/>
      <c r="G276" s="108"/>
      <c r="H276" s="56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557"/>
      <c r="P276" s="557"/>
      <c r="Q276" s="557"/>
      <c r="R276" s="557"/>
      <c r="S276" s="557"/>
      <c r="T276" s="557"/>
      <c r="U276" s="557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58" t="s">
        <v>222</v>
      </c>
      <c r="C277" s="126" t="s">
        <v>186</v>
      </c>
      <c r="D277" s="108">
        <v>9.36</v>
      </c>
      <c r="E277" s="108"/>
      <c r="F277" s="127"/>
      <c r="G277" s="108"/>
      <c r="H277" s="56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557"/>
      <c r="P277" s="557"/>
      <c r="Q277" s="557"/>
      <c r="R277" s="557"/>
      <c r="S277" s="557"/>
      <c r="T277" s="557"/>
      <c r="U277" s="557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558" t="s">
        <v>393</v>
      </c>
      <c r="C278" s="187" t="s">
        <v>395</v>
      </c>
      <c r="D278" s="108">
        <v>5</v>
      </c>
      <c r="E278" s="108"/>
      <c r="F278" s="127"/>
      <c r="G278" s="108"/>
      <c r="H278" s="56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557"/>
      <c r="P278" s="557"/>
      <c r="Q278" s="557"/>
      <c r="R278" s="557"/>
      <c r="S278" s="557"/>
      <c r="T278" s="557"/>
      <c r="U278" s="55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58" t="s">
        <v>393</v>
      </c>
      <c r="C279" s="187" t="s">
        <v>402</v>
      </c>
      <c r="D279" s="108">
        <v>5</v>
      </c>
      <c r="E279" s="108"/>
      <c r="F279" s="127"/>
      <c r="G279" s="108"/>
      <c r="H279" s="56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557"/>
      <c r="P279" s="557"/>
      <c r="Q279" s="557"/>
      <c r="R279" s="557"/>
      <c r="S279" s="557"/>
      <c r="T279" s="557"/>
      <c r="U279" s="55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58" t="s">
        <v>404</v>
      </c>
      <c r="C280" s="187" t="s">
        <v>405</v>
      </c>
      <c r="D280" s="108">
        <v>5</v>
      </c>
      <c r="E280" s="108"/>
      <c r="F280" s="127"/>
      <c r="G280" s="108"/>
      <c r="H280" s="56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557"/>
      <c r="P280" s="557"/>
      <c r="Q280" s="557"/>
      <c r="R280" s="557"/>
      <c r="S280" s="557"/>
      <c r="T280" s="557"/>
      <c r="U280" s="557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58" t="s">
        <v>342</v>
      </c>
      <c r="C281" s="187" t="s">
        <v>372</v>
      </c>
      <c r="D281" s="108">
        <v>5</v>
      </c>
      <c r="E281" s="108"/>
      <c r="F281" s="127"/>
      <c r="G281" s="108"/>
      <c r="H281" s="56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557"/>
      <c r="P281" s="557"/>
      <c r="Q281" s="557"/>
      <c r="R281" s="557"/>
      <c r="S281" s="557"/>
      <c r="T281" s="557"/>
      <c r="U281" s="557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58" t="s">
        <v>343</v>
      </c>
      <c r="C282" s="126" t="s">
        <v>345</v>
      </c>
      <c r="D282" s="108">
        <v>5</v>
      </c>
      <c r="E282" s="108"/>
      <c r="F282" s="127"/>
      <c r="G282" s="108"/>
      <c r="H282" s="56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557"/>
      <c r="P282" s="557"/>
      <c r="Q282" s="557"/>
      <c r="R282" s="557"/>
      <c r="S282" s="557"/>
      <c r="T282" s="557"/>
      <c r="U282" s="55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58" t="s">
        <v>343</v>
      </c>
      <c r="C283" s="126" t="s">
        <v>347</v>
      </c>
      <c r="D283" s="108">
        <v>5</v>
      </c>
      <c r="E283" s="108"/>
      <c r="F283" s="127"/>
      <c r="G283" s="108"/>
      <c r="H283" s="56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557"/>
      <c r="P283" s="557"/>
      <c r="Q283" s="557"/>
      <c r="R283" s="557"/>
      <c r="S283" s="557"/>
      <c r="T283" s="557"/>
      <c r="U283" s="557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08"/>
      <c r="H284" s="56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557"/>
      <c r="P284" s="557"/>
      <c r="Q284" s="557"/>
      <c r="R284" s="557"/>
      <c r="S284" s="557"/>
      <c r="T284" s="557"/>
      <c r="U284" s="557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08"/>
      <c r="H285" s="56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557"/>
      <c r="P285" s="557"/>
      <c r="Q285" s="557"/>
      <c r="R285" s="557"/>
      <c r="S285" s="557"/>
      <c r="T285" s="557"/>
      <c r="U285" s="557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08"/>
      <c r="H286" s="56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557"/>
      <c r="P286" s="557"/>
      <c r="Q286" s="557"/>
      <c r="R286" s="557"/>
      <c r="S286" s="557"/>
      <c r="T286" s="557"/>
      <c r="U286" s="557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08"/>
      <c r="H287" s="56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557"/>
      <c r="P287" s="557"/>
      <c r="Q287" s="557"/>
      <c r="R287" s="557"/>
      <c r="S287" s="557"/>
      <c r="T287" s="557"/>
      <c r="U287" s="55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08"/>
      <c r="H288" s="56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557"/>
      <c r="P288" s="557"/>
      <c r="Q288" s="557"/>
      <c r="R288" s="557"/>
      <c r="S288" s="557"/>
      <c r="T288" s="557"/>
      <c r="U288" s="557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08"/>
      <c r="H289" s="566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557"/>
      <c r="P289" s="557"/>
      <c r="Q289" s="557"/>
      <c r="R289" s="557"/>
      <c r="S289" s="557"/>
      <c r="T289" s="557"/>
      <c r="U289" s="557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08"/>
      <c r="H290" s="56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557"/>
      <c r="P290" s="557"/>
      <c r="Q290" s="557"/>
      <c r="R290" s="557"/>
      <c r="S290" s="557"/>
      <c r="T290" s="557"/>
      <c r="U290" s="557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08"/>
      <c r="H291" s="566">
        <f t="shared" si="116"/>
        <v>0</v>
      </c>
      <c r="I291" s="129"/>
      <c r="J291" s="130" t="str">
        <f t="array" ref="J291">IF(ISERROR(G291/I291),"",G291/I291)</f>
        <v/>
      </c>
      <c r="K291" s="56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557"/>
      <c r="P291" s="557"/>
      <c r="Q291" s="557"/>
      <c r="R291" s="557"/>
      <c r="S291" s="557"/>
      <c r="T291" s="557"/>
      <c r="U291" s="557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hidden="1" customHeight="1">
      <c r="A292" s="618" t="s">
        <v>224</v>
      </c>
      <c r="B292" s="619"/>
      <c r="C292" s="564" t="s">
        <v>202</v>
      </c>
      <c r="D292" s="143"/>
      <c r="E292" s="143"/>
      <c r="F292" s="144"/>
      <c r="G292" s="143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08"/>
      <c r="H293" s="566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557"/>
      <c r="P293" s="557"/>
      <c r="Q293" s="557"/>
      <c r="R293" s="557"/>
      <c r="S293" s="557"/>
      <c r="T293" s="557"/>
      <c r="U293" s="557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08"/>
      <c r="H294" s="56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557"/>
      <c r="P294" s="557"/>
      <c r="Q294" s="557"/>
      <c r="R294" s="557"/>
      <c r="S294" s="557"/>
      <c r="T294" s="557"/>
      <c r="U294" s="557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08"/>
      <c r="H295" s="56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557"/>
      <c r="P295" s="557"/>
      <c r="Q295" s="557"/>
      <c r="R295" s="557"/>
      <c r="S295" s="557"/>
      <c r="T295" s="557"/>
      <c r="U295" s="557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08"/>
      <c r="H296" s="56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557"/>
      <c r="P296" s="557"/>
      <c r="Q296" s="557"/>
      <c r="R296" s="557"/>
      <c r="S296" s="557"/>
      <c r="T296" s="557"/>
      <c r="U296" s="557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62" t="s">
        <v>203</v>
      </c>
      <c r="D297" s="108">
        <v>5.03</v>
      </c>
      <c r="E297" s="108"/>
      <c r="F297" s="127"/>
      <c r="G297" s="108"/>
      <c r="H297" s="56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557"/>
      <c r="P297" s="557"/>
      <c r="Q297" s="557"/>
      <c r="R297" s="557"/>
      <c r="S297" s="557"/>
      <c r="T297" s="557"/>
      <c r="U297" s="557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08"/>
      <c r="H298" s="56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557"/>
      <c r="P298" s="557"/>
      <c r="Q298" s="557"/>
      <c r="R298" s="557"/>
      <c r="S298" s="557"/>
      <c r="T298" s="557"/>
      <c r="U298" s="557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08"/>
      <c r="H299" s="56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557"/>
      <c r="P299" s="557"/>
      <c r="Q299" s="557"/>
      <c r="R299" s="557"/>
      <c r="S299" s="557"/>
      <c r="T299" s="557"/>
      <c r="U299" s="557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62" t="s">
        <v>228</v>
      </c>
      <c r="D300" s="108">
        <v>5.03</v>
      </c>
      <c r="E300" s="108"/>
      <c r="F300" s="127"/>
      <c r="G300" s="108"/>
      <c r="H300" s="56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557"/>
      <c r="P300" s="557"/>
      <c r="Q300" s="557"/>
      <c r="R300" s="557"/>
      <c r="S300" s="557"/>
      <c r="T300" s="557"/>
      <c r="U300" s="557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62" t="s">
        <v>212</v>
      </c>
      <c r="D301" s="108">
        <v>5.03</v>
      </c>
      <c r="E301" s="108"/>
      <c r="F301" s="127"/>
      <c r="G301" s="108"/>
      <c r="H301" s="56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557"/>
      <c r="P301" s="557"/>
      <c r="Q301" s="557"/>
      <c r="R301" s="557"/>
      <c r="S301" s="557"/>
      <c r="T301" s="557"/>
      <c r="U301" s="557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62" t="s">
        <v>203</v>
      </c>
      <c r="D302" s="108">
        <v>5.03</v>
      </c>
      <c r="E302" s="108"/>
      <c r="F302" s="127"/>
      <c r="G302" s="108"/>
      <c r="H302" s="56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557"/>
      <c r="P302" s="557"/>
      <c r="Q302" s="557"/>
      <c r="R302" s="557"/>
      <c r="S302" s="557"/>
      <c r="T302" s="557"/>
      <c r="U302" s="557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62" t="s">
        <v>186</v>
      </c>
      <c r="D303" s="108">
        <v>5.03</v>
      </c>
      <c r="E303" s="108"/>
      <c r="F303" s="127"/>
      <c r="G303" s="108"/>
      <c r="H303" s="56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557"/>
      <c r="P303" s="557"/>
      <c r="Q303" s="557"/>
      <c r="R303" s="557"/>
      <c r="S303" s="557"/>
      <c r="T303" s="557"/>
      <c r="U303" s="557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62" t="s">
        <v>228</v>
      </c>
      <c r="D304" s="108">
        <v>5.03</v>
      </c>
      <c r="E304" s="108"/>
      <c r="F304" s="127"/>
      <c r="G304" s="108"/>
      <c r="H304" s="56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557"/>
      <c r="P304" s="557"/>
      <c r="Q304" s="557"/>
      <c r="R304" s="557"/>
      <c r="S304" s="557"/>
      <c r="T304" s="557"/>
      <c r="U304" s="557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62" t="s">
        <v>199</v>
      </c>
      <c r="D305" s="108">
        <v>5.03</v>
      </c>
      <c r="E305" s="108"/>
      <c r="F305" s="127"/>
      <c r="G305" s="108"/>
      <c r="H305" s="56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557"/>
      <c r="P305" s="557"/>
      <c r="Q305" s="557"/>
      <c r="R305" s="557"/>
      <c r="S305" s="557"/>
      <c r="T305" s="557"/>
      <c r="U305" s="557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42748</v>
      </c>
      <c r="G306" s="108">
        <v>90</v>
      </c>
      <c r="H306" s="566">
        <f t="shared" si="132"/>
        <v>455.4</v>
      </c>
      <c r="I306" s="129">
        <v>3</v>
      </c>
      <c r="J306" s="130">
        <f t="array" ref="J306">IF(ISERROR(G306/I306),"",G306/I306)</f>
        <v>30</v>
      </c>
      <c r="K306" s="131">
        <f t="array" ref="K306">IF(ISERROR(G306/L306),"",G306/L306)</f>
        <v>3.6</v>
      </c>
      <c r="L306" s="129">
        <v>25</v>
      </c>
      <c r="M306" s="109">
        <f t="shared" si="133"/>
        <v>-0.60000000000000009</v>
      </c>
      <c r="N306" s="130">
        <f t="shared" si="134"/>
        <v>0</v>
      </c>
      <c r="O306" s="557"/>
      <c r="P306" s="557"/>
      <c r="Q306" s="557"/>
      <c r="R306" s="557"/>
      <c r="S306" s="557"/>
      <c r="T306" s="557"/>
      <c r="U306" s="557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42748</v>
      </c>
      <c r="G307" s="108">
        <f>90*5+83+90*2</f>
        <v>713</v>
      </c>
      <c r="H307" s="566">
        <f t="shared" si="132"/>
        <v>3607.7799999999997</v>
      </c>
      <c r="I307" s="129">
        <v>25</v>
      </c>
      <c r="J307" s="130">
        <f t="array" ref="J307">IF(ISERROR(G307/I307),"",G307/I307)</f>
        <v>28.52</v>
      </c>
      <c r="K307" s="131">
        <f t="array" ref="K307">IF(ISERROR(G307/L307),"",G307/L307)</f>
        <v>28.52</v>
      </c>
      <c r="L307" s="129">
        <v>25</v>
      </c>
      <c r="M307" s="109">
        <f t="shared" si="133"/>
        <v>-3.5199999999999996</v>
      </c>
      <c r="N307" s="130">
        <f t="shared" si="134"/>
        <v>0</v>
      </c>
      <c r="O307" s="557"/>
      <c r="P307" s="557"/>
      <c r="Q307" s="557"/>
      <c r="R307" s="557"/>
      <c r="S307" s="557"/>
      <c r="T307" s="557"/>
      <c r="U307" s="557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564" t="s">
        <v>202</v>
      </c>
      <c r="D308" s="143"/>
      <c r="E308" s="143"/>
      <c r="F308" s="144"/>
      <c r="G308" s="143">
        <f>SUM(G293:G307)</f>
        <v>803</v>
      </c>
      <c r="H308" s="146">
        <f>SUM(H293:H307)</f>
        <v>4063.18</v>
      </c>
      <c r="I308" s="146">
        <f>SUM(I293:I307)</f>
        <v>28</v>
      </c>
      <c r="J308" s="130">
        <f t="array" ref="J308">IF(ISERROR(G308/I308),"",G308/I308)</f>
        <v>28.678571428571427</v>
      </c>
      <c r="K308" s="146">
        <f>SUM(K293:K307)</f>
        <v>32.119999999999997</v>
      </c>
      <c r="L308" s="146"/>
      <c r="M308" s="150">
        <f>SUM(M293:M307)</f>
        <v>-4.1199999999999992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08"/>
      <c r="H309" s="56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557"/>
      <c r="P309" s="557"/>
      <c r="Q309" s="557"/>
      <c r="R309" s="557"/>
      <c r="S309" s="557"/>
      <c r="T309" s="557"/>
      <c r="U309" s="557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08"/>
      <c r="H310" s="56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557"/>
      <c r="P310" s="557"/>
      <c r="Q310" s="557"/>
      <c r="R310" s="557"/>
      <c r="S310" s="557"/>
      <c r="T310" s="557"/>
      <c r="U310" s="557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08"/>
      <c r="H311" s="56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557"/>
      <c r="P311" s="557"/>
      <c r="Q311" s="557"/>
      <c r="R311" s="557"/>
      <c r="S311" s="557"/>
      <c r="T311" s="557"/>
      <c r="U311" s="557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08"/>
      <c r="H312" s="56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557"/>
      <c r="P312" s="557"/>
      <c r="Q312" s="557"/>
      <c r="R312" s="557"/>
      <c r="S312" s="557"/>
      <c r="T312" s="557"/>
      <c r="U312" s="557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08"/>
      <c r="H313" s="56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557"/>
      <c r="P313" s="557"/>
      <c r="Q313" s="557"/>
      <c r="R313" s="557"/>
      <c r="S313" s="557"/>
      <c r="T313" s="557"/>
      <c r="U313" s="557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08"/>
      <c r="H314" s="566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557"/>
      <c r="P314" s="557"/>
      <c r="Q314" s="557"/>
      <c r="R314" s="557"/>
      <c r="S314" s="557"/>
      <c r="T314" s="557"/>
      <c r="U314" s="557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08"/>
      <c r="H315" s="56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557"/>
      <c r="P315" s="557"/>
      <c r="Q315" s="557"/>
      <c r="R315" s="557"/>
      <c r="S315" s="557"/>
      <c r="T315" s="557"/>
      <c r="U315" s="55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08"/>
      <c r="H316" s="56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557"/>
      <c r="P316" s="557"/>
      <c r="Q316" s="557"/>
      <c r="R316" s="557"/>
      <c r="S316" s="557"/>
      <c r="T316" s="557"/>
      <c r="U316" s="557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08"/>
      <c r="H317" s="566">
        <f t="shared" si="136"/>
        <v>0</v>
      </c>
      <c r="I317" s="129"/>
      <c r="J317" s="130"/>
      <c r="K317" s="131"/>
      <c r="L317" s="129"/>
      <c r="M317" s="109"/>
      <c r="N317" s="130"/>
      <c r="O317" s="557"/>
      <c r="P317" s="557"/>
      <c r="Q317" s="557"/>
      <c r="R317" s="557"/>
      <c r="S317" s="557"/>
      <c r="T317" s="557"/>
      <c r="U317" s="557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08"/>
      <c r="H318" s="56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557"/>
      <c r="P318" s="557"/>
      <c r="Q318" s="557"/>
      <c r="R318" s="557"/>
      <c r="S318" s="557"/>
      <c r="T318" s="557"/>
      <c r="U318" s="557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hidden="1" customHeight="1">
      <c r="A319" s="618" t="s">
        <v>234</v>
      </c>
      <c r="B319" s="619"/>
      <c r="C319" s="564" t="s">
        <v>202</v>
      </c>
      <c r="D319" s="143"/>
      <c r="E319" s="143"/>
      <c r="F319" s="144"/>
      <c r="G319" s="143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3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56"/>
      <c r="D320" s="108">
        <v>3.65</v>
      </c>
      <c r="E320" s="108"/>
      <c r="F320" s="153"/>
      <c r="G320" s="108"/>
      <c r="H320" s="566">
        <f t="shared" ref="H320:H333" si="144">D320*G320</f>
        <v>0</v>
      </c>
      <c r="I320" s="129"/>
      <c r="J320" s="130" t="str">
        <f t="array" ref="J320">IF(ISERROR(G320/I320),"",G320/I320)</f>
        <v/>
      </c>
      <c r="K320" s="56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557"/>
      <c r="P320" s="557"/>
      <c r="Q320" s="557"/>
      <c r="R320" s="557"/>
      <c r="S320" s="557"/>
      <c r="T320" s="557"/>
      <c r="U320" s="557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56"/>
      <c r="D321" s="108">
        <v>6.58</v>
      </c>
      <c r="E321" s="108"/>
      <c r="F321" s="127"/>
      <c r="G321" s="108"/>
      <c r="H321" s="56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557"/>
      <c r="P321" s="557"/>
      <c r="Q321" s="557"/>
      <c r="R321" s="557"/>
      <c r="S321" s="557"/>
      <c r="T321" s="557"/>
      <c r="U321" s="557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56"/>
      <c r="D322" s="108">
        <v>7.8</v>
      </c>
      <c r="E322" s="108"/>
      <c r="F322" s="127"/>
      <c r="G322" s="108"/>
      <c r="H322" s="566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557"/>
      <c r="P322" s="557"/>
      <c r="Q322" s="557"/>
      <c r="R322" s="557"/>
      <c r="S322" s="557"/>
      <c r="T322" s="557"/>
      <c r="U322" s="557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56"/>
      <c r="D323" s="108">
        <v>4.4000000000000004</v>
      </c>
      <c r="E323" s="108"/>
      <c r="F323" s="127"/>
      <c r="G323" s="108"/>
      <c r="H323" s="56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557"/>
      <c r="P323" s="557"/>
      <c r="Q323" s="557"/>
      <c r="R323" s="557"/>
      <c r="S323" s="557"/>
      <c r="T323" s="557"/>
      <c r="U323" s="557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56"/>
      <c r="D324" s="108"/>
      <c r="E324" s="108"/>
      <c r="F324" s="127"/>
      <c r="G324" s="108"/>
      <c r="H324" s="56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557"/>
      <c r="P324" s="557"/>
      <c r="Q324" s="557"/>
      <c r="R324" s="557"/>
      <c r="S324" s="557"/>
      <c r="T324" s="557"/>
      <c r="U324" s="557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56" t="s">
        <v>239</v>
      </c>
      <c r="C325" s="556" t="s">
        <v>179</v>
      </c>
      <c r="D325" s="108">
        <v>6.04</v>
      </c>
      <c r="E325" s="108"/>
      <c r="F325" s="127"/>
      <c r="G325" s="108"/>
      <c r="H325" s="56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557"/>
      <c r="P325" s="557"/>
      <c r="Q325" s="557"/>
      <c r="R325" s="557"/>
      <c r="S325" s="557"/>
      <c r="T325" s="557"/>
      <c r="U325" s="557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56" t="s">
        <v>239</v>
      </c>
      <c r="C326" s="556" t="s">
        <v>186</v>
      </c>
      <c r="D326" s="108">
        <v>6.04</v>
      </c>
      <c r="E326" s="108"/>
      <c r="F326" s="127"/>
      <c r="G326" s="108"/>
      <c r="H326" s="56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557"/>
      <c r="P326" s="557"/>
      <c r="Q326" s="557"/>
      <c r="R326" s="557"/>
      <c r="S326" s="557"/>
      <c r="T326" s="557"/>
      <c r="U326" s="557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56" t="s">
        <v>443</v>
      </c>
      <c r="C327" s="556" t="s">
        <v>179</v>
      </c>
      <c r="D327" s="108">
        <v>6</v>
      </c>
      <c r="E327" s="108"/>
      <c r="F327" s="127"/>
      <c r="G327" s="108"/>
      <c r="H327" s="566">
        <f t="shared" si="144"/>
        <v>0</v>
      </c>
      <c r="I327" s="129"/>
      <c r="J327" s="130"/>
      <c r="K327" s="131"/>
      <c r="L327" s="129"/>
      <c r="M327" s="109"/>
      <c r="N327" s="130"/>
      <c r="O327" s="557"/>
      <c r="P327" s="557"/>
      <c r="Q327" s="557"/>
      <c r="R327" s="557"/>
      <c r="S327" s="557"/>
      <c r="T327" s="557"/>
      <c r="U327" s="557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56" t="s">
        <v>443</v>
      </c>
      <c r="C328" s="556" t="s">
        <v>60</v>
      </c>
      <c r="D328" s="108">
        <v>6</v>
      </c>
      <c r="E328" s="108"/>
      <c r="F328" s="127">
        <v>42746</v>
      </c>
      <c r="G328" s="108">
        <f>42*2+36</f>
        <v>120</v>
      </c>
      <c r="H328" s="566">
        <f t="shared" si="144"/>
        <v>720</v>
      </c>
      <c r="I328" s="129">
        <v>25</v>
      </c>
      <c r="J328" s="130"/>
      <c r="K328" s="131">
        <f t="array" ref="K328">IF(ISERROR(G328/L328),"",G328/L328)</f>
        <v>20</v>
      </c>
      <c r="L328" s="129">
        <v>6</v>
      </c>
      <c r="M328" s="109">
        <f t="shared" ref="M328" si="152">IF(ISERROR(I328-K328),"",I328-K328)</f>
        <v>5</v>
      </c>
      <c r="N328" s="130"/>
      <c r="O328" s="557"/>
      <c r="P328" s="557"/>
      <c r="Q328" s="557"/>
      <c r="R328" s="557"/>
      <c r="S328" s="557"/>
      <c r="T328" s="557"/>
      <c r="U328" s="557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58" t="s">
        <v>240</v>
      </c>
      <c r="C329" s="126"/>
      <c r="D329" s="108">
        <v>7.3</v>
      </c>
      <c r="E329" s="108"/>
      <c r="F329" s="127"/>
      <c r="G329" s="108"/>
      <c r="H329" s="566">
        <f t="shared" si="144"/>
        <v>0</v>
      </c>
      <c r="I329" s="129"/>
      <c r="J329" s="130"/>
      <c r="K329" s="131"/>
      <c r="L329" s="129"/>
      <c r="M329" s="109"/>
      <c r="N329" s="130"/>
      <c r="O329" s="557"/>
      <c r="P329" s="557"/>
      <c r="Q329" s="557"/>
      <c r="R329" s="557"/>
      <c r="S329" s="557"/>
      <c r="T329" s="557"/>
      <c r="U329" s="55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58" t="s">
        <v>241</v>
      </c>
      <c r="C330" s="126"/>
      <c r="D330" s="108">
        <f>78*120/1000</f>
        <v>9.36</v>
      </c>
      <c r="E330" s="108"/>
      <c r="F330" s="127"/>
      <c r="G330" s="108"/>
      <c r="H330" s="56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557"/>
      <c r="P330" s="557"/>
      <c r="Q330" s="557"/>
      <c r="R330" s="557"/>
      <c r="S330" s="557"/>
      <c r="T330" s="557"/>
      <c r="U330" s="557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58" t="s">
        <v>242</v>
      </c>
      <c r="C331" s="126"/>
      <c r="D331" s="108">
        <v>4.5</v>
      </c>
      <c r="E331" s="108"/>
      <c r="F331" s="127"/>
      <c r="G331" s="108"/>
      <c r="H331" s="56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57"/>
      <c r="P331" s="557"/>
      <c r="Q331" s="557"/>
      <c r="R331" s="557"/>
      <c r="S331" s="557"/>
      <c r="T331" s="557"/>
      <c r="U331" s="55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58" t="s">
        <v>243</v>
      </c>
      <c r="C332" s="126"/>
      <c r="D332" s="108">
        <v>4.5</v>
      </c>
      <c r="E332" s="108"/>
      <c r="F332" s="127"/>
      <c r="G332" s="108"/>
      <c r="H332" s="56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57"/>
      <c r="P332" s="557"/>
      <c r="Q332" s="557"/>
      <c r="R332" s="557"/>
      <c r="S332" s="557"/>
      <c r="T332" s="557"/>
      <c r="U332" s="557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08"/>
      <c r="H333" s="56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57"/>
      <c r="P333" s="557"/>
      <c r="Q333" s="557"/>
      <c r="R333" s="557"/>
      <c r="S333" s="557"/>
      <c r="T333" s="557"/>
      <c r="U333" s="557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564" t="s">
        <v>202</v>
      </c>
      <c r="D334" s="143"/>
      <c r="E334" s="143"/>
      <c r="F334" s="144"/>
      <c r="G334" s="143">
        <f>SUM(G320:G333)</f>
        <v>120</v>
      </c>
      <c r="H334" s="146">
        <f>SUM(H320:H330)</f>
        <v>720</v>
      </c>
      <c r="I334" s="146">
        <f>SUM(I320:I333)</f>
        <v>25</v>
      </c>
      <c r="J334" s="130"/>
      <c r="K334" s="146">
        <f>SUM(K320:K330)</f>
        <v>20</v>
      </c>
      <c r="L334" s="147"/>
      <c r="M334" s="150">
        <f t="shared" ref="M334:AA334" si="156">SUM(M320:M330)</f>
        <v>5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553">
        <f>SUM(G199,G257,G292,G308,G319,G334)</f>
        <v>5592</v>
      </c>
      <c r="H335" s="154">
        <f>SUM(H199,H257,H292,H308,H319,H334)</f>
        <v>28393.320000000003</v>
      </c>
      <c r="I335" s="154">
        <f>SUM(I199,I257,I292,I308,I319,I334)</f>
        <v>232</v>
      </c>
      <c r="J335" s="155">
        <f t="array" ref="J335">IF(ISERROR(G335/I335),"",G335/I335)</f>
        <v>24.103448275862068</v>
      </c>
      <c r="K335" s="154">
        <f>SUM(K199,K257,K292,K308,K319,K334)</f>
        <v>245.65490632936854</v>
      </c>
      <c r="L335" s="155">
        <f>IF(ISERROR(G335/K335),"",G335/K335)</f>
        <v>22.763640602815286</v>
      </c>
      <c r="M335" s="154">
        <f t="shared" ref="M335:AA335" si="157">SUM(M199,M257,M292,M308,M319,M334)</f>
        <v>-13.654906329368572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623" t="s">
        <v>476</v>
      </c>
      <c r="B336" s="563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563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563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563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563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563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563">
        <f>G335</f>
        <v>5592</v>
      </c>
      <c r="C342" s="638" t="s">
        <v>269</v>
      </c>
      <c r="D342" s="639"/>
      <c r="E342" s="631">
        <f>H335</f>
        <v>28393.320000000003</v>
      </c>
      <c r="F342" s="631"/>
      <c r="G342" s="631" t="s">
        <v>270</v>
      </c>
      <c r="H342" s="631"/>
      <c r="I342" s="640">
        <f>L335</f>
        <v>22.763640602815286</v>
      </c>
      <c r="J342" s="640"/>
      <c r="K342" s="628" t="s">
        <v>271</v>
      </c>
      <c r="L342" s="628"/>
      <c r="M342" s="640">
        <f>J335</f>
        <v>24.103448275862068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563">
        <f>I335+C341</f>
        <v>234</v>
      </c>
      <c r="C343" s="641" t="s">
        <v>251</v>
      </c>
      <c r="D343" s="642"/>
      <c r="E343" s="643">
        <f>K335+I341</f>
        <v>275.65490632936854</v>
      </c>
      <c r="F343" s="643"/>
      <c r="G343" s="631" t="s">
        <v>274</v>
      </c>
      <c r="H343" s="631"/>
      <c r="I343" s="640">
        <f>B343-E343</f>
        <v>-41.654906329368544</v>
      </c>
      <c r="J343" s="640"/>
      <c r="K343" s="628" t="s">
        <v>275</v>
      </c>
      <c r="L343" s="628"/>
      <c r="M343" s="632">
        <f>IF(ISERROR(I343/E343),"",I343/E343)</f>
        <v>-0.15111251558714081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563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568" t="s">
        <v>550</v>
      </c>
      <c r="H348" s="556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558" t="s">
        <v>178</v>
      </c>
      <c r="C349" s="126" t="s">
        <v>179</v>
      </c>
      <c r="D349" s="108">
        <v>5.03</v>
      </c>
      <c r="E349" s="108"/>
      <c r="F349" s="127"/>
      <c r="G349" s="108"/>
      <c r="H349" s="566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557"/>
      <c r="P349" s="557"/>
      <c r="Q349" s="557"/>
      <c r="R349" s="557"/>
      <c r="S349" s="557"/>
      <c r="T349" s="557"/>
      <c r="U349" s="557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08"/>
      <c r="H350" s="566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557"/>
      <c r="P350" s="557"/>
      <c r="Q350" s="557"/>
      <c r="R350" s="557"/>
      <c r="S350" s="557"/>
      <c r="T350" s="557"/>
      <c r="U350" s="55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08"/>
      <c r="H351" s="566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557"/>
      <c r="P351" s="557"/>
      <c r="Q351" s="557"/>
      <c r="R351" s="557"/>
      <c r="S351" s="557"/>
      <c r="T351" s="557"/>
      <c r="U351" s="55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08"/>
      <c r="H352" s="566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557"/>
      <c r="P352" s="557"/>
      <c r="Q352" s="557"/>
      <c r="R352" s="557"/>
      <c r="S352" s="557"/>
      <c r="T352" s="557"/>
      <c r="U352" s="55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08"/>
      <c r="H353" s="566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557"/>
      <c r="P353" s="557"/>
      <c r="Q353" s="557"/>
      <c r="R353" s="557"/>
      <c r="S353" s="557"/>
      <c r="T353" s="557"/>
      <c r="U353" s="557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552"/>
      <c r="H354" s="566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557"/>
      <c r="P354" s="557"/>
      <c r="Q354" s="557"/>
      <c r="R354" s="557"/>
      <c r="S354" s="557"/>
      <c r="T354" s="557"/>
      <c r="U354" s="557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08"/>
      <c r="H355" s="566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557"/>
      <c r="P355" s="557"/>
      <c r="Q355" s="557"/>
      <c r="R355" s="557"/>
      <c r="S355" s="557"/>
      <c r="T355" s="557"/>
      <c r="U355" s="557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08"/>
      <c r="H356" s="566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557"/>
      <c r="P356" s="557"/>
      <c r="Q356" s="557"/>
      <c r="R356" s="557"/>
      <c r="S356" s="557"/>
      <c r="T356" s="557"/>
      <c r="U356" s="557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08"/>
      <c r="H357" s="566">
        <f t="shared" si="158"/>
        <v>0</v>
      </c>
      <c r="I357" s="56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557"/>
      <c r="P357" s="557"/>
      <c r="Q357" s="557"/>
      <c r="R357" s="557"/>
      <c r="S357" s="557"/>
      <c r="T357" s="557"/>
      <c r="U357" s="557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08"/>
      <c r="H358" s="566">
        <f t="shared" si="158"/>
        <v>0</v>
      </c>
      <c r="I358" s="56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557"/>
      <c r="P358" s="557"/>
      <c r="Q358" s="557"/>
      <c r="R358" s="557"/>
      <c r="S358" s="557"/>
      <c r="T358" s="557"/>
      <c r="U358" s="557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08"/>
      <c r="H359" s="566">
        <f t="shared" si="158"/>
        <v>0</v>
      </c>
      <c r="I359" s="566"/>
      <c r="J359" s="130"/>
      <c r="K359" s="131"/>
      <c r="L359" s="129"/>
      <c r="M359" s="109"/>
      <c r="N359" s="130"/>
      <c r="O359" s="557"/>
      <c r="P359" s="557"/>
      <c r="Q359" s="557"/>
      <c r="R359" s="557"/>
      <c r="S359" s="557"/>
      <c r="T359" s="557"/>
      <c r="U359" s="557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08"/>
      <c r="H360" s="566">
        <f t="shared" si="158"/>
        <v>0</v>
      </c>
      <c r="I360" s="566"/>
      <c r="J360" s="130"/>
      <c r="K360" s="131"/>
      <c r="L360" s="129"/>
      <c r="M360" s="109"/>
      <c r="N360" s="130"/>
      <c r="O360" s="557"/>
      <c r="P360" s="557"/>
      <c r="Q360" s="557"/>
      <c r="R360" s="557"/>
      <c r="S360" s="557"/>
      <c r="T360" s="557"/>
      <c r="U360" s="557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08"/>
      <c r="H361" s="566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557"/>
      <c r="P361" s="557"/>
      <c r="Q361" s="557"/>
      <c r="R361" s="557"/>
      <c r="S361" s="557"/>
      <c r="T361" s="557"/>
      <c r="U361" s="557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08"/>
      <c r="H362" s="566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557"/>
      <c r="P362" s="557"/>
      <c r="Q362" s="557"/>
      <c r="R362" s="557"/>
      <c r="S362" s="557"/>
      <c r="T362" s="557"/>
      <c r="U362" s="557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08"/>
      <c r="H363" s="566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557"/>
      <c r="P363" s="557"/>
      <c r="Q363" s="557"/>
      <c r="R363" s="557"/>
      <c r="S363" s="557"/>
      <c r="T363" s="557"/>
      <c r="U363" s="557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56" t="s">
        <v>190</v>
      </c>
      <c r="D364" s="108">
        <v>4.8</v>
      </c>
      <c r="E364" s="108"/>
      <c r="F364" s="127"/>
      <c r="G364" s="108"/>
      <c r="H364" s="566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557"/>
      <c r="P364" s="557"/>
      <c r="Q364" s="557"/>
      <c r="R364" s="557"/>
      <c r="S364" s="557"/>
      <c r="T364" s="557"/>
      <c r="U364" s="55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56" t="s">
        <v>187</v>
      </c>
      <c r="D365" s="108">
        <v>4.8</v>
      </c>
      <c r="E365" s="108"/>
      <c r="F365" s="127"/>
      <c r="G365" s="108"/>
      <c r="H365" s="566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557"/>
      <c r="P365" s="557"/>
      <c r="Q365" s="557"/>
      <c r="R365" s="557"/>
      <c r="S365" s="557"/>
      <c r="T365" s="557"/>
      <c r="U365" s="55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56" t="s">
        <v>179</v>
      </c>
      <c r="D366" s="108">
        <v>4.8</v>
      </c>
      <c r="E366" s="108"/>
      <c r="F366" s="127"/>
      <c r="G366" s="108"/>
      <c r="H366" s="566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557"/>
      <c r="P366" s="557"/>
      <c r="Q366" s="557"/>
      <c r="R366" s="557"/>
      <c r="S366" s="557"/>
      <c r="T366" s="557"/>
      <c r="U366" s="557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56" t="s">
        <v>199</v>
      </c>
      <c r="D367" s="108">
        <v>4.8</v>
      </c>
      <c r="E367" s="108"/>
      <c r="F367" s="127"/>
      <c r="G367" s="108"/>
      <c r="H367" s="566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557"/>
      <c r="P367" s="557"/>
      <c r="Q367" s="557"/>
      <c r="R367" s="557"/>
      <c r="S367" s="557"/>
      <c r="T367" s="557"/>
      <c r="U367" s="557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08"/>
      <c r="H368" s="566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557"/>
      <c r="P368" s="557"/>
      <c r="Q368" s="557"/>
      <c r="R368" s="557"/>
      <c r="S368" s="557"/>
      <c r="T368" s="557"/>
      <c r="U368" s="557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08"/>
      <c r="H369" s="566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557"/>
      <c r="P369" s="557"/>
      <c r="Q369" s="557"/>
      <c r="R369" s="557"/>
      <c r="S369" s="557"/>
      <c r="T369" s="557"/>
      <c r="U369" s="557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564" t="s">
        <v>202</v>
      </c>
      <c r="D370" s="143"/>
      <c r="E370" s="143"/>
      <c r="F370" s="144"/>
      <c r="G370" s="143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558" t="s">
        <v>206</v>
      </c>
      <c r="C371" s="126" t="s">
        <v>199</v>
      </c>
      <c r="D371" s="108">
        <v>5.03</v>
      </c>
      <c r="E371" s="108"/>
      <c r="F371" s="127"/>
      <c r="G371" s="108"/>
      <c r="H371" s="566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561"/>
      <c r="P371" s="561"/>
      <c r="Q371" s="561"/>
      <c r="R371" s="561"/>
      <c r="S371" s="561"/>
      <c r="T371" s="561"/>
      <c r="U371" s="561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58" t="s">
        <v>425</v>
      </c>
      <c r="C372" s="187" t="s">
        <v>427</v>
      </c>
      <c r="D372" s="108">
        <v>5.03</v>
      </c>
      <c r="E372" s="108"/>
      <c r="F372" s="127"/>
      <c r="G372" s="108"/>
      <c r="H372" s="566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61"/>
      <c r="P372" s="561"/>
      <c r="Q372" s="561"/>
      <c r="R372" s="561"/>
      <c r="S372" s="561"/>
      <c r="T372" s="561"/>
      <c r="U372" s="561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58" t="s">
        <v>206</v>
      </c>
      <c r="C373" s="126" t="s">
        <v>186</v>
      </c>
      <c r="D373" s="108">
        <v>5.03</v>
      </c>
      <c r="E373" s="108"/>
      <c r="F373" s="127"/>
      <c r="G373" s="108"/>
      <c r="H373" s="56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561"/>
      <c r="P373" s="561"/>
      <c r="Q373" s="561"/>
      <c r="R373" s="561"/>
      <c r="S373" s="561"/>
      <c r="T373" s="561"/>
      <c r="U373" s="561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58" t="s">
        <v>206</v>
      </c>
      <c r="C374" s="126" t="s">
        <v>203</v>
      </c>
      <c r="D374" s="108">
        <v>5.03</v>
      </c>
      <c r="E374" s="108"/>
      <c r="F374" s="127"/>
      <c r="G374" s="108"/>
      <c r="H374" s="56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561"/>
      <c r="P374" s="561"/>
      <c r="Q374" s="561"/>
      <c r="R374" s="561"/>
      <c r="S374" s="561"/>
      <c r="T374" s="561"/>
      <c r="U374" s="561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58" t="s">
        <v>206</v>
      </c>
      <c r="C375" s="126" t="s">
        <v>207</v>
      </c>
      <c r="D375" s="108">
        <v>5.03</v>
      </c>
      <c r="E375" s="108"/>
      <c r="F375" s="127"/>
      <c r="G375" s="108"/>
      <c r="H375" s="56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561"/>
      <c r="P375" s="561"/>
      <c r="Q375" s="561"/>
      <c r="R375" s="561"/>
      <c r="S375" s="561"/>
      <c r="T375" s="561"/>
      <c r="U375" s="561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58" t="s">
        <v>414</v>
      </c>
      <c r="C376" s="187" t="s">
        <v>415</v>
      </c>
      <c r="D376" s="108"/>
      <c r="E376" s="108"/>
      <c r="F376" s="127"/>
      <c r="G376" s="108"/>
      <c r="H376" s="566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61"/>
      <c r="P376" s="561"/>
      <c r="Q376" s="561"/>
      <c r="R376" s="561"/>
      <c r="S376" s="561"/>
      <c r="T376" s="561"/>
      <c r="U376" s="56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58" t="s">
        <v>414</v>
      </c>
      <c r="C377" s="187" t="s">
        <v>416</v>
      </c>
      <c r="D377" s="108"/>
      <c r="E377" s="108"/>
      <c r="F377" s="127"/>
      <c r="G377" s="108"/>
      <c r="H377" s="566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561"/>
      <c r="P377" s="561"/>
      <c r="Q377" s="561"/>
      <c r="R377" s="561"/>
      <c r="S377" s="561"/>
      <c r="T377" s="561"/>
      <c r="U377" s="561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58" t="s">
        <v>414</v>
      </c>
      <c r="C378" s="187" t="s">
        <v>61</v>
      </c>
      <c r="D378" s="108"/>
      <c r="E378" s="108"/>
      <c r="F378" s="127"/>
      <c r="G378" s="108"/>
      <c r="H378" s="566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561"/>
      <c r="P378" s="561"/>
      <c r="Q378" s="561"/>
      <c r="R378" s="561"/>
      <c r="S378" s="561"/>
      <c r="T378" s="561"/>
      <c r="U378" s="561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58" t="s">
        <v>208</v>
      </c>
      <c r="C379" s="126" t="s">
        <v>179</v>
      </c>
      <c r="D379" s="108">
        <v>5.08</v>
      </c>
      <c r="E379" s="108"/>
      <c r="F379" s="127"/>
      <c r="G379" s="108"/>
      <c r="H379" s="566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561"/>
      <c r="P379" s="561"/>
      <c r="Q379" s="561"/>
      <c r="R379" s="561"/>
      <c r="S379" s="561"/>
      <c r="T379" s="561"/>
      <c r="U379" s="561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58" t="s">
        <v>208</v>
      </c>
      <c r="C380" s="126" t="s">
        <v>204</v>
      </c>
      <c r="D380" s="108">
        <v>5.08</v>
      </c>
      <c r="E380" s="108"/>
      <c r="F380" s="127"/>
      <c r="G380" s="108"/>
      <c r="H380" s="566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61"/>
      <c r="P380" s="561"/>
      <c r="Q380" s="561"/>
      <c r="R380" s="561"/>
      <c r="S380" s="561"/>
      <c r="T380" s="561"/>
      <c r="U380" s="56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58" t="s">
        <v>208</v>
      </c>
      <c r="C381" s="126" t="s">
        <v>205</v>
      </c>
      <c r="D381" s="108">
        <v>5.08</v>
      </c>
      <c r="E381" s="108"/>
      <c r="F381" s="127"/>
      <c r="G381" s="108"/>
      <c r="H381" s="566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61"/>
      <c r="P381" s="561"/>
      <c r="Q381" s="561"/>
      <c r="R381" s="561"/>
      <c r="S381" s="561"/>
      <c r="T381" s="561"/>
      <c r="U381" s="56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58" t="s">
        <v>208</v>
      </c>
      <c r="C382" s="126" t="s">
        <v>186</v>
      </c>
      <c r="D382" s="108">
        <v>5.08</v>
      </c>
      <c r="E382" s="108"/>
      <c r="F382" s="127"/>
      <c r="G382" s="108"/>
      <c r="H382" s="566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561"/>
      <c r="P382" s="561"/>
      <c r="Q382" s="561"/>
      <c r="R382" s="561"/>
      <c r="S382" s="561"/>
      <c r="T382" s="561"/>
      <c r="U382" s="56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58" t="s">
        <v>208</v>
      </c>
      <c r="C383" s="126" t="s">
        <v>203</v>
      </c>
      <c r="D383" s="108">
        <v>5.08</v>
      </c>
      <c r="E383" s="108"/>
      <c r="F383" s="127"/>
      <c r="G383" s="108"/>
      <c r="H383" s="566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61"/>
      <c r="P383" s="561"/>
      <c r="Q383" s="561"/>
      <c r="R383" s="561"/>
      <c r="S383" s="561"/>
      <c r="T383" s="561"/>
      <c r="U383" s="56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58" t="s">
        <v>208</v>
      </c>
      <c r="C384" s="126" t="s">
        <v>199</v>
      </c>
      <c r="D384" s="108">
        <v>5.08</v>
      </c>
      <c r="E384" s="108"/>
      <c r="F384" s="127"/>
      <c r="G384" s="108"/>
      <c r="H384" s="566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557"/>
      <c r="P384" s="557"/>
      <c r="Q384" s="557"/>
      <c r="R384" s="557"/>
      <c r="S384" s="557"/>
      <c r="T384" s="557"/>
      <c r="U384" s="55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58" t="s">
        <v>208</v>
      </c>
      <c r="C385" s="126" t="s">
        <v>187</v>
      </c>
      <c r="D385" s="108">
        <v>5.08</v>
      </c>
      <c r="E385" s="108"/>
      <c r="F385" s="127"/>
      <c r="G385" s="108"/>
      <c r="H385" s="566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561"/>
      <c r="P385" s="561"/>
      <c r="Q385" s="561"/>
      <c r="R385" s="561"/>
      <c r="S385" s="561"/>
      <c r="T385" s="561"/>
      <c r="U385" s="56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58" t="s">
        <v>208</v>
      </c>
      <c r="C386" s="126" t="s">
        <v>207</v>
      </c>
      <c r="D386" s="108">
        <v>5.08</v>
      </c>
      <c r="E386" s="108"/>
      <c r="F386" s="127"/>
      <c r="G386" s="108"/>
      <c r="H386" s="566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557"/>
      <c r="P386" s="557"/>
      <c r="Q386" s="557"/>
      <c r="R386" s="557"/>
      <c r="S386" s="557"/>
      <c r="T386" s="557"/>
      <c r="U386" s="55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58" t="s">
        <v>209</v>
      </c>
      <c r="C387" s="126" t="s">
        <v>194</v>
      </c>
      <c r="D387" s="108">
        <v>5.03</v>
      </c>
      <c r="E387" s="108"/>
      <c r="F387" s="127"/>
      <c r="G387" s="108"/>
      <c r="H387" s="566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61"/>
      <c r="P387" s="561"/>
      <c r="Q387" s="561"/>
      <c r="R387" s="561"/>
      <c r="S387" s="561"/>
      <c r="T387" s="561"/>
      <c r="U387" s="56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58" t="s">
        <v>209</v>
      </c>
      <c r="C388" s="126" t="s">
        <v>179</v>
      </c>
      <c r="D388" s="108">
        <v>5.03</v>
      </c>
      <c r="E388" s="108"/>
      <c r="F388" s="127"/>
      <c r="G388" s="108"/>
      <c r="H388" s="566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61"/>
      <c r="P388" s="561"/>
      <c r="Q388" s="561"/>
      <c r="R388" s="561"/>
      <c r="S388" s="561"/>
      <c r="T388" s="561"/>
      <c r="U388" s="56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58" t="s">
        <v>209</v>
      </c>
      <c r="C389" s="126" t="s">
        <v>195</v>
      </c>
      <c r="D389" s="108">
        <v>5.03</v>
      </c>
      <c r="E389" s="108"/>
      <c r="F389" s="127"/>
      <c r="G389" s="108"/>
      <c r="H389" s="566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561"/>
      <c r="P389" s="561"/>
      <c r="Q389" s="561"/>
      <c r="R389" s="561"/>
      <c r="S389" s="561"/>
      <c r="T389" s="561"/>
      <c r="U389" s="561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58" t="s">
        <v>209</v>
      </c>
      <c r="C390" s="126" t="s">
        <v>204</v>
      </c>
      <c r="D390" s="108">
        <v>5.03</v>
      </c>
      <c r="E390" s="108"/>
      <c r="F390" s="127"/>
      <c r="G390" s="108"/>
      <c r="H390" s="566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561"/>
      <c r="P390" s="561"/>
      <c r="Q390" s="561"/>
      <c r="R390" s="561"/>
      <c r="S390" s="561"/>
      <c r="T390" s="561"/>
      <c r="U390" s="561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58" t="s">
        <v>382</v>
      </c>
      <c r="C391" s="187" t="s">
        <v>383</v>
      </c>
      <c r="D391" s="108">
        <v>5.03</v>
      </c>
      <c r="E391" s="108"/>
      <c r="F391" s="127"/>
      <c r="G391" s="108"/>
      <c r="H391" s="566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61"/>
      <c r="P391" s="561"/>
      <c r="Q391" s="561"/>
      <c r="R391" s="561"/>
      <c r="S391" s="561"/>
      <c r="T391" s="561"/>
      <c r="U391" s="56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58" t="s">
        <v>382</v>
      </c>
      <c r="C392" s="187" t="s">
        <v>384</v>
      </c>
      <c r="D392" s="108">
        <v>5.03</v>
      </c>
      <c r="E392" s="108"/>
      <c r="F392" s="127"/>
      <c r="G392" s="108"/>
      <c r="H392" s="566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61"/>
      <c r="P392" s="561"/>
      <c r="Q392" s="561"/>
      <c r="R392" s="561"/>
      <c r="S392" s="561"/>
      <c r="T392" s="561"/>
      <c r="U392" s="56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58" t="s">
        <v>382</v>
      </c>
      <c r="C393" s="187" t="s">
        <v>389</v>
      </c>
      <c r="D393" s="108">
        <v>5.03</v>
      </c>
      <c r="E393" s="108"/>
      <c r="F393" s="127"/>
      <c r="G393" s="108"/>
      <c r="H393" s="566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561"/>
      <c r="P393" s="561"/>
      <c r="Q393" s="561"/>
      <c r="R393" s="561"/>
      <c r="S393" s="561"/>
      <c r="T393" s="561"/>
      <c r="U393" s="56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58" t="s">
        <v>382</v>
      </c>
      <c r="C394" s="187" t="s">
        <v>391</v>
      </c>
      <c r="D394" s="108">
        <v>5.03</v>
      </c>
      <c r="E394" s="108"/>
      <c r="F394" s="127"/>
      <c r="G394" s="108"/>
      <c r="H394" s="566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561"/>
      <c r="P394" s="561"/>
      <c r="Q394" s="561"/>
      <c r="R394" s="561"/>
      <c r="S394" s="561"/>
      <c r="T394" s="561"/>
      <c r="U394" s="56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58" t="s">
        <v>418</v>
      </c>
      <c r="C395" s="187" t="s">
        <v>364</v>
      </c>
      <c r="D395" s="108">
        <v>5.03</v>
      </c>
      <c r="E395" s="108"/>
      <c r="F395" s="127"/>
      <c r="G395" s="108"/>
      <c r="H395" s="566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61"/>
      <c r="P395" s="561"/>
      <c r="Q395" s="561"/>
      <c r="R395" s="561"/>
      <c r="S395" s="561"/>
      <c r="T395" s="561"/>
      <c r="U395" s="56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58" t="s">
        <v>418</v>
      </c>
      <c r="C396" s="187" t="s">
        <v>365</v>
      </c>
      <c r="D396" s="108">
        <v>5.03</v>
      </c>
      <c r="E396" s="108"/>
      <c r="F396" s="127"/>
      <c r="G396" s="108"/>
      <c r="H396" s="566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61"/>
      <c r="P396" s="561"/>
      <c r="Q396" s="561"/>
      <c r="R396" s="561"/>
      <c r="S396" s="561"/>
      <c r="T396" s="561"/>
      <c r="U396" s="56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58" t="s">
        <v>418</v>
      </c>
      <c r="C397" s="187" t="s">
        <v>366</v>
      </c>
      <c r="D397" s="108">
        <v>5.03</v>
      </c>
      <c r="E397" s="108"/>
      <c r="F397" s="127"/>
      <c r="G397" s="108"/>
      <c r="H397" s="566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561"/>
      <c r="P397" s="561"/>
      <c r="Q397" s="561"/>
      <c r="R397" s="561"/>
      <c r="S397" s="561"/>
      <c r="T397" s="561"/>
      <c r="U397" s="561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58" t="s">
        <v>418</v>
      </c>
      <c r="C398" s="187" t="s">
        <v>367</v>
      </c>
      <c r="D398" s="108">
        <v>5.03</v>
      </c>
      <c r="E398" s="108"/>
      <c r="F398" s="127"/>
      <c r="G398" s="108"/>
      <c r="H398" s="566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561"/>
      <c r="P398" s="561"/>
      <c r="Q398" s="561"/>
      <c r="R398" s="561"/>
      <c r="S398" s="561"/>
      <c r="T398" s="561"/>
      <c r="U398" s="561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08"/>
      <c r="H399" s="566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557"/>
      <c r="P399" s="557"/>
      <c r="Q399" s="557"/>
      <c r="R399" s="557"/>
      <c r="S399" s="557"/>
      <c r="T399" s="557"/>
      <c r="U399" s="557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08"/>
      <c r="H400" s="566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557"/>
      <c r="P400" s="557"/>
      <c r="Q400" s="557"/>
      <c r="R400" s="557"/>
      <c r="S400" s="557"/>
      <c r="T400" s="557"/>
      <c r="U400" s="55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08"/>
      <c r="H401" s="566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557"/>
      <c r="P401" s="557"/>
      <c r="Q401" s="557"/>
      <c r="R401" s="557"/>
      <c r="S401" s="557"/>
      <c r="T401" s="557"/>
      <c r="U401" s="55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08"/>
      <c r="H402" s="566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557"/>
      <c r="P402" s="557"/>
      <c r="Q402" s="557"/>
      <c r="R402" s="557"/>
      <c r="S402" s="557"/>
      <c r="T402" s="557"/>
      <c r="U402" s="55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08"/>
      <c r="H403" s="566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557"/>
      <c r="P403" s="557"/>
      <c r="Q403" s="557"/>
      <c r="R403" s="557"/>
      <c r="S403" s="557"/>
      <c r="T403" s="557"/>
      <c r="U403" s="55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08"/>
      <c r="H404" s="566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557"/>
      <c r="P404" s="557"/>
      <c r="Q404" s="557"/>
      <c r="R404" s="557"/>
      <c r="S404" s="557"/>
      <c r="T404" s="557"/>
      <c r="U404" s="55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08"/>
      <c r="H405" s="566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557"/>
      <c r="P405" s="557"/>
      <c r="Q405" s="557"/>
      <c r="R405" s="557"/>
      <c r="S405" s="557"/>
      <c r="T405" s="557"/>
      <c r="U405" s="55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08"/>
      <c r="H406" s="566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557"/>
      <c r="P406" s="557"/>
      <c r="Q406" s="557"/>
      <c r="R406" s="557"/>
      <c r="S406" s="557"/>
      <c r="T406" s="557"/>
      <c r="U406" s="55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08"/>
      <c r="H407" s="566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557"/>
      <c r="P407" s="557"/>
      <c r="Q407" s="557"/>
      <c r="R407" s="557"/>
      <c r="S407" s="557"/>
      <c r="T407" s="557"/>
      <c r="U407" s="557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08"/>
      <c r="H408" s="566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557"/>
      <c r="P408" s="557"/>
      <c r="Q408" s="557"/>
      <c r="R408" s="557"/>
      <c r="S408" s="557"/>
      <c r="T408" s="557"/>
      <c r="U408" s="557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08"/>
      <c r="H409" s="566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57"/>
      <c r="P409" s="557"/>
      <c r="Q409" s="557"/>
      <c r="R409" s="557"/>
      <c r="S409" s="557"/>
      <c r="T409" s="557"/>
      <c r="U409" s="557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08"/>
      <c r="H410" s="566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557"/>
      <c r="P410" s="557"/>
      <c r="Q410" s="557"/>
      <c r="R410" s="557"/>
      <c r="S410" s="557"/>
      <c r="T410" s="557"/>
      <c r="U410" s="557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08"/>
      <c r="H411" s="566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557"/>
      <c r="P411" s="557"/>
      <c r="Q411" s="557"/>
      <c r="R411" s="557"/>
      <c r="S411" s="557"/>
      <c r="T411" s="557"/>
      <c r="U411" s="557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08"/>
      <c r="H412" s="566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557"/>
      <c r="P412" s="557"/>
      <c r="Q412" s="557"/>
      <c r="R412" s="557"/>
      <c r="S412" s="557"/>
      <c r="T412" s="557"/>
      <c r="U412" s="557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08"/>
      <c r="H413" s="566">
        <f t="shared" si="171"/>
        <v>0</v>
      </c>
      <c r="I413" s="129"/>
      <c r="J413" s="130"/>
      <c r="K413" s="131"/>
      <c r="L413" s="129"/>
      <c r="M413" s="109"/>
      <c r="N413" s="130"/>
      <c r="O413" s="557"/>
      <c r="P413" s="557"/>
      <c r="Q413" s="557"/>
      <c r="R413" s="557"/>
      <c r="S413" s="557"/>
      <c r="T413" s="557"/>
      <c r="U413" s="557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08"/>
      <c r="H414" s="566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557"/>
      <c r="P414" s="557"/>
      <c r="Q414" s="557"/>
      <c r="R414" s="557"/>
      <c r="S414" s="557"/>
      <c r="T414" s="557"/>
      <c r="U414" s="557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08"/>
      <c r="H415" s="566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557"/>
      <c r="P415" s="557"/>
      <c r="Q415" s="557"/>
      <c r="R415" s="557"/>
      <c r="S415" s="557"/>
      <c r="T415" s="557"/>
      <c r="U415" s="55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08"/>
      <c r="H416" s="566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557"/>
      <c r="P416" s="557"/>
      <c r="Q416" s="557"/>
      <c r="R416" s="557"/>
      <c r="S416" s="557"/>
      <c r="T416" s="557"/>
      <c r="U416" s="557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08"/>
      <c r="H417" s="566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557"/>
      <c r="P417" s="557"/>
      <c r="Q417" s="557"/>
      <c r="R417" s="557"/>
      <c r="S417" s="557"/>
      <c r="T417" s="557"/>
      <c r="U417" s="557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08"/>
      <c r="H418" s="566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557"/>
      <c r="P418" s="557"/>
      <c r="Q418" s="557"/>
      <c r="R418" s="557"/>
      <c r="S418" s="557"/>
      <c r="T418" s="557"/>
      <c r="U418" s="55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08"/>
      <c r="H419" s="566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557"/>
      <c r="P419" s="557"/>
      <c r="Q419" s="557"/>
      <c r="R419" s="557"/>
      <c r="S419" s="557"/>
      <c r="T419" s="557"/>
      <c r="U419" s="55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08"/>
      <c r="H420" s="566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557"/>
      <c r="P420" s="557"/>
      <c r="Q420" s="557"/>
      <c r="R420" s="557"/>
      <c r="S420" s="557"/>
      <c r="T420" s="557"/>
      <c r="U420" s="55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08"/>
      <c r="H421" s="566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557"/>
      <c r="P421" s="557"/>
      <c r="Q421" s="557"/>
      <c r="R421" s="557"/>
      <c r="S421" s="557"/>
      <c r="T421" s="557"/>
      <c r="U421" s="55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08"/>
      <c r="H422" s="566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557"/>
      <c r="P422" s="557"/>
      <c r="Q422" s="557"/>
      <c r="R422" s="557"/>
      <c r="S422" s="557"/>
      <c r="T422" s="557"/>
      <c r="U422" s="55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08"/>
      <c r="H423" s="566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557"/>
      <c r="P423" s="557"/>
      <c r="Q423" s="557"/>
      <c r="R423" s="557"/>
      <c r="S423" s="557"/>
      <c r="T423" s="557"/>
      <c r="U423" s="55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08"/>
      <c r="H424" s="566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557"/>
      <c r="P424" s="557"/>
      <c r="Q424" s="557"/>
      <c r="R424" s="557"/>
      <c r="S424" s="557"/>
      <c r="T424" s="557"/>
      <c r="U424" s="55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08"/>
      <c r="H425" s="566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557"/>
      <c r="P425" s="557"/>
      <c r="Q425" s="557"/>
      <c r="R425" s="557"/>
      <c r="S425" s="557"/>
      <c r="T425" s="557"/>
      <c r="U425" s="55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08"/>
      <c r="H426" s="566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557"/>
      <c r="P426" s="557"/>
      <c r="Q426" s="557"/>
      <c r="R426" s="557"/>
      <c r="S426" s="557"/>
      <c r="T426" s="557"/>
      <c r="U426" s="557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08"/>
      <c r="H427" s="566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557"/>
      <c r="P427" s="557"/>
      <c r="Q427" s="557"/>
      <c r="R427" s="557"/>
      <c r="S427" s="557"/>
      <c r="T427" s="557"/>
      <c r="U427" s="557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64" t="s">
        <v>202</v>
      </c>
      <c r="D428" s="143"/>
      <c r="E428" s="143"/>
      <c r="F428" s="144"/>
      <c r="G428" s="143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58" t="s">
        <v>217</v>
      </c>
      <c r="C429" s="126" t="s">
        <v>179</v>
      </c>
      <c r="D429" s="108">
        <v>5.03</v>
      </c>
      <c r="E429" s="108"/>
      <c r="F429" s="127"/>
      <c r="G429" s="108"/>
      <c r="H429" s="566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557"/>
      <c r="P429" s="557"/>
      <c r="Q429" s="557"/>
      <c r="R429" s="557"/>
      <c r="S429" s="557"/>
      <c r="T429" s="557"/>
      <c r="U429" s="557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58" t="s">
        <v>217</v>
      </c>
      <c r="C430" s="126" t="s">
        <v>186</v>
      </c>
      <c r="D430" s="108">
        <v>5.03</v>
      </c>
      <c r="E430" s="108"/>
      <c r="F430" s="127"/>
      <c r="G430" s="108"/>
      <c r="H430" s="566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557"/>
      <c r="P430" s="557"/>
      <c r="Q430" s="557"/>
      <c r="R430" s="557"/>
      <c r="S430" s="557"/>
      <c r="T430" s="557"/>
      <c r="U430" s="55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58" t="s">
        <v>217</v>
      </c>
      <c r="C431" s="126" t="s">
        <v>204</v>
      </c>
      <c r="D431" s="108">
        <v>5.03</v>
      </c>
      <c r="E431" s="108"/>
      <c r="F431" s="127"/>
      <c r="G431" s="108"/>
      <c r="H431" s="566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557"/>
      <c r="P431" s="557"/>
      <c r="Q431" s="557"/>
      <c r="R431" s="557"/>
      <c r="S431" s="557"/>
      <c r="T431" s="557"/>
      <c r="U431" s="55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08"/>
      <c r="H432" s="566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557"/>
      <c r="P432" s="557"/>
      <c r="Q432" s="557"/>
      <c r="R432" s="557"/>
      <c r="S432" s="557"/>
      <c r="T432" s="557"/>
      <c r="U432" s="55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42749</v>
      </c>
      <c r="G433" s="108">
        <f>108+81+66+15</f>
        <v>270</v>
      </c>
      <c r="H433" s="566">
        <f t="shared" si="196"/>
        <v>1358.1000000000001</v>
      </c>
      <c r="I433" s="129">
        <v>25</v>
      </c>
      <c r="J433" s="130">
        <f t="array" ref="J433">IF(ISERROR(G433/I433),"",G433/I433)</f>
        <v>10.8</v>
      </c>
      <c r="K433" s="131">
        <f t="array" ref="K433">IF(ISERROR(G433/L433),"",G433/L433)</f>
        <v>29.032258064516128</v>
      </c>
      <c r="L433" s="129">
        <v>9.3000000000000007</v>
      </c>
      <c r="M433" s="109">
        <f t="shared" si="197"/>
        <v>-4.0322580645161281</v>
      </c>
      <c r="N433" s="130">
        <f t="shared" si="198"/>
        <v>0</v>
      </c>
      <c r="O433" s="557"/>
      <c r="P433" s="557"/>
      <c r="Q433" s="557"/>
      <c r="R433" s="557"/>
      <c r="S433" s="557"/>
      <c r="T433" s="557"/>
      <c r="U433" s="557"/>
      <c r="V433" s="132">
        <f t="shared" si="199"/>
        <v>0</v>
      </c>
      <c r="W433" s="133">
        <f t="shared" si="195"/>
        <v>0</v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42748</v>
      </c>
      <c r="G434" s="108">
        <f>108+46+73+60+113+108+109</f>
        <v>617</v>
      </c>
      <c r="H434" s="566">
        <f t="shared" si="196"/>
        <v>3103.51</v>
      </c>
      <c r="I434" s="129">
        <v>65</v>
      </c>
      <c r="J434" s="130">
        <f t="array" ref="J434">IF(ISERROR(G434/I434),"",G434/I434)</f>
        <v>9.4923076923076923</v>
      </c>
      <c r="K434" s="131">
        <f t="array" ref="K434">IF(ISERROR(G434/L434),"",G434/L434)</f>
        <v>66.344086021505376</v>
      </c>
      <c r="L434" s="129">
        <v>9.3000000000000007</v>
      </c>
      <c r="M434" s="109">
        <f t="shared" si="197"/>
        <v>-1.344086021505376</v>
      </c>
      <c r="N434" s="130">
        <f t="shared" si="198"/>
        <v>0</v>
      </c>
      <c r="O434" s="557"/>
      <c r="P434" s="557"/>
      <c r="Q434" s="557"/>
      <c r="R434" s="557"/>
      <c r="S434" s="557"/>
      <c r="T434" s="557"/>
      <c r="U434" s="557"/>
      <c r="V434" s="132">
        <f t="shared" si="199"/>
        <v>0</v>
      </c>
      <c r="W434" s="133">
        <f t="shared" si="195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08"/>
      <c r="H435" s="566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557"/>
      <c r="P435" s="557"/>
      <c r="Q435" s="557"/>
      <c r="R435" s="557"/>
      <c r="S435" s="557"/>
      <c r="T435" s="557"/>
      <c r="U435" s="557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08"/>
      <c r="H436" s="566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557"/>
      <c r="P436" s="557"/>
      <c r="Q436" s="557"/>
      <c r="R436" s="557"/>
      <c r="S436" s="557"/>
      <c r="T436" s="557"/>
      <c r="U436" s="557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08"/>
      <c r="H437" s="566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57"/>
      <c r="P437" s="557"/>
      <c r="Q437" s="557"/>
      <c r="R437" s="557"/>
      <c r="S437" s="557"/>
      <c r="T437" s="557"/>
      <c r="U437" s="55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08"/>
      <c r="H438" s="566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57"/>
      <c r="P438" s="557"/>
      <c r="Q438" s="557"/>
      <c r="R438" s="557"/>
      <c r="S438" s="557"/>
      <c r="T438" s="557"/>
      <c r="U438" s="55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08"/>
      <c r="H439" s="566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57"/>
      <c r="P439" s="557"/>
      <c r="Q439" s="557"/>
      <c r="R439" s="557"/>
      <c r="S439" s="557"/>
      <c r="T439" s="557"/>
      <c r="U439" s="557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08"/>
      <c r="H440" s="566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57"/>
      <c r="P440" s="557"/>
      <c r="Q440" s="557"/>
      <c r="R440" s="557"/>
      <c r="S440" s="557"/>
      <c r="T440" s="557"/>
      <c r="U440" s="557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08"/>
      <c r="H441" s="566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557"/>
      <c r="P441" s="557"/>
      <c r="Q441" s="557"/>
      <c r="R441" s="557"/>
      <c r="S441" s="557"/>
      <c r="T441" s="557"/>
      <c r="U441" s="557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08"/>
      <c r="H442" s="566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557"/>
      <c r="P442" s="557"/>
      <c r="Q442" s="557"/>
      <c r="R442" s="557"/>
      <c r="S442" s="557"/>
      <c r="T442" s="557"/>
      <c r="U442" s="55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08"/>
      <c r="H443" s="566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557"/>
      <c r="P443" s="557"/>
      <c r="Q443" s="557"/>
      <c r="R443" s="557"/>
      <c r="S443" s="557"/>
      <c r="T443" s="557"/>
      <c r="U443" s="557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08"/>
      <c r="H444" s="566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557"/>
      <c r="P444" s="557"/>
      <c r="Q444" s="557"/>
      <c r="R444" s="557"/>
      <c r="S444" s="557"/>
      <c r="T444" s="557"/>
      <c r="U444" s="557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58" t="s">
        <v>222</v>
      </c>
      <c r="C445" s="126" t="s">
        <v>181</v>
      </c>
      <c r="D445" s="108">
        <v>9.36</v>
      </c>
      <c r="E445" s="108"/>
      <c r="F445" s="127"/>
      <c r="G445" s="108"/>
      <c r="H445" s="566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557"/>
      <c r="P445" s="557"/>
      <c r="Q445" s="557"/>
      <c r="R445" s="557"/>
      <c r="S445" s="557"/>
      <c r="T445" s="557"/>
      <c r="U445" s="557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58" t="s">
        <v>222</v>
      </c>
      <c r="C446" s="126" t="s">
        <v>179</v>
      </c>
      <c r="D446" s="108">
        <v>9.36</v>
      </c>
      <c r="E446" s="108"/>
      <c r="F446" s="127"/>
      <c r="G446" s="108"/>
      <c r="H446" s="566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557"/>
      <c r="P446" s="557"/>
      <c r="Q446" s="557"/>
      <c r="R446" s="557"/>
      <c r="S446" s="557"/>
      <c r="T446" s="557"/>
      <c r="U446" s="55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58" t="s">
        <v>222</v>
      </c>
      <c r="C447" s="126" t="s">
        <v>221</v>
      </c>
      <c r="D447" s="108">
        <v>9.36</v>
      </c>
      <c r="E447" s="108"/>
      <c r="F447" s="127"/>
      <c r="G447" s="108"/>
      <c r="H447" s="566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557"/>
      <c r="P447" s="557"/>
      <c r="Q447" s="557"/>
      <c r="R447" s="557"/>
      <c r="S447" s="557"/>
      <c r="T447" s="557"/>
      <c r="U447" s="557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58" t="s">
        <v>222</v>
      </c>
      <c r="C448" s="126" t="s">
        <v>186</v>
      </c>
      <c r="D448" s="108">
        <v>9.36</v>
      </c>
      <c r="E448" s="108"/>
      <c r="F448" s="127"/>
      <c r="G448" s="108"/>
      <c r="H448" s="566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557"/>
      <c r="P448" s="557"/>
      <c r="Q448" s="557"/>
      <c r="R448" s="557"/>
      <c r="S448" s="557"/>
      <c r="T448" s="557"/>
      <c r="U448" s="557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558" t="s">
        <v>393</v>
      </c>
      <c r="C449" s="187" t="s">
        <v>395</v>
      </c>
      <c r="D449" s="108">
        <v>5</v>
      </c>
      <c r="E449" s="108"/>
      <c r="F449" s="127">
        <v>42747</v>
      </c>
      <c r="G449" s="108">
        <f>90*2</f>
        <v>180</v>
      </c>
      <c r="H449" s="566">
        <f t="shared" si="196"/>
        <v>900</v>
      </c>
      <c r="I449" s="129">
        <v>35</v>
      </c>
      <c r="J449" s="130"/>
      <c r="K449" s="131">
        <f t="array" ref="K449">IF(ISERROR(G449/L449),"",G449/L449)</f>
        <v>36</v>
      </c>
      <c r="L449" s="129">
        <v>5</v>
      </c>
      <c r="M449" s="109">
        <f t="shared" si="200"/>
        <v>-1</v>
      </c>
      <c r="N449" s="130">
        <f t="shared" si="201"/>
        <v>0</v>
      </c>
      <c r="O449" s="557"/>
      <c r="P449" s="557"/>
      <c r="Q449" s="557"/>
      <c r="R449" s="557"/>
      <c r="S449" s="557"/>
      <c r="T449" s="557"/>
      <c r="U449" s="55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58" t="s">
        <v>393</v>
      </c>
      <c r="C450" s="187" t="s">
        <v>402</v>
      </c>
      <c r="D450" s="108">
        <v>5</v>
      </c>
      <c r="E450" s="108"/>
      <c r="F450" s="127"/>
      <c r="G450" s="108"/>
      <c r="H450" s="566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557"/>
      <c r="P450" s="557"/>
      <c r="Q450" s="557"/>
      <c r="R450" s="557"/>
      <c r="S450" s="557"/>
      <c r="T450" s="557"/>
      <c r="U450" s="55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58" t="s">
        <v>404</v>
      </c>
      <c r="C451" s="187" t="s">
        <v>405</v>
      </c>
      <c r="D451" s="108">
        <v>5</v>
      </c>
      <c r="E451" s="108"/>
      <c r="F451" s="127"/>
      <c r="G451" s="108"/>
      <c r="H451" s="566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557"/>
      <c r="P451" s="557"/>
      <c r="Q451" s="557"/>
      <c r="R451" s="557"/>
      <c r="S451" s="557"/>
      <c r="T451" s="557"/>
      <c r="U451" s="55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58" t="s">
        <v>342</v>
      </c>
      <c r="C452" s="187" t="s">
        <v>372</v>
      </c>
      <c r="D452" s="108">
        <v>5</v>
      </c>
      <c r="E452" s="108"/>
      <c r="F452" s="127"/>
      <c r="G452" s="108"/>
      <c r="H452" s="566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557"/>
      <c r="P452" s="557"/>
      <c r="Q452" s="557"/>
      <c r="R452" s="557"/>
      <c r="S452" s="557"/>
      <c r="T452" s="557"/>
      <c r="U452" s="55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58" t="s">
        <v>343</v>
      </c>
      <c r="C453" s="126" t="s">
        <v>345</v>
      </c>
      <c r="D453" s="108">
        <v>5</v>
      </c>
      <c r="E453" s="108"/>
      <c r="F453" s="127"/>
      <c r="G453" s="108"/>
      <c r="H453" s="566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557"/>
      <c r="P453" s="557"/>
      <c r="Q453" s="557"/>
      <c r="R453" s="557"/>
      <c r="S453" s="557"/>
      <c r="T453" s="557"/>
      <c r="U453" s="557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58" t="s">
        <v>343</v>
      </c>
      <c r="C454" s="126" t="s">
        <v>347</v>
      </c>
      <c r="D454" s="108">
        <v>5</v>
      </c>
      <c r="E454" s="108"/>
      <c r="F454" s="127"/>
      <c r="G454" s="108"/>
      <c r="H454" s="566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557"/>
      <c r="P454" s="557"/>
      <c r="Q454" s="557"/>
      <c r="R454" s="557"/>
      <c r="S454" s="557"/>
      <c r="T454" s="557"/>
      <c r="U454" s="557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08"/>
      <c r="H455" s="566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557"/>
      <c r="P455" s="557"/>
      <c r="Q455" s="557"/>
      <c r="R455" s="557"/>
      <c r="S455" s="557"/>
      <c r="T455" s="557"/>
      <c r="U455" s="557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08"/>
      <c r="H456" s="566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557"/>
      <c r="P456" s="557"/>
      <c r="Q456" s="557"/>
      <c r="R456" s="557"/>
      <c r="S456" s="557"/>
      <c r="T456" s="557"/>
      <c r="U456" s="557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08"/>
      <c r="H457" s="566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557"/>
      <c r="P457" s="557"/>
      <c r="Q457" s="557"/>
      <c r="R457" s="557"/>
      <c r="S457" s="557"/>
      <c r="T457" s="557"/>
      <c r="U457" s="55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08"/>
      <c r="H458" s="566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557"/>
      <c r="P458" s="557"/>
      <c r="Q458" s="557"/>
      <c r="R458" s="557"/>
      <c r="S458" s="557"/>
      <c r="T458" s="557"/>
      <c r="U458" s="557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08"/>
      <c r="H459" s="566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557"/>
      <c r="P459" s="557"/>
      <c r="Q459" s="557"/>
      <c r="R459" s="557"/>
      <c r="S459" s="557"/>
      <c r="T459" s="557"/>
      <c r="U459" s="557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08"/>
      <c r="H460" s="566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557"/>
      <c r="P460" s="557"/>
      <c r="Q460" s="557"/>
      <c r="R460" s="557"/>
      <c r="S460" s="557"/>
      <c r="T460" s="557"/>
      <c r="U460" s="557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08"/>
      <c r="H461" s="566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557"/>
      <c r="P461" s="557"/>
      <c r="Q461" s="557"/>
      <c r="R461" s="557"/>
      <c r="S461" s="557"/>
      <c r="T461" s="557"/>
      <c r="U461" s="557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08"/>
      <c r="H462" s="566">
        <f t="shared" si="196"/>
        <v>0</v>
      </c>
      <c r="I462" s="129"/>
      <c r="J462" s="130" t="str">
        <f t="array" ref="J462">IF(ISERROR(G462/I462),"",G462/I462)</f>
        <v/>
      </c>
      <c r="K462" s="566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557"/>
      <c r="P462" s="557"/>
      <c r="Q462" s="557"/>
      <c r="R462" s="557"/>
      <c r="S462" s="557"/>
      <c r="T462" s="557"/>
      <c r="U462" s="557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564" t="s">
        <v>202</v>
      </c>
      <c r="D463" s="143"/>
      <c r="E463" s="143"/>
      <c r="F463" s="144"/>
      <c r="G463" s="143">
        <f>SUM(G429:G462)</f>
        <v>1067</v>
      </c>
      <c r="H463" s="146">
        <f>SUM(H429:H462)</f>
        <v>5361.6100000000006</v>
      </c>
      <c r="I463" s="146">
        <f>SUM(I429:I462)</f>
        <v>125</v>
      </c>
      <c r="J463" s="130">
        <f t="array" ref="J463">IF(ISERROR(G463/I463),"",G463/I463)</f>
        <v>8.5359999999999996</v>
      </c>
      <c r="K463" s="146">
        <f>SUM(K429:K462)</f>
        <v>131.3763440860215</v>
      </c>
      <c r="L463" s="147"/>
      <c r="M463" s="150">
        <f t="shared" ref="M463:V463" si="210">SUM(M429:M462)</f>
        <v>-6.3763440860215042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>
        <f t="shared" si="209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08"/>
      <c r="H464" s="566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557"/>
      <c r="P464" s="557"/>
      <c r="Q464" s="557"/>
      <c r="R464" s="557"/>
      <c r="S464" s="557"/>
      <c r="T464" s="557"/>
      <c r="U464" s="557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08"/>
      <c r="H465" s="566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557"/>
      <c r="P465" s="557"/>
      <c r="Q465" s="557"/>
      <c r="R465" s="557"/>
      <c r="S465" s="557"/>
      <c r="T465" s="557"/>
      <c r="U465" s="55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08"/>
      <c r="H466" s="566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557"/>
      <c r="P466" s="557"/>
      <c r="Q466" s="557"/>
      <c r="R466" s="557"/>
      <c r="S466" s="557"/>
      <c r="T466" s="557"/>
      <c r="U466" s="55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08"/>
      <c r="H467" s="566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557"/>
      <c r="P467" s="557"/>
      <c r="Q467" s="557"/>
      <c r="R467" s="557"/>
      <c r="S467" s="557"/>
      <c r="T467" s="557"/>
      <c r="U467" s="55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62" t="s">
        <v>203</v>
      </c>
      <c r="D468" s="108">
        <v>5.03</v>
      </c>
      <c r="E468" s="108"/>
      <c r="F468" s="127"/>
      <c r="G468" s="108"/>
      <c r="H468" s="566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557"/>
      <c r="P468" s="557"/>
      <c r="Q468" s="557"/>
      <c r="R468" s="557"/>
      <c r="S468" s="557"/>
      <c r="T468" s="557"/>
      <c r="U468" s="55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08"/>
      <c r="H469" s="566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557"/>
      <c r="P469" s="557"/>
      <c r="Q469" s="557"/>
      <c r="R469" s="557"/>
      <c r="S469" s="557"/>
      <c r="T469" s="557"/>
      <c r="U469" s="55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08"/>
      <c r="H470" s="566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557"/>
      <c r="P470" s="557"/>
      <c r="Q470" s="557"/>
      <c r="R470" s="557"/>
      <c r="S470" s="557"/>
      <c r="T470" s="557"/>
      <c r="U470" s="55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62" t="s">
        <v>228</v>
      </c>
      <c r="D471" s="108">
        <v>5.03</v>
      </c>
      <c r="E471" s="108"/>
      <c r="F471" s="127"/>
      <c r="G471" s="108"/>
      <c r="H471" s="566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557"/>
      <c r="P471" s="557"/>
      <c r="Q471" s="557"/>
      <c r="R471" s="557"/>
      <c r="S471" s="557"/>
      <c r="T471" s="557"/>
      <c r="U471" s="55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62" t="s">
        <v>212</v>
      </c>
      <c r="D472" s="108">
        <v>5.03</v>
      </c>
      <c r="E472" s="108"/>
      <c r="F472" s="127"/>
      <c r="G472" s="108"/>
      <c r="H472" s="566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557"/>
      <c r="P472" s="557"/>
      <c r="Q472" s="557"/>
      <c r="R472" s="557"/>
      <c r="S472" s="557"/>
      <c r="T472" s="557"/>
      <c r="U472" s="55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62" t="s">
        <v>203</v>
      </c>
      <c r="D473" s="108">
        <v>5.03</v>
      </c>
      <c r="E473" s="108"/>
      <c r="F473" s="127"/>
      <c r="G473" s="108"/>
      <c r="H473" s="566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557"/>
      <c r="P473" s="557"/>
      <c r="Q473" s="557"/>
      <c r="R473" s="557"/>
      <c r="S473" s="557"/>
      <c r="T473" s="557"/>
      <c r="U473" s="55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62" t="s">
        <v>186</v>
      </c>
      <c r="D474" s="108">
        <v>5.03</v>
      </c>
      <c r="E474" s="108"/>
      <c r="F474" s="127"/>
      <c r="G474" s="108"/>
      <c r="H474" s="566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557"/>
      <c r="P474" s="557"/>
      <c r="Q474" s="557"/>
      <c r="R474" s="557"/>
      <c r="S474" s="557"/>
      <c r="T474" s="557"/>
      <c r="U474" s="55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62" t="s">
        <v>228</v>
      </c>
      <c r="D475" s="108">
        <v>5.03</v>
      </c>
      <c r="E475" s="108"/>
      <c r="F475" s="127"/>
      <c r="G475" s="108"/>
      <c r="H475" s="566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557"/>
      <c r="P475" s="557"/>
      <c r="Q475" s="557"/>
      <c r="R475" s="557"/>
      <c r="S475" s="557"/>
      <c r="T475" s="557"/>
      <c r="U475" s="55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62" t="s">
        <v>199</v>
      </c>
      <c r="D476" s="108">
        <v>5.03</v>
      </c>
      <c r="E476" s="108"/>
      <c r="F476" s="127"/>
      <c r="G476" s="108"/>
      <c r="H476" s="566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557"/>
      <c r="P476" s="557"/>
      <c r="Q476" s="557"/>
      <c r="R476" s="557"/>
      <c r="S476" s="557"/>
      <c r="T476" s="557"/>
      <c r="U476" s="55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08"/>
      <c r="H477" s="566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557"/>
      <c r="P477" s="557"/>
      <c r="Q477" s="557"/>
      <c r="R477" s="557"/>
      <c r="S477" s="557"/>
      <c r="T477" s="557"/>
      <c r="U477" s="557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08"/>
      <c r="H478" s="566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557"/>
      <c r="P478" s="557"/>
      <c r="Q478" s="557"/>
      <c r="R478" s="557"/>
      <c r="S478" s="557"/>
      <c r="T478" s="557"/>
      <c r="U478" s="557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564" t="s">
        <v>202</v>
      </c>
      <c r="D479" s="143"/>
      <c r="E479" s="143"/>
      <c r="F479" s="144"/>
      <c r="G479" s="143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08"/>
      <c r="H480" s="566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557"/>
      <c r="P480" s="557"/>
      <c r="Q480" s="557"/>
      <c r="R480" s="557"/>
      <c r="S480" s="557"/>
      <c r="T480" s="557"/>
      <c r="U480" s="557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08"/>
      <c r="H481" s="566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557"/>
      <c r="P481" s="557"/>
      <c r="Q481" s="557"/>
      <c r="R481" s="557"/>
      <c r="S481" s="557"/>
      <c r="T481" s="557"/>
      <c r="U481" s="55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08"/>
      <c r="H482" s="566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557"/>
      <c r="P482" s="557"/>
      <c r="Q482" s="557"/>
      <c r="R482" s="557"/>
      <c r="S482" s="557"/>
      <c r="T482" s="557"/>
      <c r="U482" s="55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08"/>
      <c r="H483" s="566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557"/>
      <c r="P483" s="557"/>
      <c r="Q483" s="557"/>
      <c r="R483" s="557"/>
      <c r="S483" s="557"/>
      <c r="T483" s="557"/>
      <c r="U483" s="557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08"/>
      <c r="H484" s="566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557"/>
      <c r="P484" s="557"/>
      <c r="Q484" s="557"/>
      <c r="R484" s="557"/>
      <c r="S484" s="557"/>
      <c r="T484" s="557"/>
      <c r="U484" s="557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08"/>
      <c r="H485" s="56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557"/>
      <c r="P485" s="557"/>
      <c r="Q485" s="557"/>
      <c r="R485" s="557"/>
      <c r="S485" s="557"/>
      <c r="T485" s="557"/>
      <c r="U485" s="55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08"/>
      <c r="H486" s="566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557"/>
      <c r="P486" s="557"/>
      <c r="Q486" s="557"/>
      <c r="R486" s="557"/>
      <c r="S486" s="557"/>
      <c r="T486" s="557"/>
      <c r="U486" s="557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08"/>
      <c r="H487" s="566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557"/>
      <c r="P487" s="557"/>
      <c r="Q487" s="557"/>
      <c r="R487" s="557"/>
      <c r="S487" s="557"/>
      <c r="T487" s="557"/>
      <c r="U487" s="557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08"/>
      <c r="H488" s="566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557"/>
      <c r="P488" s="557"/>
      <c r="Q488" s="557"/>
      <c r="R488" s="557"/>
      <c r="S488" s="557"/>
      <c r="T488" s="557"/>
      <c r="U488" s="557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08"/>
      <c r="H489" s="566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557"/>
      <c r="P489" s="557"/>
      <c r="Q489" s="557"/>
      <c r="R489" s="557"/>
      <c r="S489" s="557"/>
      <c r="T489" s="557"/>
      <c r="U489" s="557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564" t="s">
        <v>202</v>
      </c>
      <c r="D490" s="143"/>
      <c r="E490" s="143"/>
      <c r="F490" s="144"/>
      <c r="G490" s="143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56"/>
      <c r="D491" s="108">
        <v>3.65</v>
      </c>
      <c r="E491" s="108"/>
      <c r="F491" s="153"/>
      <c r="G491" s="108"/>
      <c r="H491" s="566">
        <f t="shared" ref="H491:H505" si="223">D491*G491</f>
        <v>0</v>
      </c>
      <c r="I491" s="129"/>
      <c r="J491" s="130" t="str">
        <f t="array" ref="J491">IF(ISERROR(G491/I491),"",G491/I491)</f>
        <v/>
      </c>
      <c r="K491" s="566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557"/>
      <c r="P491" s="557"/>
      <c r="Q491" s="557"/>
      <c r="R491" s="557"/>
      <c r="S491" s="557"/>
      <c r="T491" s="557"/>
      <c r="U491" s="557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56"/>
      <c r="D492" s="108">
        <v>6.58</v>
      </c>
      <c r="E492" s="108"/>
      <c r="F492" s="127"/>
      <c r="G492" s="108"/>
      <c r="H492" s="566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557"/>
      <c r="P492" s="557"/>
      <c r="Q492" s="557"/>
      <c r="R492" s="557"/>
      <c r="S492" s="557"/>
      <c r="T492" s="557"/>
      <c r="U492" s="557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56"/>
      <c r="D493" s="108">
        <v>7.8</v>
      </c>
      <c r="E493" s="108"/>
      <c r="F493" s="127"/>
      <c r="G493" s="108"/>
      <c r="H493" s="566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557"/>
      <c r="P493" s="557"/>
      <c r="Q493" s="557"/>
      <c r="R493" s="557"/>
      <c r="S493" s="557"/>
      <c r="T493" s="557"/>
      <c r="U493" s="557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56"/>
      <c r="D494" s="108">
        <v>4.4000000000000004</v>
      </c>
      <c r="E494" s="108"/>
      <c r="F494" s="127"/>
      <c r="G494" s="108"/>
      <c r="H494" s="566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557"/>
      <c r="P494" s="557"/>
      <c r="Q494" s="557"/>
      <c r="R494" s="557"/>
      <c r="S494" s="557"/>
      <c r="T494" s="557"/>
      <c r="U494" s="557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08"/>
      <c r="H495" s="566">
        <f t="shared" si="223"/>
        <v>0</v>
      </c>
      <c r="I495" s="129"/>
      <c r="J495" s="130"/>
      <c r="K495" s="131"/>
      <c r="L495" s="129"/>
      <c r="M495" s="109"/>
      <c r="N495" s="130"/>
      <c r="O495" s="557"/>
      <c r="P495" s="557"/>
      <c r="Q495" s="557"/>
      <c r="R495" s="557"/>
      <c r="S495" s="557"/>
      <c r="T495" s="557"/>
      <c r="U495" s="557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56"/>
      <c r="D496" s="108"/>
      <c r="E496" s="108"/>
      <c r="F496" s="127"/>
      <c r="G496" s="108"/>
      <c r="H496" s="566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557"/>
      <c r="P496" s="557"/>
      <c r="Q496" s="557"/>
      <c r="R496" s="557"/>
      <c r="S496" s="557"/>
      <c r="T496" s="557"/>
      <c r="U496" s="55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56" t="s">
        <v>239</v>
      </c>
      <c r="C497" s="556" t="s">
        <v>179</v>
      </c>
      <c r="D497" s="108">
        <v>6.04</v>
      </c>
      <c r="E497" s="108"/>
      <c r="F497" s="127"/>
      <c r="G497" s="108"/>
      <c r="H497" s="566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557"/>
      <c r="P497" s="557"/>
      <c r="Q497" s="557"/>
      <c r="R497" s="557"/>
      <c r="S497" s="557"/>
      <c r="T497" s="557"/>
      <c r="U497" s="557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56" t="s">
        <v>239</v>
      </c>
      <c r="C498" s="556" t="s">
        <v>186</v>
      </c>
      <c r="D498" s="108">
        <v>6.04</v>
      </c>
      <c r="E498" s="108"/>
      <c r="F498" s="127"/>
      <c r="G498" s="108"/>
      <c r="H498" s="566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557"/>
      <c r="P498" s="557"/>
      <c r="Q498" s="557"/>
      <c r="R498" s="557"/>
      <c r="S498" s="557"/>
      <c r="T498" s="557"/>
      <c r="U498" s="557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56" t="s">
        <v>443</v>
      </c>
      <c r="C499" s="556" t="s">
        <v>179</v>
      </c>
      <c r="D499" s="108"/>
      <c r="E499" s="108"/>
      <c r="F499" s="127"/>
      <c r="G499" s="108"/>
      <c r="H499" s="566">
        <f t="shared" si="223"/>
        <v>0</v>
      </c>
      <c r="I499" s="129"/>
      <c r="J499" s="130"/>
      <c r="K499" s="131"/>
      <c r="L499" s="129"/>
      <c r="M499" s="109"/>
      <c r="N499" s="130"/>
      <c r="O499" s="557"/>
      <c r="P499" s="557"/>
      <c r="Q499" s="557"/>
      <c r="R499" s="557"/>
      <c r="S499" s="557"/>
      <c r="T499" s="557"/>
      <c r="U499" s="55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56" t="s">
        <v>443</v>
      </c>
      <c r="C500" s="556" t="s">
        <v>186</v>
      </c>
      <c r="D500" s="108"/>
      <c r="E500" s="108"/>
      <c r="F500" s="127"/>
      <c r="G500" s="108"/>
      <c r="H500" s="566">
        <f t="shared" si="223"/>
        <v>0</v>
      </c>
      <c r="I500" s="129"/>
      <c r="J500" s="130"/>
      <c r="K500" s="131"/>
      <c r="L500" s="129"/>
      <c r="M500" s="109"/>
      <c r="N500" s="130"/>
      <c r="O500" s="557"/>
      <c r="P500" s="557"/>
      <c r="Q500" s="557"/>
      <c r="R500" s="557"/>
      <c r="S500" s="557"/>
      <c r="T500" s="557"/>
      <c r="U500" s="55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58" t="s">
        <v>240</v>
      </c>
      <c r="C501" s="126"/>
      <c r="D501" s="108">
        <v>7.3</v>
      </c>
      <c r="E501" s="108"/>
      <c r="F501" s="127"/>
      <c r="G501" s="108"/>
      <c r="H501" s="566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557"/>
      <c r="P501" s="557"/>
      <c r="Q501" s="557"/>
      <c r="R501" s="557"/>
      <c r="S501" s="557"/>
      <c r="T501" s="557"/>
      <c r="U501" s="557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58" t="s">
        <v>241</v>
      </c>
      <c r="C502" s="126"/>
      <c r="D502" s="108">
        <f>78*120/1000</f>
        <v>9.36</v>
      </c>
      <c r="E502" s="108"/>
      <c r="F502" s="127"/>
      <c r="G502" s="108"/>
      <c r="H502" s="566">
        <f t="shared" si="223"/>
        <v>0</v>
      </c>
      <c r="I502" s="129"/>
      <c r="J502" s="130"/>
      <c r="K502" s="131"/>
      <c r="L502" s="129"/>
      <c r="M502" s="109"/>
      <c r="N502" s="130"/>
      <c r="O502" s="557"/>
      <c r="P502" s="557"/>
      <c r="Q502" s="557"/>
      <c r="R502" s="557"/>
      <c r="S502" s="557"/>
      <c r="T502" s="557"/>
      <c r="U502" s="55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58" t="s">
        <v>242</v>
      </c>
      <c r="C503" s="126"/>
      <c r="D503" s="108">
        <v>4.5</v>
      </c>
      <c r="E503" s="108"/>
      <c r="F503" s="127"/>
      <c r="G503" s="108"/>
      <c r="H503" s="566">
        <f t="shared" si="223"/>
        <v>0</v>
      </c>
      <c r="I503" s="129"/>
      <c r="J503" s="130"/>
      <c r="K503" s="131"/>
      <c r="L503" s="129"/>
      <c r="M503" s="109"/>
      <c r="N503" s="130"/>
      <c r="O503" s="557"/>
      <c r="P503" s="557"/>
      <c r="Q503" s="557"/>
      <c r="R503" s="557"/>
      <c r="S503" s="557"/>
      <c r="T503" s="557"/>
      <c r="U503" s="557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58" t="s">
        <v>243</v>
      </c>
      <c r="C504" s="126"/>
      <c r="D504" s="108">
        <v>4.5</v>
      </c>
      <c r="E504" s="108"/>
      <c r="F504" s="127"/>
      <c r="G504" s="108"/>
      <c r="H504" s="566">
        <f t="shared" si="223"/>
        <v>0</v>
      </c>
      <c r="I504" s="129"/>
      <c r="J504" s="130"/>
      <c r="K504" s="131"/>
      <c r="L504" s="129"/>
      <c r="M504" s="109"/>
      <c r="N504" s="130"/>
      <c r="O504" s="557"/>
      <c r="P504" s="557"/>
      <c r="Q504" s="557"/>
      <c r="R504" s="557"/>
      <c r="S504" s="557"/>
      <c r="T504" s="557"/>
      <c r="U504" s="557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58"/>
      <c r="C505" s="126"/>
      <c r="D505" s="108"/>
      <c r="E505" s="108"/>
      <c r="F505" s="127"/>
      <c r="G505" s="108"/>
      <c r="H505" s="566">
        <f t="shared" si="223"/>
        <v>0</v>
      </c>
      <c r="I505" s="129"/>
      <c r="J505" s="130"/>
      <c r="K505" s="131"/>
      <c r="L505" s="129"/>
      <c r="M505" s="109"/>
      <c r="N505" s="130"/>
      <c r="O505" s="557"/>
      <c r="P505" s="557"/>
      <c r="Q505" s="557"/>
      <c r="R505" s="557"/>
      <c r="S505" s="557"/>
      <c r="T505" s="557"/>
      <c r="U505" s="557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564" t="s">
        <v>202</v>
      </c>
      <c r="D506" s="143"/>
      <c r="E506" s="143"/>
      <c r="F506" s="144"/>
      <c r="G506" s="143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553">
        <f>SUM(G370,G428,G463,G479,G490,G506)</f>
        <v>1067</v>
      </c>
      <c r="H507" s="154">
        <f>SUM(H370,H428,H463,H479,H490,H506)</f>
        <v>5361.6100000000006</v>
      </c>
      <c r="I507" s="154">
        <f>SUM(I370,I428,I463,I479,I490,I506)</f>
        <v>125</v>
      </c>
      <c r="J507" s="155">
        <f t="array" ref="J507">IF(ISERROR(G507/I507),"",G507/I507)</f>
        <v>8.5359999999999996</v>
      </c>
      <c r="K507" s="154">
        <f>SUM(K370,K428,K463,K479,K490,K506)</f>
        <v>131.3763440860215</v>
      </c>
      <c r="L507" s="155">
        <f>IF(ISERROR(G507/K507),"",G507/K507)</f>
        <v>8.1217056801440499</v>
      </c>
      <c r="M507" s="154">
        <f t="shared" ref="M507:V507" si="236">SUM(M370,M428,M463,M479,M490,M506)</f>
        <v>-6.3763440860215042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>
        <f t="shared" ref="W507" si="237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563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563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563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563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563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563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563">
        <f>G507</f>
        <v>1067</v>
      </c>
      <c r="C514" s="638" t="s">
        <v>269</v>
      </c>
      <c r="D514" s="639"/>
      <c r="E514" s="631">
        <f>H507</f>
        <v>5361.6100000000006</v>
      </c>
      <c r="F514" s="631"/>
      <c r="G514" s="631" t="s">
        <v>270</v>
      </c>
      <c r="H514" s="631"/>
      <c r="I514" s="640">
        <f>L507</f>
        <v>8.1217056801440499</v>
      </c>
      <c r="J514" s="640"/>
      <c r="K514" s="628" t="s">
        <v>271</v>
      </c>
      <c r="L514" s="628"/>
      <c r="M514" s="640">
        <f>J507</f>
        <v>8.5359999999999996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563">
        <f>I507+C513</f>
        <v>126</v>
      </c>
      <c r="C515" s="641" t="s">
        <v>251</v>
      </c>
      <c r="D515" s="642"/>
      <c r="E515" s="643">
        <f>K507+I513</f>
        <v>142.3763440860215</v>
      </c>
      <c r="F515" s="643"/>
      <c r="G515" s="631" t="s">
        <v>274</v>
      </c>
      <c r="H515" s="631"/>
      <c r="I515" s="640">
        <f>B515-E515</f>
        <v>-16.376344086021504</v>
      </c>
      <c r="J515" s="640"/>
      <c r="K515" s="628" t="s">
        <v>275</v>
      </c>
      <c r="L515" s="628"/>
      <c r="M515" s="632">
        <f>IF(ISERROR(I515/E515),"",I515/E515)</f>
        <v>-0.11502152405407445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563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56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2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12884</v>
      </c>
      <c r="D519" s="627"/>
      <c r="E519" s="673" t="s">
        <v>269</v>
      </c>
      <c r="F519" s="673"/>
      <c r="G519" s="643">
        <f>SUM(E171,E342,E514)</f>
        <v>65247.640000000007</v>
      </c>
      <c r="H519" s="643"/>
      <c r="I519" s="631" t="s">
        <v>270</v>
      </c>
      <c r="J519" s="673"/>
      <c r="K519" s="626">
        <f>IF(ISERROR(C519/G520),"",C519/G520)</f>
        <v>15.383404824596193</v>
      </c>
      <c r="L519" s="627"/>
      <c r="M519" s="631" t="s">
        <v>271</v>
      </c>
      <c r="N519" s="631"/>
      <c r="O519" s="668">
        <f t="array" ref="O519">IF(ISERROR(C519/C520),"",C519/C520)</f>
        <v>17.457994579945801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738</v>
      </c>
      <c r="D520" s="627"/>
      <c r="E520" s="631" t="s">
        <v>251</v>
      </c>
      <c r="F520" s="631"/>
      <c r="G520" s="643">
        <f>SUM(E172,E343,E515)</f>
        <v>837.52590189917203</v>
      </c>
      <c r="H520" s="643"/>
      <c r="I520" s="641" t="s">
        <v>274</v>
      </c>
      <c r="J520" s="642"/>
      <c r="K520" s="638">
        <f>C520-G520</f>
        <v>-99.525901899172027</v>
      </c>
      <c r="L520" s="639"/>
      <c r="M520" s="638" t="s">
        <v>275</v>
      </c>
      <c r="N520" s="639"/>
      <c r="O520" s="671">
        <f>IF(ISERROR(K520/C520),"",K520/C520)</f>
        <v>-0.13485894566283471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567"/>
      <c r="H522" s="168"/>
      <c r="I522" s="56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4665</v>
      </c>
      <c r="D524" s="642"/>
      <c r="E524" s="681">
        <f>IF(ISERROR(C524/C530),"",C524/C530)</f>
        <v>0.362076994722136</v>
      </c>
      <c r="F524" s="682"/>
      <c r="G524" s="676"/>
      <c r="H524" s="677"/>
      <c r="I524" s="683" t="s">
        <v>301</v>
      </c>
      <c r="J524" s="684"/>
      <c r="K524" s="638">
        <f t="shared" ref="K524:K529" si="238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9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4521</v>
      </c>
      <c r="D525" s="642"/>
      <c r="E525" s="681">
        <f>IF(ISERROR(C525/C530),"",C525/C530)</f>
        <v>0.35090034150884819</v>
      </c>
      <c r="F525" s="682"/>
      <c r="G525" s="676"/>
      <c r="H525" s="677"/>
      <c r="I525" s="683" t="s">
        <v>302</v>
      </c>
      <c r="J525" s="684"/>
      <c r="K525" s="638">
        <f t="shared" si="238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9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1833</v>
      </c>
      <c r="D526" s="642"/>
      <c r="E526" s="681">
        <f>IF(ISERROR(C526/C530),"",C526/C530)</f>
        <v>0.14226948152747593</v>
      </c>
      <c r="F526" s="682"/>
      <c r="G526" s="676"/>
      <c r="H526" s="677"/>
      <c r="I526" s="683" t="s">
        <v>303</v>
      </c>
      <c r="J526" s="684"/>
      <c r="K526" s="638">
        <f t="shared" si="238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9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1703</v>
      </c>
      <c r="D527" s="642"/>
      <c r="E527" s="681">
        <f>IF(ISERROR(C527/C530),"",C527/C530)</f>
        <v>0.13217944737659112</v>
      </c>
      <c r="F527" s="682"/>
      <c r="G527" s="676"/>
      <c r="H527" s="677"/>
      <c r="I527" s="683" t="s">
        <v>304</v>
      </c>
      <c r="J527" s="684"/>
      <c r="K527" s="638">
        <f t="shared" si="238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9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0</v>
      </c>
      <c r="D528" s="642"/>
      <c r="E528" s="681">
        <f>IF(ISERROR(C528/C530),"",C528/C530)</f>
        <v>0</v>
      </c>
      <c r="F528" s="682"/>
      <c r="G528" s="676"/>
      <c r="H528" s="677"/>
      <c r="I528" s="683" t="s">
        <v>306</v>
      </c>
      <c r="J528" s="684"/>
      <c r="K528" s="638">
        <f t="shared" si="238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9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162</v>
      </c>
      <c r="D529" s="642"/>
      <c r="E529" s="681">
        <f>IF(ISERROR(C529/C530),"",C529/C530)</f>
        <v>1.2573734864948774E-2</v>
      </c>
      <c r="F529" s="682"/>
      <c r="G529" s="676"/>
      <c r="H529" s="677"/>
      <c r="I529" s="683" t="s">
        <v>307</v>
      </c>
      <c r="J529" s="684"/>
      <c r="K529" s="638">
        <f t="shared" si="238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9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12884</v>
      </c>
      <c r="D530" s="642"/>
      <c r="E530" s="681">
        <f>SUM(E524:F529)</f>
        <v>0.99999999999999989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5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556" t="s">
        <v>309</v>
      </c>
      <c r="D532" s="556" t="s">
        <v>310</v>
      </c>
      <c r="E532" s="556" t="s">
        <v>311</v>
      </c>
      <c r="F532" s="556" t="s">
        <v>312</v>
      </c>
      <c r="G532" s="568" t="s">
        <v>549</v>
      </c>
      <c r="H532" s="129" t="s">
        <v>314</v>
      </c>
      <c r="I532" s="129" t="s">
        <v>315</v>
      </c>
      <c r="J532" s="129" t="s">
        <v>316</v>
      </c>
      <c r="K532" s="557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66" t="s">
        <v>322</v>
      </c>
      <c r="Q532" s="129" t="s">
        <v>323</v>
      </c>
      <c r="R532" s="109" t="s">
        <v>324</v>
      </c>
      <c r="S532" s="556" t="s">
        <v>325</v>
      </c>
      <c r="T532" s="556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+'13'!C533</f>
        <v>46</v>
      </c>
      <c r="E533" s="106"/>
      <c r="F533" s="106"/>
      <c r="G533" s="106"/>
      <c r="H533" s="106"/>
      <c r="I533" s="106"/>
      <c r="J533" s="106">
        <f>C533-H533-I533</f>
        <v>46</v>
      </c>
      <c r="K533" s="106">
        <v>0.5</v>
      </c>
      <c r="L533" s="106"/>
      <c r="M533" s="106"/>
      <c r="N533" s="106"/>
      <c r="O533" s="106"/>
      <c r="P533" s="108"/>
      <c r="Q533" s="106">
        <f>J533-K533-L533</f>
        <v>45.5</v>
      </c>
      <c r="R533" s="109">
        <f>Q533*11-M533-N533</f>
        <v>500.5</v>
      </c>
      <c r="S533" s="559">
        <f t="array" ref="S533">IF(ISERROR(Q533/J533),"",Q533/J533)</f>
        <v>0.98913043478260865</v>
      </c>
      <c r="T533" s="559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38</v>
      </c>
      <c r="D534" s="106">
        <f>+'13'!C534</f>
        <v>38</v>
      </c>
      <c r="E534" s="110"/>
      <c r="F534" s="110"/>
      <c r="G534" s="106"/>
      <c r="H534" s="106"/>
      <c r="I534" s="106">
        <v>1</v>
      </c>
      <c r="J534" s="106">
        <f>C534-H534-I534</f>
        <v>37</v>
      </c>
      <c r="K534" s="106"/>
      <c r="L534" s="106"/>
      <c r="M534" s="106"/>
      <c r="N534" s="106"/>
      <c r="O534" s="110"/>
      <c r="P534" s="111"/>
      <c r="Q534" s="106">
        <f>J534-K534-L534</f>
        <v>37</v>
      </c>
      <c r="R534" s="109">
        <f>Q534*11-M534-N534</f>
        <v>407</v>
      </c>
      <c r="S534" s="559">
        <f t="array" ref="S534">IF(ISERROR(Q534/J534),"",Q534/J534)</f>
        <v>1</v>
      </c>
      <c r="T534" s="559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+'13'!C535</f>
        <v>10</v>
      </c>
      <c r="E535" s="110"/>
      <c r="F535" s="110"/>
      <c r="G535" s="106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59">
        <f t="array" ref="S535">IF(ISERROR(Q535/J535),"",Q535/J535)</f>
        <v>1</v>
      </c>
      <c r="T535" s="559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94</v>
      </c>
      <c r="D536" s="112">
        <f t="shared" ref="D536:N536" si="240">SUM(D533:D535)</f>
        <v>94</v>
      </c>
      <c r="E536" s="112">
        <f t="shared" si="240"/>
        <v>0</v>
      </c>
      <c r="F536" s="112">
        <f t="shared" si="240"/>
        <v>0</v>
      </c>
      <c r="G536" s="112">
        <f t="shared" si="240"/>
        <v>0</v>
      </c>
      <c r="H536" s="112">
        <f t="shared" si="240"/>
        <v>0</v>
      </c>
      <c r="I536" s="112">
        <f t="shared" si="240"/>
        <v>1</v>
      </c>
      <c r="J536" s="112">
        <f t="shared" si="240"/>
        <v>93</v>
      </c>
      <c r="K536" s="112">
        <f t="shared" si="240"/>
        <v>0.5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92.5</v>
      </c>
      <c r="R536" s="114">
        <f>SUM(R533:R535)</f>
        <v>1017.5</v>
      </c>
      <c r="S536" s="115">
        <f t="array" ref="S536">IF(ISERROR(Q536/J536),"",Q536/J536)</f>
        <v>0.9946236559139785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8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8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A28:B28"/>
    <mergeCell ref="A86:B86"/>
    <mergeCell ref="V4:V6"/>
    <mergeCell ref="W4:W6"/>
    <mergeCell ref="X4:AA4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1" activePane="bottomRight" state="frozen"/>
      <selection activeCell="E487" sqref="E487"/>
      <selection pane="topRight" activeCell="E487" sqref="E487"/>
      <selection pane="bottomLeft" activeCell="E487" sqref="E487"/>
      <selection pane="bottomRight" activeCell="G20" sqref="G2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2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570" t="s">
        <v>50</v>
      </c>
      <c r="H6" s="570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customHeight="1">
      <c r="A7" s="299">
        <v>30100030</v>
      </c>
      <c r="B7" s="573" t="s">
        <v>178</v>
      </c>
      <c r="C7" s="126" t="s">
        <v>179</v>
      </c>
      <c r="D7" s="108">
        <v>5.03</v>
      </c>
      <c r="E7" s="108"/>
      <c r="F7" s="127">
        <v>42748</v>
      </c>
      <c r="G7" s="108">
        <f>108*6+51+48</f>
        <v>747</v>
      </c>
      <c r="H7" s="581">
        <f t="shared" ref="H7:H27" si="0">D7*G7</f>
        <v>3757.4100000000003</v>
      </c>
      <c r="I7" s="129">
        <f>3*3+11</f>
        <v>20</v>
      </c>
      <c r="J7" s="130">
        <f t="array" ref="J7">IF(ISERROR(G7/I7),"",G7/I7)</f>
        <v>37.35</v>
      </c>
      <c r="K7" s="131">
        <f t="array" ref="K7">IF(ISERROR(G7/L7),"",G7/L7)</f>
        <v>46.6875</v>
      </c>
      <c r="L7" s="129">
        <v>16</v>
      </c>
      <c r="M7" s="109">
        <f t="shared" ref="M7:M27" si="1">IF(ISERROR(I7-K7),"",I7-K7)</f>
        <v>-26.6875</v>
      </c>
      <c r="N7" s="130">
        <f>SUM(O7:U7)</f>
        <v>0</v>
      </c>
      <c r="O7" s="572"/>
      <c r="P7" s="572"/>
      <c r="Q7" s="572"/>
      <c r="R7" s="572"/>
      <c r="S7" s="572"/>
      <c r="T7" s="572"/>
      <c r="U7" s="57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08"/>
      <c r="H8" s="58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72"/>
      <c r="Q8" s="572"/>
      <c r="R8" s="572"/>
      <c r="S8" s="572"/>
      <c r="T8" s="572"/>
      <c r="U8" s="57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08"/>
      <c r="H9" s="58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72"/>
      <c r="P9" s="572"/>
      <c r="Q9" s="572"/>
      <c r="R9" s="572"/>
      <c r="S9" s="572"/>
      <c r="T9" s="572"/>
      <c r="U9" s="57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42744</v>
      </c>
      <c r="G10" s="111">
        <v>90</v>
      </c>
      <c r="H10" s="581">
        <f t="shared" si="0"/>
        <v>452.70000000000005</v>
      </c>
      <c r="I10" s="129">
        <v>5</v>
      </c>
      <c r="J10" s="130">
        <f t="array" ref="J10">IF(ISERROR(G10/I10),"",G10/I10)</f>
        <v>18</v>
      </c>
      <c r="K10" s="131">
        <f t="array" ref="K10">IF(ISERROR(G10/L10),"",G10/L10)</f>
        <v>4.7368421052631575</v>
      </c>
      <c r="L10" s="129">
        <v>19</v>
      </c>
      <c r="M10" s="109">
        <f t="shared" si="1"/>
        <v>0.26315789473684248</v>
      </c>
      <c r="N10" s="130">
        <f t="shared" si="4"/>
        <v>0</v>
      </c>
      <c r="O10" s="572"/>
      <c r="P10" s="572"/>
      <c r="Q10" s="572"/>
      <c r="R10" s="572"/>
      <c r="S10" s="572"/>
      <c r="T10" s="572"/>
      <c r="U10" s="57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08"/>
      <c r="H11" s="58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72"/>
      <c r="P11" s="572"/>
      <c r="Q11" s="572"/>
      <c r="R11" s="572"/>
      <c r="S11" s="572"/>
      <c r="T11" s="572"/>
      <c r="U11" s="57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552"/>
      <c r="H12" s="58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72"/>
      <c r="P12" s="572"/>
      <c r="Q12" s="572"/>
      <c r="R12" s="572"/>
      <c r="S12" s="572"/>
      <c r="T12" s="572"/>
      <c r="U12" s="57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08"/>
      <c r="H13" s="58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72"/>
      <c r="P13" s="572"/>
      <c r="Q13" s="572"/>
      <c r="R13" s="572"/>
      <c r="S13" s="572"/>
      <c r="T13" s="572"/>
      <c r="U13" s="572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>
        <v>42745</v>
      </c>
      <c r="G14" s="108">
        <f>108+65</f>
        <v>173</v>
      </c>
      <c r="H14" s="581">
        <f t="shared" si="0"/>
        <v>870.19</v>
      </c>
      <c r="I14" s="129">
        <v>58</v>
      </c>
      <c r="J14" s="130">
        <f t="array" ref="J14">IF(ISERROR(G14/I14),"",G14/I14)</f>
        <v>2.9827586206896552</v>
      </c>
      <c r="K14" s="131">
        <f t="array" ref="K14">IF(ISERROR(G14/L14),"",G14/L14)</f>
        <v>57.666666666666664</v>
      </c>
      <c r="L14" s="129">
        <v>3</v>
      </c>
      <c r="M14" s="109">
        <f t="shared" si="1"/>
        <v>0.3333333333333357</v>
      </c>
      <c r="N14" s="130">
        <f t="shared" si="4"/>
        <v>0</v>
      </c>
      <c r="O14" s="572"/>
      <c r="P14" s="572"/>
      <c r="Q14" s="572"/>
      <c r="R14" s="572"/>
      <c r="S14" s="572"/>
      <c r="T14" s="572"/>
      <c r="U14" s="572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08"/>
      <c r="H15" s="581">
        <f t="shared" si="0"/>
        <v>0</v>
      </c>
      <c r="I15" s="58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572"/>
      <c r="P15" s="572"/>
      <c r="Q15" s="572"/>
      <c r="R15" s="572"/>
      <c r="S15" s="572"/>
      <c r="T15" s="572"/>
      <c r="U15" s="572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08"/>
      <c r="H16" s="581">
        <f t="shared" si="0"/>
        <v>0</v>
      </c>
      <c r="I16" s="58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72"/>
      <c r="P16" s="572"/>
      <c r="Q16" s="572"/>
      <c r="R16" s="572"/>
      <c r="S16" s="572"/>
      <c r="T16" s="572"/>
      <c r="U16" s="57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08"/>
      <c r="H17" s="58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72"/>
      <c r="P17" s="572"/>
      <c r="Q17" s="572"/>
      <c r="R17" s="572"/>
      <c r="S17" s="572"/>
      <c r="T17" s="572"/>
      <c r="U17" s="57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08"/>
      <c r="H18" s="58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72"/>
      <c r="P18" s="572"/>
      <c r="Q18" s="572"/>
      <c r="R18" s="572"/>
      <c r="S18" s="572"/>
      <c r="T18" s="572"/>
      <c r="U18" s="57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42747</v>
      </c>
      <c r="G19" s="152">
        <f>90*8+90-90</f>
        <v>720</v>
      </c>
      <c r="H19" s="581">
        <f t="shared" si="0"/>
        <v>3643.2</v>
      </c>
      <c r="I19" s="129">
        <f>11*6</f>
        <v>66</v>
      </c>
      <c r="J19" s="130">
        <f t="array" ref="J19">IF(ISERROR(G19/I19),"",G19/I19)</f>
        <v>10.909090909090908</v>
      </c>
      <c r="K19" s="131">
        <f t="array" ref="K19">IF(ISERROR(G19/L19),"",G19/L19)</f>
        <v>37.89473684210526</v>
      </c>
      <c r="L19" s="129">
        <v>19</v>
      </c>
      <c r="M19" s="109">
        <f t="shared" si="1"/>
        <v>28.10526315789474</v>
      </c>
      <c r="N19" s="129">
        <f t="shared" si="4"/>
        <v>0</v>
      </c>
      <c r="O19" s="572"/>
      <c r="P19" s="572"/>
      <c r="Q19" s="572"/>
      <c r="R19" s="572"/>
      <c r="S19" s="572"/>
      <c r="T19" s="572"/>
      <c r="U19" s="572"/>
      <c r="V19" s="132">
        <f t="shared" ref="V19:V21" si="5">SUM(X19:AA19)</f>
        <v>0</v>
      </c>
      <c r="W19" s="57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42749</v>
      </c>
      <c r="G20" s="152">
        <f>100*13+60-100</f>
        <v>1260</v>
      </c>
      <c r="H20" s="581">
        <f t="shared" si="0"/>
        <v>6413.4</v>
      </c>
      <c r="I20" s="129">
        <f>11*5</f>
        <v>55</v>
      </c>
      <c r="J20" s="130">
        <f t="array" ref="J20">IF(ISERROR(G20/I20),"",G20/I20)</f>
        <v>22.90909090909091</v>
      </c>
      <c r="K20" s="131">
        <f t="array" ref="K20">IF(ISERROR(G20/L20),"",G20/L20)</f>
        <v>54.782608695652172</v>
      </c>
      <c r="L20" s="129">
        <v>23</v>
      </c>
      <c r="M20" s="109">
        <f t="shared" si="1"/>
        <v>0.21739130434782794</v>
      </c>
      <c r="N20" s="130">
        <f t="shared" si="4"/>
        <v>0</v>
      </c>
      <c r="O20" s="572"/>
      <c r="P20" s="572"/>
      <c r="Q20" s="572"/>
      <c r="R20" s="572"/>
      <c r="S20" s="572"/>
      <c r="T20" s="572"/>
      <c r="U20" s="57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08"/>
      <c r="H21" s="58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72"/>
      <c r="P21" s="572"/>
      <c r="Q21" s="572"/>
      <c r="R21" s="572"/>
      <c r="S21" s="572"/>
      <c r="T21" s="572"/>
      <c r="U21" s="57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71" t="s">
        <v>190</v>
      </c>
      <c r="D22" s="108">
        <v>4.8</v>
      </c>
      <c r="E22" s="108"/>
      <c r="F22" s="127"/>
      <c r="G22" s="108"/>
      <c r="H22" s="58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72"/>
      <c r="P22" s="572"/>
      <c r="Q22" s="572"/>
      <c r="R22" s="572"/>
      <c r="S22" s="572"/>
      <c r="T22" s="572"/>
      <c r="U22" s="57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71" t="s">
        <v>187</v>
      </c>
      <c r="D23" s="108">
        <v>4.8</v>
      </c>
      <c r="E23" s="108"/>
      <c r="F23" s="127"/>
      <c r="G23" s="108"/>
      <c r="H23" s="58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72"/>
      <c r="P23" s="572"/>
      <c r="Q23" s="572"/>
      <c r="R23" s="572"/>
      <c r="S23" s="572"/>
      <c r="T23" s="572"/>
      <c r="U23" s="57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71" t="s">
        <v>179</v>
      </c>
      <c r="D24" s="108">
        <v>4.8</v>
      </c>
      <c r="E24" s="108"/>
      <c r="F24" s="127"/>
      <c r="G24" s="108"/>
      <c r="H24" s="58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72"/>
      <c r="P24" s="572"/>
      <c r="Q24" s="572"/>
      <c r="R24" s="572"/>
      <c r="S24" s="572"/>
      <c r="T24" s="572"/>
      <c r="U24" s="57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71" t="s">
        <v>199</v>
      </c>
      <c r="D25" s="108">
        <v>4.8</v>
      </c>
      <c r="E25" s="108"/>
      <c r="F25" s="127"/>
      <c r="G25" s="108"/>
      <c r="H25" s="58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72"/>
      <c r="P25" s="572"/>
      <c r="Q25" s="572"/>
      <c r="R25" s="572"/>
      <c r="S25" s="572"/>
      <c r="T25" s="572"/>
      <c r="U25" s="57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08"/>
      <c r="H26" s="58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72"/>
      <c r="P26" s="572"/>
      <c r="Q26" s="572"/>
      <c r="R26" s="572"/>
      <c r="S26" s="572"/>
      <c r="T26" s="572"/>
      <c r="U26" s="57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08"/>
      <c r="H27" s="58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572"/>
      <c r="P27" s="572"/>
      <c r="Q27" s="572"/>
      <c r="R27" s="572"/>
      <c r="S27" s="572"/>
      <c r="T27" s="572"/>
      <c r="U27" s="57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579" t="s">
        <v>202</v>
      </c>
      <c r="D28" s="143"/>
      <c r="E28" s="143"/>
      <c r="F28" s="144"/>
      <c r="G28" s="143">
        <f>SUM(G7:G27)</f>
        <v>2990</v>
      </c>
      <c r="H28" s="146">
        <f>SUM(H7:H27)</f>
        <v>15136.9</v>
      </c>
      <c r="I28" s="146">
        <f>SUM(I7:I27)</f>
        <v>204</v>
      </c>
      <c r="J28" s="130">
        <f t="array" ref="J28">IF(ISERROR(G28/I28),"",G28/I28)</f>
        <v>14.656862745098039</v>
      </c>
      <c r="K28" s="146">
        <f>SUM(K7:K27)</f>
        <v>201.76835430968725</v>
      </c>
      <c r="L28" s="147"/>
      <c r="M28" s="146">
        <f t="shared" ref="M28:V28" si="10">SUM(M7:M27)</f>
        <v>2.231645690312746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73" t="s">
        <v>206</v>
      </c>
      <c r="C29" s="126" t="s">
        <v>199</v>
      </c>
      <c r="D29" s="108">
        <v>5.03</v>
      </c>
      <c r="E29" s="108"/>
      <c r="F29" s="127">
        <v>42749</v>
      </c>
      <c r="G29" s="108">
        <f>108*5+13</f>
        <v>553</v>
      </c>
      <c r="H29" s="581">
        <f t="shared" ref="H29:H85" si="11">D29*G29</f>
        <v>2781.59</v>
      </c>
      <c r="I29" s="129">
        <v>7.5</v>
      </c>
      <c r="J29" s="130">
        <f t="array" ref="J29">IF(ISERROR(G29/I29),"",G29/I29)</f>
        <v>73.733333333333334</v>
      </c>
      <c r="K29" s="131">
        <f t="array" ref="K29">IF(ISERROR(G29/L29),"",G29/L29)</f>
        <v>10.634615384615385</v>
      </c>
      <c r="L29" s="129">
        <v>52</v>
      </c>
      <c r="M29" s="109">
        <f t="shared" ref="M29" si="12">IF(ISERROR(I29-K29),"",I29-K29)</f>
        <v>-3.134615384615385</v>
      </c>
      <c r="N29" s="130">
        <f t="shared" ref="N29" si="13">SUM(O29:U29)</f>
        <v>0</v>
      </c>
      <c r="O29" s="576"/>
      <c r="P29" s="576"/>
      <c r="Q29" s="576"/>
      <c r="R29" s="576"/>
      <c r="S29" s="576"/>
      <c r="T29" s="576"/>
      <c r="U29" s="576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573" t="s">
        <v>425</v>
      </c>
      <c r="C30" s="187" t="s">
        <v>427</v>
      </c>
      <c r="D30" s="108">
        <v>5.03</v>
      </c>
      <c r="E30" s="108"/>
      <c r="F30" s="127"/>
      <c r="G30" s="108"/>
      <c r="H30" s="58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76"/>
      <c r="P30" s="576"/>
      <c r="Q30" s="576"/>
      <c r="R30" s="576"/>
      <c r="S30" s="576"/>
      <c r="T30" s="576"/>
      <c r="U30" s="576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573" t="s">
        <v>206</v>
      </c>
      <c r="C31" s="126" t="s">
        <v>186</v>
      </c>
      <c r="D31" s="108">
        <v>5.03</v>
      </c>
      <c r="E31" s="108"/>
      <c r="F31" s="127"/>
      <c r="G31" s="108"/>
      <c r="H31" s="58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576"/>
      <c r="P31" s="576"/>
      <c r="Q31" s="576"/>
      <c r="R31" s="576"/>
      <c r="S31" s="576"/>
      <c r="T31" s="576"/>
      <c r="U31" s="576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573" t="s">
        <v>206</v>
      </c>
      <c r="C32" s="126" t="s">
        <v>203</v>
      </c>
      <c r="D32" s="108">
        <v>5.03</v>
      </c>
      <c r="E32" s="108"/>
      <c r="F32" s="127"/>
      <c r="G32" s="108"/>
      <c r="H32" s="58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576"/>
      <c r="P32" s="576"/>
      <c r="Q32" s="576"/>
      <c r="R32" s="576"/>
      <c r="S32" s="576"/>
      <c r="T32" s="576"/>
      <c r="U32" s="576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573" t="s">
        <v>206</v>
      </c>
      <c r="C33" s="126" t="s">
        <v>207</v>
      </c>
      <c r="D33" s="108">
        <v>5.03</v>
      </c>
      <c r="E33" s="108"/>
      <c r="F33" s="127">
        <v>42749</v>
      </c>
      <c r="G33" s="108">
        <f>108*3</f>
        <v>324</v>
      </c>
      <c r="H33" s="581">
        <f t="shared" si="11"/>
        <v>1629.72</v>
      </c>
      <c r="I33" s="129">
        <v>3.5</v>
      </c>
      <c r="J33" s="130">
        <f t="array" ref="J33">IF(ISERROR(G33/I33),"",G33/I33)</f>
        <v>92.571428571428569</v>
      </c>
      <c r="K33" s="131">
        <f t="array" ref="K33">IF(ISERROR(G33/L33),"",G33/L33)</f>
        <v>6.2307692307692308</v>
      </c>
      <c r="L33" s="129">
        <v>52</v>
      </c>
      <c r="M33" s="109">
        <f t="shared" si="15"/>
        <v>-2.7307692307692308</v>
      </c>
      <c r="N33" s="130">
        <f t="shared" si="16"/>
        <v>0</v>
      </c>
      <c r="O33" s="576"/>
      <c r="P33" s="576"/>
      <c r="Q33" s="576"/>
      <c r="R33" s="576"/>
      <c r="S33" s="576"/>
      <c r="T33" s="576"/>
      <c r="U33" s="576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73" t="s">
        <v>414</v>
      </c>
      <c r="C34" s="187" t="s">
        <v>415</v>
      </c>
      <c r="D34" s="108">
        <v>5.03</v>
      </c>
      <c r="E34" s="108"/>
      <c r="F34" s="127"/>
      <c r="G34" s="108"/>
      <c r="H34" s="581">
        <f t="shared" si="11"/>
        <v>0</v>
      </c>
      <c r="I34" s="129"/>
      <c r="J34" s="130"/>
      <c r="K34" s="131"/>
      <c r="L34" s="129">
        <v>52</v>
      </c>
      <c r="M34" s="109"/>
      <c r="N34" s="130"/>
      <c r="O34" s="576"/>
      <c r="P34" s="576"/>
      <c r="Q34" s="576"/>
      <c r="R34" s="576"/>
      <c r="S34" s="576"/>
      <c r="T34" s="576"/>
      <c r="U34" s="576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573" t="s">
        <v>414</v>
      </c>
      <c r="C35" s="187" t="s">
        <v>416</v>
      </c>
      <c r="D35" s="108">
        <v>5.03</v>
      </c>
      <c r="E35" s="108"/>
      <c r="F35" s="127"/>
      <c r="G35" s="108"/>
      <c r="H35" s="581">
        <f t="shared" si="11"/>
        <v>0</v>
      </c>
      <c r="I35" s="129"/>
      <c r="J35" s="130"/>
      <c r="K35" s="131"/>
      <c r="L35" s="129">
        <v>52</v>
      </c>
      <c r="M35" s="109"/>
      <c r="N35" s="130"/>
      <c r="O35" s="576"/>
      <c r="P35" s="576"/>
      <c r="Q35" s="576"/>
      <c r="R35" s="576"/>
      <c r="S35" s="576"/>
      <c r="T35" s="576"/>
      <c r="U35" s="576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573" t="s">
        <v>414</v>
      </c>
      <c r="C36" s="187" t="s">
        <v>61</v>
      </c>
      <c r="D36" s="108">
        <v>5.03</v>
      </c>
      <c r="E36" s="108"/>
      <c r="F36" s="127"/>
      <c r="G36" s="108"/>
      <c r="H36" s="581">
        <f t="shared" si="11"/>
        <v>0</v>
      </c>
      <c r="I36" s="129"/>
      <c r="J36" s="130"/>
      <c r="K36" s="131"/>
      <c r="L36" s="129">
        <v>52</v>
      </c>
      <c r="M36" s="109"/>
      <c r="N36" s="130"/>
      <c r="O36" s="576"/>
      <c r="P36" s="576"/>
      <c r="Q36" s="576"/>
      <c r="R36" s="576"/>
      <c r="S36" s="576"/>
      <c r="T36" s="576"/>
      <c r="U36" s="576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73" t="s">
        <v>208</v>
      </c>
      <c r="C37" s="126" t="s">
        <v>179</v>
      </c>
      <c r="D37" s="108">
        <v>5.08</v>
      </c>
      <c r="E37" s="108"/>
      <c r="F37" s="127"/>
      <c r="G37" s="108"/>
      <c r="H37" s="58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76"/>
      <c r="P37" s="576"/>
      <c r="Q37" s="576"/>
      <c r="R37" s="576"/>
      <c r="S37" s="576"/>
      <c r="T37" s="576"/>
      <c r="U37" s="576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73" t="s">
        <v>208</v>
      </c>
      <c r="C38" s="126" t="s">
        <v>204</v>
      </c>
      <c r="D38" s="108">
        <v>5.08</v>
      </c>
      <c r="E38" s="108"/>
      <c r="F38" s="127">
        <v>42749</v>
      </c>
      <c r="G38" s="108">
        <f>108*5+48</f>
        <v>588</v>
      </c>
      <c r="H38" s="581">
        <f t="shared" si="11"/>
        <v>2987.04</v>
      </c>
      <c r="I38" s="129">
        <v>28</v>
      </c>
      <c r="J38" s="130">
        <f t="array" ref="J38">IF(ISERROR(G38/I38),"",G38/I38)</f>
        <v>21</v>
      </c>
      <c r="K38" s="131">
        <f t="array" ref="K38">IF(ISERROR(G38/L38),"",G38/L38)</f>
        <v>28</v>
      </c>
      <c r="L38" s="129">
        <v>21</v>
      </c>
      <c r="M38" s="109">
        <f t="shared" si="19"/>
        <v>0</v>
      </c>
      <c r="N38" s="130">
        <f t="shared" si="20"/>
        <v>0</v>
      </c>
      <c r="O38" s="576"/>
      <c r="P38" s="576"/>
      <c r="Q38" s="576"/>
      <c r="R38" s="576"/>
      <c r="S38" s="576"/>
      <c r="T38" s="576"/>
      <c r="U38" s="576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73" t="s">
        <v>208</v>
      </c>
      <c r="C39" s="126" t="s">
        <v>205</v>
      </c>
      <c r="D39" s="108">
        <v>5.08</v>
      </c>
      <c r="E39" s="108"/>
      <c r="F39" s="127"/>
      <c r="G39" s="108"/>
      <c r="H39" s="58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76"/>
      <c r="P39" s="576"/>
      <c r="Q39" s="576"/>
      <c r="R39" s="576"/>
      <c r="S39" s="576"/>
      <c r="T39" s="576"/>
      <c r="U39" s="576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73" t="s">
        <v>208</v>
      </c>
      <c r="C40" s="126" t="s">
        <v>186</v>
      </c>
      <c r="D40" s="108">
        <v>5.08</v>
      </c>
      <c r="E40" s="108"/>
      <c r="F40" s="127"/>
      <c r="G40" s="108"/>
      <c r="H40" s="58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76"/>
      <c r="P40" s="576"/>
      <c r="Q40" s="576"/>
      <c r="R40" s="576"/>
      <c r="S40" s="576"/>
      <c r="T40" s="576"/>
      <c r="U40" s="576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573" t="s">
        <v>208</v>
      </c>
      <c r="C41" s="126" t="s">
        <v>203</v>
      </c>
      <c r="D41" s="108">
        <v>5.08</v>
      </c>
      <c r="E41" s="108"/>
      <c r="F41" s="127">
        <v>42749</v>
      </c>
      <c r="G41" s="108">
        <f>108*2+23</f>
        <v>239</v>
      </c>
      <c r="H41" s="581">
        <f t="shared" si="11"/>
        <v>1214.1200000000001</v>
      </c>
      <c r="I41" s="129">
        <v>11</v>
      </c>
      <c r="J41" s="130">
        <f t="array" ref="J41">IF(ISERROR(G41/I41),"",G41/I41)</f>
        <v>21.727272727272727</v>
      </c>
      <c r="K41" s="131">
        <f t="array" ref="K41">IF(ISERROR(G41/L41),"",G41/L41)</f>
        <v>11.380952380952381</v>
      </c>
      <c r="L41" s="129">
        <v>21</v>
      </c>
      <c r="M41" s="109">
        <f t="shared" si="19"/>
        <v>-0.38095238095238138</v>
      </c>
      <c r="N41" s="130">
        <f t="shared" si="20"/>
        <v>0</v>
      </c>
      <c r="O41" s="576"/>
      <c r="P41" s="576"/>
      <c r="Q41" s="576"/>
      <c r="R41" s="576"/>
      <c r="S41" s="576"/>
      <c r="T41" s="576"/>
      <c r="U41" s="576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73" t="s">
        <v>208</v>
      </c>
      <c r="C42" s="126" t="s">
        <v>199</v>
      </c>
      <c r="D42" s="108">
        <v>5.08</v>
      </c>
      <c r="E42" s="108"/>
      <c r="F42" s="127"/>
      <c r="G42" s="108"/>
      <c r="H42" s="58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72"/>
      <c r="P42" s="572"/>
      <c r="Q42" s="572"/>
      <c r="R42" s="572"/>
      <c r="S42" s="572"/>
      <c r="T42" s="572"/>
      <c r="U42" s="57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73" t="s">
        <v>208</v>
      </c>
      <c r="C43" s="126" t="s">
        <v>187</v>
      </c>
      <c r="D43" s="108">
        <v>5.08</v>
      </c>
      <c r="E43" s="108"/>
      <c r="F43" s="127"/>
      <c r="G43" s="108"/>
      <c r="H43" s="58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76"/>
      <c r="P43" s="576"/>
      <c r="Q43" s="576"/>
      <c r="R43" s="576"/>
      <c r="S43" s="576"/>
      <c r="T43" s="576"/>
      <c r="U43" s="576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73" t="s">
        <v>208</v>
      </c>
      <c r="C44" s="126" t="s">
        <v>207</v>
      </c>
      <c r="D44" s="108">
        <v>5.08</v>
      </c>
      <c r="E44" s="108"/>
      <c r="F44" s="127"/>
      <c r="G44" s="108"/>
      <c r="H44" s="58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72"/>
      <c r="P44" s="572"/>
      <c r="Q44" s="572"/>
      <c r="R44" s="572"/>
      <c r="S44" s="572"/>
      <c r="T44" s="572"/>
      <c r="U44" s="57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573" t="s">
        <v>209</v>
      </c>
      <c r="C45" s="126" t="s">
        <v>194</v>
      </c>
      <c r="D45" s="108">
        <v>5.03</v>
      </c>
      <c r="E45" s="108"/>
      <c r="F45" s="127">
        <v>42746</v>
      </c>
      <c r="G45" s="111">
        <v>108</v>
      </c>
      <c r="H45" s="581">
        <f t="shared" si="11"/>
        <v>543.24</v>
      </c>
      <c r="I45" s="129">
        <v>2</v>
      </c>
      <c r="J45" s="130">
        <f t="array" ref="J45">IF(ISERROR(G45/I45),"",G45/I45)</f>
        <v>54</v>
      </c>
      <c r="K45" s="131">
        <f t="array" ref="K45">IF(ISERROR(G45/L45),"",G45/L45)</f>
        <v>1.9285714285714286</v>
      </c>
      <c r="L45" s="129">
        <v>56</v>
      </c>
      <c r="M45" s="109">
        <f t="shared" si="19"/>
        <v>7.1428571428571397E-2</v>
      </c>
      <c r="N45" s="130">
        <f t="shared" si="20"/>
        <v>0</v>
      </c>
      <c r="O45" s="576"/>
      <c r="P45" s="576"/>
      <c r="Q45" s="576"/>
      <c r="R45" s="576"/>
      <c r="S45" s="576"/>
      <c r="T45" s="576"/>
      <c r="U45" s="576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573" t="s">
        <v>209</v>
      </c>
      <c r="C46" s="126" t="s">
        <v>179</v>
      </c>
      <c r="D46" s="108">
        <v>5.03</v>
      </c>
      <c r="E46" s="108"/>
      <c r="F46" s="127"/>
      <c r="G46" s="108"/>
      <c r="H46" s="58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76"/>
      <c r="P46" s="576"/>
      <c r="Q46" s="576"/>
      <c r="R46" s="576"/>
      <c r="S46" s="576"/>
      <c r="T46" s="576"/>
      <c r="U46" s="576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73" t="s">
        <v>209</v>
      </c>
      <c r="C47" s="126" t="s">
        <v>195</v>
      </c>
      <c r="D47" s="108">
        <v>5.03</v>
      </c>
      <c r="E47" s="108"/>
      <c r="F47" s="127"/>
      <c r="G47" s="108"/>
      <c r="H47" s="58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76"/>
      <c r="P47" s="576"/>
      <c r="Q47" s="576"/>
      <c r="R47" s="576"/>
      <c r="S47" s="576"/>
      <c r="T47" s="576"/>
      <c r="U47" s="576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73" t="s">
        <v>209</v>
      </c>
      <c r="C48" s="126" t="s">
        <v>204</v>
      </c>
      <c r="D48" s="108">
        <v>5.03</v>
      </c>
      <c r="E48" s="108"/>
      <c r="F48" s="127"/>
      <c r="G48" s="108"/>
      <c r="H48" s="58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76"/>
      <c r="P48" s="576"/>
      <c r="Q48" s="576"/>
      <c r="R48" s="576"/>
      <c r="S48" s="576"/>
      <c r="T48" s="576"/>
      <c r="U48" s="576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73" t="s">
        <v>382</v>
      </c>
      <c r="C49" s="187" t="s">
        <v>383</v>
      </c>
      <c r="D49" s="108">
        <v>5.03</v>
      </c>
      <c r="E49" s="108"/>
      <c r="F49" s="127"/>
      <c r="G49" s="108"/>
      <c r="H49" s="58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76"/>
      <c r="P49" s="576"/>
      <c r="Q49" s="576"/>
      <c r="R49" s="576"/>
      <c r="S49" s="576"/>
      <c r="T49" s="576"/>
      <c r="U49" s="576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573" t="s">
        <v>382</v>
      </c>
      <c r="C50" s="187" t="s">
        <v>384</v>
      </c>
      <c r="D50" s="108">
        <v>5.03</v>
      </c>
      <c r="E50" s="108"/>
      <c r="F50" s="127"/>
      <c r="G50" s="108"/>
      <c r="H50" s="58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76"/>
      <c r="P50" s="576"/>
      <c r="Q50" s="576"/>
      <c r="R50" s="576"/>
      <c r="S50" s="576"/>
      <c r="T50" s="576"/>
      <c r="U50" s="576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73" t="s">
        <v>382</v>
      </c>
      <c r="C51" s="187" t="s">
        <v>389</v>
      </c>
      <c r="D51" s="108">
        <v>5.03</v>
      </c>
      <c r="E51" s="108"/>
      <c r="F51" s="127"/>
      <c r="G51" s="108"/>
      <c r="H51" s="58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76"/>
      <c r="P51" s="576"/>
      <c r="Q51" s="576"/>
      <c r="R51" s="576"/>
      <c r="S51" s="576"/>
      <c r="T51" s="576"/>
      <c r="U51" s="576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573" t="s">
        <v>382</v>
      </c>
      <c r="C52" s="187" t="s">
        <v>391</v>
      </c>
      <c r="D52" s="108">
        <v>5.03</v>
      </c>
      <c r="E52" s="108"/>
      <c r="F52" s="127"/>
      <c r="G52" s="108"/>
      <c r="H52" s="58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576"/>
      <c r="P52" s="576"/>
      <c r="Q52" s="576"/>
      <c r="R52" s="576"/>
      <c r="S52" s="576"/>
      <c r="T52" s="576"/>
      <c r="U52" s="576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73" t="s">
        <v>418</v>
      </c>
      <c r="C53" s="187" t="s">
        <v>364</v>
      </c>
      <c r="D53" s="108">
        <v>5.03</v>
      </c>
      <c r="E53" s="108"/>
      <c r="F53" s="127"/>
      <c r="G53" s="108"/>
      <c r="H53" s="58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76"/>
      <c r="P53" s="576"/>
      <c r="Q53" s="576"/>
      <c r="R53" s="576"/>
      <c r="S53" s="576"/>
      <c r="T53" s="576"/>
      <c r="U53" s="576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73" t="s">
        <v>418</v>
      </c>
      <c r="C54" s="187" t="s">
        <v>365</v>
      </c>
      <c r="D54" s="108">
        <v>5.03</v>
      </c>
      <c r="E54" s="108"/>
      <c r="F54" s="127"/>
      <c r="G54" s="108"/>
      <c r="H54" s="58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76"/>
      <c r="P54" s="576"/>
      <c r="Q54" s="576"/>
      <c r="R54" s="576"/>
      <c r="S54" s="576"/>
      <c r="T54" s="576"/>
      <c r="U54" s="576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73" t="s">
        <v>418</v>
      </c>
      <c r="C55" s="187" t="s">
        <v>366</v>
      </c>
      <c r="D55" s="108">
        <v>5.03</v>
      </c>
      <c r="E55" s="108"/>
      <c r="F55" s="127"/>
      <c r="G55" s="108"/>
      <c r="H55" s="58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76"/>
      <c r="P55" s="576"/>
      <c r="Q55" s="576"/>
      <c r="R55" s="576"/>
      <c r="S55" s="576"/>
      <c r="T55" s="576"/>
      <c r="U55" s="576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73" t="s">
        <v>418</v>
      </c>
      <c r="C56" s="187" t="s">
        <v>367</v>
      </c>
      <c r="D56" s="108">
        <v>5.03</v>
      </c>
      <c r="E56" s="108"/>
      <c r="F56" s="127"/>
      <c r="G56" s="108"/>
      <c r="H56" s="58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76"/>
      <c r="P56" s="576"/>
      <c r="Q56" s="576"/>
      <c r="R56" s="576"/>
      <c r="S56" s="576"/>
      <c r="T56" s="576"/>
      <c r="U56" s="576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08"/>
      <c r="H57" s="58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572"/>
      <c r="P57" s="572"/>
      <c r="Q57" s="572"/>
      <c r="R57" s="572"/>
      <c r="S57" s="572"/>
      <c r="T57" s="572"/>
      <c r="U57" s="572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08"/>
      <c r="H58" s="58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572"/>
      <c r="P58" s="572"/>
      <c r="Q58" s="572"/>
      <c r="R58" s="572"/>
      <c r="S58" s="572"/>
      <c r="T58" s="572"/>
      <c r="U58" s="572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08"/>
      <c r="H59" s="58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72"/>
      <c r="P59" s="572"/>
      <c r="Q59" s="572"/>
      <c r="R59" s="572"/>
      <c r="S59" s="572"/>
      <c r="T59" s="572"/>
      <c r="U59" s="57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08"/>
      <c r="H60" s="58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72"/>
      <c r="P60" s="572"/>
      <c r="Q60" s="572"/>
      <c r="R60" s="572"/>
      <c r="S60" s="572"/>
      <c r="T60" s="572"/>
      <c r="U60" s="57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08"/>
      <c r="H61" s="58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72"/>
      <c r="P61" s="572"/>
      <c r="Q61" s="572"/>
      <c r="R61" s="572"/>
      <c r="S61" s="572"/>
      <c r="T61" s="572"/>
      <c r="U61" s="57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08"/>
      <c r="H62" s="58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72"/>
      <c r="P62" s="572"/>
      <c r="Q62" s="572"/>
      <c r="R62" s="572"/>
      <c r="S62" s="572"/>
      <c r="T62" s="572"/>
      <c r="U62" s="57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08"/>
      <c r="H63" s="58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72"/>
      <c r="P63" s="572"/>
      <c r="Q63" s="572"/>
      <c r="R63" s="572"/>
      <c r="S63" s="572"/>
      <c r="T63" s="572"/>
      <c r="U63" s="57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08"/>
      <c r="H64" s="58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72"/>
      <c r="P64" s="572"/>
      <c r="Q64" s="572"/>
      <c r="R64" s="572"/>
      <c r="S64" s="572"/>
      <c r="T64" s="572"/>
      <c r="U64" s="57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08"/>
      <c r="H65" s="58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72"/>
      <c r="P65" s="572"/>
      <c r="Q65" s="572"/>
      <c r="R65" s="572"/>
      <c r="S65" s="572"/>
      <c r="T65" s="572"/>
      <c r="U65" s="57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>
        <v>42750</v>
      </c>
      <c r="G66" s="108">
        <f>90*9</f>
        <v>810</v>
      </c>
      <c r="H66" s="581">
        <f t="shared" si="11"/>
        <v>4074.3</v>
      </c>
      <c r="I66" s="129">
        <v>10</v>
      </c>
      <c r="J66" s="130">
        <f t="array" ref="J66">IF(ISERROR(G66/I66),"",G66/I66)</f>
        <v>81</v>
      </c>
      <c r="K66" s="131">
        <f t="array" ref="K66">IF(ISERROR(G66/L66),"",G66/L66)</f>
        <v>16.2</v>
      </c>
      <c r="L66" s="129">
        <v>50</v>
      </c>
      <c r="M66" s="109">
        <f t="shared" si="19"/>
        <v>-6.1999999999999993</v>
      </c>
      <c r="N66" s="130">
        <f t="shared" si="23"/>
        <v>0</v>
      </c>
      <c r="O66" s="572"/>
      <c r="P66" s="572"/>
      <c r="Q66" s="572"/>
      <c r="R66" s="572"/>
      <c r="S66" s="572"/>
      <c r="T66" s="572"/>
      <c r="U66" s="572"/>
      <c r="V66" s="132">
        <f t="shared" si="24"/>
        <v>0</v>
      </c>
      <c r="W66" s="133">
        <f t="shared" si="25"/>
        <v>0</v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08"/>
      <c r="H67" s="58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572"/>
      <c r="P67" s="572"/>
      <c r="Q67" s="572"/>
      <c r="R67" s="572"/>
      <c r="S67" s="572"/>
      <c r="T67" s="572"/>
      <c r="U67" s="57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08"/>
      <c r="H68" s="58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72"/>
      <c r="P68" s="572"/>
      <c r="Q68" s="572"/>
      <c r="R68" s="572"/>
      <c r="S68" s="572"/>
      <c r="T68" s="572"/>
      <c r="U68" s="57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08"/>
      <c r="H69" s="58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72"/>
      <c r="P69" s="572"/>
      <c r="Q69" s="572"/>
      <c r="R69" s="572"/>
      <c r="S69" s="572"/>
      <c r="T69" s="572"/>
      <c r="U69" s="57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08"/>
      <c r="H70" s="58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72"/>
      <c r="P70" s="572"/>
      <c r="Q70" s="572"/>
      <c r="R70" s="572"/>
      <c r="S70" s="572"/>
      <c r="T70" s="572"/>
      <c r="U70" s="57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08"/>
      <c r="H71" s="581">
        <f t="shared" si="11"/>
        <v>0</v>
      </c>
      <c r="I71" s="129"/>
      <c r="J71" s="130"/>
      <c r="K71" s="131"/>
      <c r="L71" s="129"/>
      <c r="M71" s="109"/>
      <c r="N71" s="130"/>
      <c r="O71" s="572"/>
      <c r="P71" s="572"/>
      <c r="Q71" s="572"/>
      <c r="R71" s="572"/>
      <c r="S71" s="572"/>
      <c r="T71" s="572"/>
      <c r="U71" s="57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08"/>
      <c r="H72" s="58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72"/>
      <c r="P72" s="572"/>
      <c r="Q72" s="572"/>
      <c r="R72" s="572"/>
      <c r="S72" s="572"/>
      <c r="T72" s="572"/>
      <c r="U72" s="57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08"/>
      <c r="H73" s="58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72"/>
      <c r="P73" s="572"/>
      <c r="Q73" s="572"/>
      <c r="R73" s="572"/>
      <c r="S73" s="572"/>
      <c r="T73" s="572"/>
      <c r="U73" s="57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08"/>
      <c r="H74" s="58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72"/>
      <c r="P74" s="572"/>
      <c r="Q74" s="572"/>
      <c r="R74" s="572"/>
      <c r="S74" s="572"/>
      <c r="T74" s="572"/>
      <c r="U74" s="57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08"/>
      <c r="H75" s="58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72"/>
      <c r="P75" s="572"/>
      <c r="Q75" s="572"/>
      <c r="R75" s="572"/>
      <c r="S75" s="572"/>
      <c r="T75" s="572"/>
      <c r="U75" s="57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08"/>
      <c r="H76" s="58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72"/>
      <c r="P76" s="572"/>
      <c r="Q76" s="572"/>
      <c r="R76" s="572"/>
      <c r="S76" s="572"/>
      <c r="T76" s="572"/>
      <c r="U76" s="57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08"/>
      <c r="H77" s="58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72"/>
      <c r="P77" s="572"/>
      <c r="Q77" s="572"/>
      <c r="R77" s="572"/>
      <c r="S77" s="572"/>
      <c r="T77" s="572"/>
      <c r="U77" s="57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08"/>
      <c r="H78" s="58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72"/>
      <c r="P78" s="572"/>
      <c r="Q78" s="572"/>
      <c r="R78" s="572"/>
      <c r="S78" s="572"/>
      <c r="T78" s="572"/>
      <c r="U78" s="57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08"/>
      <c r="H79" s="58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72"/>
      <c r="P79" s="572"/>
      <c r="Q79" s="572"/>
      <c r="R79" s="572"/>
      <c r="S79" s="572"/>
      <c r="T79" s="572"/>
      <c r="U79" s="57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08"/>
      <c r="H80" s="58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72"/>
      <c r="P80" s="572"/>
      <c r="Q80" s="572"/>
      <c r="R80" s="572"/>
      <c r="S80" s="572"/>
      <c r="T80" s="572"/>
      <c r="U80" s="57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08"/>
      <c r="H81" s="58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72"/>
      <c r="P81" s="572"/>
      <c r="Q81" s="572"/>
      <c r="R81" s="572"/>
      <c r="S81" s="572"/>
      <c r="T81" s="572"/>
      <c r="U81" s="57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08"/>
      <c r="H82" s="58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72"/>
      <c r="P82" s="572"/>
      <c r="Q82" s="572"/>
      <c r="R82" s="572"/>
      <c r="S82" s="572"/>
      <c r="T82" s="572"/>
      <c r="U82" s="57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08"/>
      <c r="H83" s="58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72"/>
      <c r="P83" s="572"/>
      <c r="Q83" s="572"/>
      <c r="R83" s="572"/>
      <c r="S83" s="572"/>
      <c r="T83" s="572"/>
      <c r="U83" s="57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08"/>
      <c r="H84" s="58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72"/>
      <c r="P84" s="572"/>
      <c r="Q84" s="572"/>
      <c r="R84" s="572"/>
      <c r="S84" s="572"/>
      <c r="T84" s="572"/>
      <c r="U84" s="57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08"/>
      <c r="H85" s="58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72"/>
      <c r="P85" s="572"/>
      <c r="Q85" s="572"/>
      <c r="R85" s="572"/>
      <c r="S85" s="572"/>
      <c r="T85" s="572"/>
      <c r="U85" s="572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79" t="s">
        <v>202</v>
      </c>
      <c r="D86" s="143"/>
      <c r="E86" s="143"/>
      <c r="F86" s="144"/>
      <c r="G86" s="143">
        <f>SUM(G29:G85)</f>
        <v>2622</v>
      </c>
      <c r="H86" s="146">
        <f>SUM(H29:H85)</f>
        <v>13230.010000000002</v>
      </c>
      <c r="I86" s="146">
        <f>SUM(I29:I85)</f>
        <v>62</v>
      </c>
      <c r="J86" s="130">
        <f t="array" ref="J86">IF(ISERROR(G86/I86),"",G86/I86)</f>
        <v>42.29032258064516</v>
      </c>
      <c r="K86" s="146">
        <f>SUM(K29:K85)</f>
        <v>74.374908424908426</v>
      </c>
      <c r="L86" s="147"/>
      <c r="M86" s="150">
        <f t="shared" ref="M86:V86" si="34">SUM(M29:M85)</f>
        <v>-12.374908424908426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73" t="s">
        <v>217</v>
      </c>
      <c r="C87" s="126" t="s">
        <v>179</v>
      </c>
      <c r="D87" s="108">
        <v>5.03</v>
      </c>
      <c r="E87" s="108"/>
      <c r="F87" s="127"/>
      <c r="G87" s="108"/>
      <c r="H87" s="58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72"/>
      <c r="P87" s="572"/>
      <c r="Q87" s="572"/>
      <c r="R87" s="572"/>
      <c r="S87" s="572"/>
      <c r="T87" s="572"/>
      <c r="U87" s="57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73" t="s">
        <v>217</v>
      </c>
      <c r="C88" s="126" t="s">
        <v>186</v>
      </c>
      <c r="D88" s="108">
        <v>5.03</v>
      </c>
      <c r="E88" s="108"/>
      <c r="F88" s="127"/>
      <c r="G88" s="108"/>
      <c r="H88" s="58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72"/>
      <c r="P88" s="572"/>
      <c r="Q88" s="572"/>
      <c r="R88" s="572"/>
      <c r="S88" s="572"/>
      <c r="T88" s="572"/>
      <c r="U88" s="57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73" t="s">
        <v>217</v>
      </c>
      <c r="C89" s="126" t="s">
        <v>204</v>
      </c>
      <c r="D89" s="108">
        <v>5.03</v>
      </c>
      <c r="E89" s="108"/>
      <c r="F89" s="127"/>
      <c r="G89" s="108"/>
      <c r="H89" s="58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72"/>
      <c r="P89" s="572"/>
      <c r="Q89" s="572"/>
      <c r="R89" s="572"/>
      <c r="S89" s="572"/>
      <c r="T89" s="572"/>
      <c r="U89" s="57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08"/>
      <c r="H90" s="58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72"/>
      <c r="P90" s="572"/>
      <c r="Q90" s="572"/>
      <c r="R90" s="572"/>
      <c r="S90" s="572"/>
      <c r="T90" s="572"/>
      <c r="U90" s="57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08"/>
      <c r="H91" s="581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72"/>
      <c r="P91" s="572"/>
      <c r="Q91" s="572"/>
      <c r="R91" s="572"/>
      <c r="S91" s="572"/>
      <c r="T91" s="572"/>
      <c r="U91" s="57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08"/>
      <c r="H92" s="581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72"/>
      <c r="P92" s="572"/>
      <c r="Q92" s="572"/>
      <c r="R92" s="572"/>
      <c r="S92" s="572"/>
      <c r="T92" s="572"/>
      <c r="U92" s="57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08"/>
      <c r="H93" s="581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72"/>
      <c r="P93" s="572"/>
      <c r="Q93" s="572"/>
      <c r="R93" s="572"/>
      <c r="S93" s="572"/>
      <c r="T93" s="572"/>
      <c r="U93" s="57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08"/>
      <c r="H94" s="58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72"/>
      <c r="P94" s="572"/>
      <c r="Q94" s="572"/>
      <c r="R94" s="572"/>
      <c r="S94" s="572"/>
      <c r="T94" s="572"/>
      <c r="U94" s="57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08"/>
      <c r="H95" s="58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72"/>
      <c r="P95" s="572"/>
      <c r="Q95" s="572"/>
      <c r="R95" s="572"/>
      <c r="S95" s="572"/>
      <c r="T95" s="572"/>
      <c r="U95" s="57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08"/>
      <c r="H96" s="58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72"/>
      <c r="P96" s="572"/>
      <c r="Q96" s="572"/>
      <c r="R96" s="572"/>
      <c r="S96" s="572"/>
      <c r="T96" s="572"/>
      <c r="U96" s="57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08"/>
      <c r="H97" s="58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72"/>
      <c r="P97" s="572"/>
      <c r="Q97" s="572"/>
      <c r="R97" s="572"/>
      <c r="S97" s="572"/>
      <c r="T97" s="572"/>
      <c r="U97" s="57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08"/>
      <c r="H98" s="58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72"/>
      <c r="P98" s="572"/>
      <c r="Q98" s="572"/>
      <c r="R98" s="572"/>
      <c r="S98" s="572"/>
      <c r="T98" s="572"/>
      <c r="U98" s="57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08"/>
      <c r="H99" s="58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72"/>
      <c r="P99" s="572"/>
      <c r="Q99" s="572"/>
      <c r="R99" s="572"/>
      <c r="S99" s="572"/>
      <c r="T99" s="572"/>
      <c r="U99" s="57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08"/>
      <c r="H100" s="58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72"/>
      <c r="P100" s="572"/>
      <c r="Q100" s="572"/>
      <c r="R100" s="572"/>
      <c r="S100" s="572"/>
      <c r="T100" s="572"/>
      <c r="U100" s="57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08"/>
      <c r="H101" s="58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72"/>
      <c r="P101" s="572"/>
      <c r="Q101" s="572"/>
      <c r="R101" s="572"/>
      <c r="S101" s="572"/>
      <c r="T101" s="572"/>
      <c r="U101" s="57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08"/>
      <c r="H102" s="58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72"/>
      <c r="P102" s="572"/>
      <c r="Q102" s="572"/>
      <c r="R102" s="572"/>
      <c r="S102" s="572"/>
      <c r="T102" s="572"/>
      <c r="U102" s="57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73" t="s">
        <v>222</v>
      </c>
      <c r="C103" s="126" t="s">
        <v>181</v>
      </c>
      <c r="D103" s="108">
        <v>10.199999999999999</v>
      </c>
      <c r="E103" s="108"/>
      <c r="F103" s="127"/>
      <c r="G103" s="108"/>
      <c r="H103" s="58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72"/>
      <c r="P103" s="572"/>
      <c r="Q103" s="572"/>
      <c r="R103" s="572"/>
      <c r="S103" s="572"/>
      <c r="T103" s="572"/>
      <c r="U103" s="57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73" t="s">
        <v>222</v>
      </c>
      <c r="C104" s="126" t="s">
        <v>179</v>
      </c>
      <c r="D104" s="108">
        <v>10.199999999999999</v>
      </c>
      <c r="E104" s="108"/>
      <c r="F104" s="127"/>
      <c r="G104" s="108"/>
      <c r="H104" s="58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72"/>
      <c r="P104" s="572"/>
      <c r="Q104" s="572"/>
      <c r="R104" s="572"/>
      <c r="S104" s="572"/>
      <c r="T104" s="572"/>
      <c r="U104" s="57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73" t="s">
        <v>222</v>
      </c>
      <c r="C105" s="126" t="s">
        <v>221</v>
      </c>
      <c r="D105" s="108">
        <v>10.199999999999999</v>
      </c>
      <c r="E105" s="108"/>
      <c r="F105" s="127"/>
      <c r="G105" s="108"/>
      <c r="H105" s="58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72"/>
      <c r="P105" s="572"/>
      <c r="Q105" s="572"/>
      <c r="R105" s="572"/>
      <c r="S105" s="572"/>
      <c r="T105" s="572"/>
      <c r="U105" s="57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73" t="s">
        <v>222</v>
      </c>
      <c r="C106" s="126" t="s">
        <v>186</v>
      </c>
      <c r="D106" s="108">
        <v>10.199999999999999</v>
      </c>
      <c r="E106" s="108"/>
      <c r="F106" s="127"/>
      <c r="G106" s="108"/>
      <c r="H106" s="58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72"/>
      <c r="P106" s="572"/>
      <c r="Q106" s="572"/>
      <c r="R106" s="572"/>
      <c r="S106" s="572"/>
      <c r="T106" s="572"/>
      <c r="U106" s="57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573" t="s">
        <v>393</v>
      </c>
      <c r="C107" s="187" t="s">
        <v>395</v>
      </c>
      <c r="D107" s="108">
        <v>5</v>
      </c>
      <c r="E107" s="108"/>
      <c r="F107" s="127">
        <v>42747</v>
      </c>
      <c r="G107" s="108">
        <f>90+38+55</f>
        <v>183</v>
      </c>
      <c r="H107" s="581">
        <f t="shared" si="36"/>
        <v>915</v>
      </c>
      <c r="I107" s="129">
        <f>4.5*5</f>
        <v>22.5</v>
      </c>
      <c r="J107" s="130">
        <f t="array" ref="J107">IF(ISERROR(G107/I107),"",G107/I107)</f>
        <v>8.1333333333333329</v>
      </c>
      <c r="K107" s="131">
        <f t="array" ref="K107">IF(ISERROR(G107/L107),"",G107/L107)</f>
        <v>36.6</v>
      </c>
      <c r="L107" s="129">
        <v>5</v>
      </c>
      <c r="M107" s="109">
        <f t="shared" si="37"/>
        <v>-14.100000000000001</v>
      </c>
      <c r="N107" s="130">
        <f t="shared" si="40"/>
        <v>0</v>
      </c>
      <c r="O107" s="572"/>
      <c r="P107" s="572"/>
      <c r="Q107" s="572"/>
      <c r="R107" s="572"/>
      <c r="S107" s="572"/>
      <c r="T107" s="572"/>
      <c r="U107" s="57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73" t="s">
        <v>393</v>
      </c>
      <c r="C108" s="187" t="s">
        <v>402</v>
      </c>
      <c r="D108" s="108">
        <v>5</v>
      </c>
      <c r="E108" s="108"/>
      <c r="F108" s="127"/>
      <c r="G108" s="108"/>
      <c r="H108" s="581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72"/>
      <c r="P108" s="572"/>
      <c r="Q108" s="572"/>
      <c r="R108" s="572"/>
      <c r="S108" s="572"/>
      <c r="T108" s="572"/>
      <c r="U108" s="572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573" t="s">
        <v>404</v>
      </c>
      <c r="C109" s="187" t="s">
        <v>405</v>
      </c>
      <c r="D109" s="108">
        <v>5</v>
      </c>
      <c r="E109" s="108"/>
      <c r="F109" s="127">
        <v>42747</v>
      </c>
      <c r="G109" s="108">
        <v>35</v>
      </c>
      <c r="H109" s="581">
        <f t="shared" si="36"/>
        <v>175</v>
      </c>
      <c r="I109" s="129">
        <f>1*5</f>
        <v>5</v>
      </c>
      <c r="J109" s="130">
        <f t="array" ref="J109">IF(ISERROR(G109/I109),"",G109/I109)</f>
        <v>7</v>
      </c>
      <c r="K109" s="131">
        <f t="array" ref="K109">IF(ISERROR(G109/L109),"",G109/L109)</f>
        <v>7</v>
      </c>
      <c r="L109" s="129">
        <v>5</v>
      </c>
      <c r="M109" s="109">
        <f t="shared" si="37"/>
        <v>-2</v>
      </c>
      <c r="N109" s="130">
        <f t="shared" si="40"/>
        <v>0</v>
      </c>
      <c r="O109" s="572"/>
      <c r="P109" s="572"/>
      <c r="Q109" s="572"/>
      <c r="R109" s="572"/>
      <c r="S109" s="572"/>
      <c r="T109" s="572"/>
      <c r="U109" s="57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73" t="s">
        <v>492</v>
      </c>
      <c r="C110" s="187" t="s">
        <v>372</v>
      </c>
      <c r="D110" s="108">
        <v>5</v>
      </c>
      <c r="E110" s="108"/>
      <c r="F110" s="127"/>
      <c r="G110" s="108"/>
      <c r="H110" s="58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72"/>
      <c r="P110" s="572"/>
      <c r="Q110" s="572"/>
      <c r="R110" s="572"/>
      <c r="S110" s="572"/>
      <c r="T110" s="572"/>
      <c r="U110" s="57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73" t="s">
        <v>343</v>
      </c>
      <c r="C111" s="126" t="s">
        <v>345</v>
      </c>
      <c r="D111" s="108">
        <v>5</v>
      </c>
      <c r="E111" s="108"/>
      <c r="F111" s="127"/>
      <c r="G111" s="108"/>
      <c r="H111" s="58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72"/>
      <c r="P111" s="572"/>
      <c r="Q111" s="572"/>
      <c r="R111" s="572"/>
      <c r="S111" s="572"/>
      <c r="T111" s="572"/>
      <c r="U111" s="572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573" t="s">
        <v>343</v>
      </c>
      <c r="C112" s="126" t="s">
        <v>347</v>
      </c>
      <c r="D112" s="108">
        <v>5</v>
      </c>
      <c r="E112" s="108"/>
      <c r="F112" s="127"/>
      <c r="G112" s="108"/>
      <c r="H112" s="58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572"/>
      <c r="P112" s="572"/>
      <c r="Q112" s="572"/>
      <c r="R112" s="572"/>
      <c r="S112" s="572"/>
      <c r="T112" s="572"/>
      <c r="U112" s="57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08"/>
      <c r="H113" s="58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72"/>
      <c r="P113" s="572"/>
      <c r="Q113" s="572"/>
      <c r="R113" s="572"/>
      <c r="S113" s="572"/>
      <c r="T113" s="572"/>
      <c r="U113" s="57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08"/>
      <c r="H114" s="58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72"/>
      <c r="P114" s="572"/>
      <c r="Q114" s="572"/>
      <c r="R114" s="572"/>
      <c r="S114" s="572"/>
      <c r="T114" s="572"/>
      <c r="U114" s="57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08"/>
      <c r="H115" s="58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72"/>
      <c r="P115" s="572"/>
      <c r="Q115" s="572"/>
      <c r="R115" s="572"/>
      <c r="S115" s="572"/>
      <c r="T115" s="572"/>
      <c r="U115" s="57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08"/>
      <c r="H116" s="58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72"/>
      <c r="P116" s="572"/>
      <c r="Q116" s="572"/>
      <c r="R116" s="572"/>
      <c r="S116" s="572"/>
      <c r="T116" s="572"/>
      <c r="U116" s="57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08"/>
      <c r="H117" s="58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72"/>
      <c r="P117" s="572"/>
      <c r="Q117" s="572"/>
      <c r="R117" s="572"/>
      <c r="S117" s="572"/>
      <c r="T117" s="572"/>
      <c r="U117" s="57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08"/>
      <c r="H118" s="58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72"/>
      <c r="P118" s="572"/>
      <c r="Q118" s="572"/>
      <c r="R118" s="572"/>
      <c r="S118" s="572"/>
      <c r="T118" s="572"/>
      <c r="U118" s="57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08"/>
      <c r="H119" s="581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72"/>
      <c r="P119" s="572"/>
      <c r="Q119" s="572"/>
      <c r="R119" s="572"/>
      <c r="S119" s="572"/>
      <c r="T119" s="572"/>
      <c r="U119" s="57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42745</v>
      </c>
      <c r="G120" s="108">
        <f>44+77+66</f>
        <v>187</v>
      </c>
      <c r="H120" s="581">
        <f t="shared" si="36"/>
        <v>946.21999999999991</v>
      </c>
      <c r="I120" s="129">
        <f>2.5*5</f>
        <v>12.5</v>
      </c>
      <c r="J120" s="130">
        <f t="array" ref="J120">IF(ISERROR(G120/I120),"",G120/I120)</f>
        <v>14.96</v>
      </c>
      <c r="K120" s="581">
        <f t="array" ref="K120">IF(ISERROR(G120/L120),"",G120/L120)</f>
        <v>20.777777777777779</v>
      </c>
      <c r="L120" s="129">
        <v>9</v>
      </c>
      <c r="M120" s="109">
        <f t="shared" si="46"/>
        <v>-8.2777777777777786</v>
      </c>
      <c r="N120" s="130">
        <f t="shared" si="47"/>
        <v>0</v>
      </c>
      <c r="O120" s="572"/>
      <c r="P120" s="572"/>
      <c r="Q120" s="572"/>
      <c r="R120" s="572"/>
      <c r="S120" s="572"/>
      <c r="T120" s="572"/>
      <c r="U120" s="572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579" t="s">
        <v>202</v>
      </c>
      <c r="D121" s="143"/>
      <c r="E121" s="143"/>
      <c r="F121" s="144"/>
      <c r="G121" s="143">
        <f>SUM(G87:G120)</f>
        <v>405</v>
      </c>
      <c r="H121" s="146">
        <f>SUM(H87:H120)</f>
        <v>2036.2199999999998</v>
      </c>
      <c r="I121" s="146">
        <f>SUM(I87:I120)</f>
        <v>40</v>
      </c>
      <c r="J121" s="130">
        <f t="array" ref="J121">IF(ISERROR(G121/I121),"",G121/I121)</f>
        <v>10.125</v>
      </c>
      <c r="K121" s="146">
        <f>SUM(K87:K120)</f>
        <v>64.37777777777778</v>
      </c>
      <c r="L121" s="147"/>
      <c r="M121" s="150">
        <f t="shared" ref="M121:V121" si="50">SUM(M87:M120)</f>
        <v>-24.37777777777778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08"/>
      <c r="H122" s="58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572"/>
      <c r="P122" s="572"/>
      <c r="Q122" s="572"/>
      <c r="R122" s="572"/>
      <c r="S122" s="572"/>
      <c r="T122" s="572"/>
      <c r="U122" s="572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08"/>
      <c r="H123" s="58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72"/>
      <c r="P123" s="572"/>
      <c r="Q123" s="572"/>
      <c r="R123" s="572"/>
      <c r="S123" s="572"/>
      <c r="T123" s="572"/>
      <c r="U123" s="57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08"/>
      <c r="H124" s="58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72"/>
      <c r="P124" s="572"/>
      <c r="Q124" s="572"/>
      <c r="R124" s="572"/>
      <c r="S124" s="572"/>
      <c r="T124" s="572"/>
      <c r="U124" s="57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08"/>
      <c r="H125" s="58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72"/>
      <c r="P125" s="572"/>
      <c r="Q125" s="572"/>
      <c r="R125" s="572"/>
      <c r="S125" s="572"/>
      <c r="T125" s="572"/>
      <c r="U125" s="57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77" t="s">
        <v>203</v>
      </c>
      <c r="D126" s="108">
        <v>5.03</v>
      </c>
      <c r="E126" s="108"/>
      <c r="F126" s="127"/>
      <c r="G126" s="108"/>
      <c r="H126" s="58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72"/>
      <c r="P126" s="572"/>
      <c r="Q126" s="572"/>
      <c r="R126" s="572"/>
      <c r="S126" s="572"/>
      <c r="T126" s="572"/>
      <c r="U126" s="57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08"/>
      <c r="H127" s="58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72"/>
      <c r="P127" s="572"/>
      <c r="Q127" s="572"/>
      <c r="R127" s="572"/>
      <c r="S127" s="572"/>
      <c r="T127" s="572"/>
      <c r="U127" s="57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08"/>
      <c r="H128" s="58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72"/>
      <c r="P128" s="572"/>
      <c r="Q128" s="572"/>
      <c r="R128" s="572"/>
      <c r="S128" s="572"/>
      <c r="T128" s="572"/>
      <c r="U128" s="57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77" t="s">
        <v>228</v>
      </c>
      <c r="D129" s="108">
        <v>5.03</v>
      </c>
      <c r="E129" s="108"/>
      <c r="F129" s="127"/>
      <c r="G129" s="108"/>
      <c r="H129" s="58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72"/>
      <c r="P129" s="572"/>
      <c r="Q129" s="572"/>
      <c r="R129" s="572"/>
      <c r="S129" s="572"/>
      <c r="T129" s="572"/>
      <c r="U129" s="57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77" t="s">
        <v>212</v>
      </c>
      <c r="D130" s="108">
        <v>5.03</v>
      </c>
      <c r="E130" s="108"/>
      <c r="F130" s="127"/>
      <c r="G130" s="108"/>
      <c r="H130" s="58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72"/>
      <c r="P130" s="572"/>
      <c r="Q130" s="572"/>
      <c r="R130" s="572"/>
      <c r="S130" s="572"/>
      <c r="T130" s="572"/>
      <c r="U130" s="57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77" t="s">
        <v>203</v>
      </c>
      <c r="D131" s="108">
        <v>5.03</v>
      </c>
      <c r="E131" s="108"/>
      <c r="F131" s="127"/>
      <c r="G131" s="108"/>
      <c r="H131" s="58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72"/>
      <c r="P131" s="572"/>
      <c r="Q131" s="572"/>
      <c r="R131" s="572"/>
      <c r="S131" s="572"/>
      <c r="T131" s="572"/>
      <c r="U131" s="57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77" t="s">
        <v>186</v>
      </c>
      <c r="D132" s="108">
        <v>5.03</v>
      </c>
      <c r="E132" s="108"/>
      <c r="F132" s="127"/>
      <c r="G132" s="108"/>
      <c r="H132" s="58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72"/>
      <c r="P132" s="572"/>
      <c r="Q132" s="572"/>
      <c r="R132" s="572"/>
      <c r="S132" s="572"/>
      <c r="T132" s="572"/>
      <c r="U132" s="57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77" t="s">
        <v>228</v>
      </c>
      <c r="D133" s="108">
        <v>5.03</v>
      </c>
      <c r="E133" s="108"/>
      <c r="F133" s="127"/>
      <c r="G133" s="108"/>
      <c r="H133" s="58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72"/>
      <c r="P133" s="572"/>
      <c r="Q133" s="572"/>
      <c r="R133" s="572"/>
      <c r="S133" s="572"/>
      <c r="T133" s="572"/>
      <c r="U133" s="57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77" t="s">
        <v>199</v>
      </c>
      <c r="D134" s="108">
        <v>5.03</v>
      </c>
      <c r="E134" s="108"/>
      <c r="F134" s="127"/>
      <c r="G134" s="108"/>
      <c r="H134" s="58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72"/>
      <c r="P134" s="572"/>
      <c r="Q134" s="572"/>
      <c r="R134" s="572"/>
      <c r="S134" s="572"/>
      <c r="T134" s="572"/>
      <c r="U134" s="57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42748</v>
      </c>
      <c r="G135" s="108">
        <f>90*9+39</f>
        <v>849</v>
      </c>
      <c r="H135" s="581">
        <f t="shared" si="51"/>
        <v>4295.9399999999996</v>
      </c>
      <c r="I135" s="129">
        <f>11*3</f>
        <v>33</v>
      </c>
      <c r="J135" s="130">
        <f t="array" ref="J135">IF(ISERROR(G135/I135),"",G135/I135)</f>
        <v>25.727272727272727</v>
      </c>
      <c r="K135" s="131">
        <f t="array" ref="K135">IF(ISERROR(G135/L135),"",G135/L135)</f>
        <v>33.96</v>
      </c>
      <c r="L135" s="129">
        <v>25</v>
      </c>
      <c r="M135" s="109">
        <f t="shared" si="52"/>
        <v>-0.96000000000000085</v>
      </c>
      <c r="N135" s="130">
        <f t="shared" si="53"/>
        <v>0</v>
      </c>
      <c r="O135" s="572"/>
      <c r="P135" s="572"/>
      <c r="Q135" s="572"/>
      <c r="R135" s="572"/>
      <c r="S135" s="572"/>
      <c r="T135" s="572"/>
      <c r="U135" s="572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08"/>
      <c r="H136" s="58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72"/>
      <c r="P136" s="572"/>
      <c r="Q136" s="572"/>
      <c r="R136" s="572"/>
      <c r="S136" s="572"/>
      <c r="T136" s="572"/>
      <c r="U136" s="57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579" t="s">
        <v>202</v>
      </c>
      <c r="D137" s="143"/>
      <c r="E137" s="143"/>
      <c r="F137" s="144"/>
      <c r="G137" s="143">
        <f>SUM(G122:G136)</f>
        <v>849</v>
      </c>
      <c r="H137" s="146">
        <f>SUM(H122:H136)</f>
        <v>4295.9399999999996</v>
      </c>
      <c r="I137" s="146">
        <f>SUM(I122:I136)</f>
        <v>33</v>
      </c>
      <c r="J137" s="130">
        <f t="array" ref="J137">IF(ISERROR(G137/I137),"",G137/I137)</f>
        <v>25.727272727272727</v>
      </c>
      <c r="K137" s="146">
        <f>SUM(K122:K136)</f>
        <v>33.96</v>
      </c>
      <c r="L137" s="147"/>
      <c r="M137" s="150">
        <f>SUM(M122:M136)</f>
        <v>-0.96000000000000085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08"/>
      <c r="H138" s="581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572"/>
      <c r="P138" s="572"/>
      <c r="Q138" s="572"/>
      <c r="R138" s="572"/>
      <c r="S138" s="572"/>
      <c r="T138" s="572"/>
      <c r="U138" s="572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08"/>
      <c r="H139" s="58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72"/>
      <c r="P139" s="572"/>
      <c r="Q139" s="572"/>
      <c r="R139" s="572"/>
      <c r="S139" s="572"/>
      <c r="T139" s="572"/>
      <c r="U139" s="57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08"/>
      <c r="H140" s="58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72"/>
      <c r="P140" s="572"/>
      <c r="Q140" s="572"/>
      <c r="R140" s="572"/>
      <c r="S140" s="572"/>
      <c r="T140" s="572"/>
      <c r="U140" s="57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08"/>
      <c r="H141" s="58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72"/>
      <c r="P141" s="572"/>
      <c r="Q141" s="572"/>
      <c r="R141" s="572"/>
      <c r="S141" s="572"/>
      <c r="T141" s="572"/>
      <c r="U141" s="57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08"/>
      <c r="H142" s="58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72"/>
      <c r="P142" s="572"/>
      <c r="Q142" s="572"/>
      <c r="R142" s="572"/>
      <c r="S142" s="572"/>
      <c r="T142" s="572"/>
      <c r="U142" s="57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08"/>
      <c r="H143" s="58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72"/>
      <c r="P143" s="572"/>
      <c r="Q143" s="572"/>
      <c r="R143" s="572"/>
      <c r="S143" s="572"/>
      <c r="T143" s="572"/>
      <c r="U143" s="572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08"/>
      <c r="H144" s="581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572"/>
      <c r="P144" s="572"/>
      <c r="Q144" s="572"/>
      <c r="R144" s="572"/>
      <c r="S144" s="572"/>
      <c r="T144" s="572"/>
      <c r="U144" s="57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08"/>
      <c r="H145" s="581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72"/>
      <c r="P145" s="572"/>
      <c r="Q145" s="572"/>
      <c r="R145" s="572"/>
      <c r="S145" s="572"/>
      <c r="T145" s="572"/>
      <c r="U145" s="572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08"/>
      <c r="H146" s="581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572"/>
      <c r="P146" s="572"/>
      <c r="Q146" s="572"/>
      <c r="R146" s="572"/>
      <c r="S146" s="572"/>
      <c r="T146" s="572"/>
      <c r="U146" s="57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08"/>
      <c r="H147" s="581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572"/>
      <c r="P147" s="572"/>
      <c r="Q147" s="572"/>
      <c r="R147" s="572"/>
      <c r="S147" s="572"/>
      <c r="T147" s="572"/>
      <c r="U147" s="572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18" t="s">
        <v>234</v>
      </c>
      <c r="B148" s="619"/>
      <c r="C148" s="579" t="s">
        <v>202</v>
      </c>
      <c r="D148" s="143"/>
      <c r="E148" s="143"/>
      <c r="F148" s="144"/>
      <c r="G148" s="143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71"/>
      <c r="D149" s="108">
        <v>3.65</v>
      </c>
      <c r="E149" s="108"/>
      <c r="F149" s="153"/>
      <c r="G149" s="108"/>
      <c r="H149" s="581">
        <f t="shared" ref="H149:H162" si="63">D149*G149</f>
        <v>0</v>
      </c>
      <c r="I149" s="129"/>
      <c r="J149" s="130" t="str">
        <f t="array" ref="J149">IF(ISERROR(G149/I149),"",G149/I149)</f>
        <v/>
      </c>
      <c r="K149" s="581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572"/>
      <c r="P149" s="572"/>
      <c r="Q149" s="572"/>
      <c r="R149" s="572"/>
      <c r="S149" s="572"/>
      <c r="T149" s="572"/>
      <c r="U149" s="572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71"/>
      <c r="D150" s="108">
        <v>6.58</v>
      </c>
      <c r="E150" s="108"/>
      <c r="F150" s="127"/>
      <c r="G150" s="108"/>
      <c r="H150" s="58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572"/>
      <c r="P150" s="572"/>
      <c r="Q150" s="572"/>
      <c r="R150" s="572"/>
      <c r="S150" s="572"/>
      <c r="T150" s="572"/>
      <c r="U150" s="572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71"/>
      <c r="D151" s="108">
        <v>7.8</v>
      </c>
      <c r="E151" s="108"/>
      <c r="F151" s="127"/>
      <c r="G151" s="108"/>
      <c r="H151" s="58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572"/>
      <c r="P151" s="572"/>
      <c r="Q151" s="572"/>
      <c r="R151" s="572"/>
      <c r="S151" s="572"/>
      <c r="T151" s="572"/>
      <c r="U151" s="572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71"/>
      <c r="D152" s="108">
        <v>4.4000000000000004</v>
      </c>
      <c r="E152" s="108"/>
      <c r="F152" s="127"/>
      <c r="G152" s="108"/>
      <c r="H152" s="581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572"/>
      <c r="P152" s="572"/>
      <c r="Q152" s="572"/>
      <c r="R152" s="572"/>
      <c r="S152" s="572"/>
      <c r="T152" s="572"/>
      <c r="U152" s="572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08"/>
      <c r="H153" s="581">
        <f t="shared" si="63"/>
        <v>0</v>
      </c>
      <c r="I153" s="129"/>
      <c r="J153" s="130"/>
      <c r="K153" s="131"/>
      <c r="L153" s="129">
        <v>6</v>
      </c>
      <c r="M153" s="109"/>
      <c r="N153" s="130"/>
      <c r="O153" s="572"/>
      <c r="P153" s="572"/>
      <c r="Q153" s="572"/>
      <c r="R153" s="572"/>
      <c r="S153" s="572"/>
      <c r="T153" s="572"/>
      <c r="U153" s="57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71" t="s">
        <v>239</v>
      </c>
      <c r="C154" s="571" t="s">
        <v>179</v>
      </c>
      <c r="D154" s="108">
        <v>6.04</v>
      </c>
      <c r="E154" s="108"/>
      <c r="F154" s="127"/>
      <c r="G154" s="108"/>
      <c r="H154" s="58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572"/>
      <c r="P154" s="572"/>
      <c r="Q154" s="572"/>
      <c r="R154" s="572"/>
      <c r="S154" s="572"/>
      <c r="T154" s="572"/>
      <c r="U154" s="572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71" t="s">
        <v>239</v>
      </c>
      <c r="C155" s="571" t="s">
        <v>186</v>
      </c>
      <c r="D155" s="108">
        <v>6.04</v>
      </c>
      <c r="E155" s="108"/>
      <c r="F155" s="127"/>
      <c r="G155" s="108"/>
      <c r="H155" s="581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572"/>
      <c r="P155" s="572"/>
      <c r="Q155" s="572"/>
      <c r="R155" s="572"/>
      <c r="S155" s="572"/>
      <c r="T155" s="572"/>
      <c r="U155" s="572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71" t="s">
        <v>443</v>
      </c>
      <c r="C156" s="571" t="s">
        <v>179</v>
      </c>
      <c r="D156" s="108">
        <v>6</v>
      </c>
      <c r="E156" s="108"/>
      <c r="F156" s="127"/>
      <c r="G156" s="108"/>
      <c r="H156" s="581">
        <f t="shared" si="63"/>
        <v>0</v>
      </c>
      <c r="I156" s="129"/>
      <c r="J156" s="130"/>
      <c r="K156" s="131"/>
      <c r="L156" s="129"/>
      <c r="M156" s="109"/>
      <c r="N156" s="130"/>
      <c r="O156" s="572"/>
      <c r="P156" s="572"/>
      <c r="Q156" s="572"/>
      <c r="R156" s="572"/>
      <c r="S156" s="572"/>
      <c r="T156" s="572"/>
      <c r="U156" s="572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571" t="s">
        <v>443</v>
      </c>
      <c r="C157" s="571" t="s">
        <v>60</v>
      </c>
      <c r="D157" s="108">
        <v>6</v>
      </c>
      <c r="E157" s="108"/>
      <c r="F157" s="127">
        <v>42746</v>
      </c>
      <c r="G157" s="108">
        <f>42*2+27</f>
        <v>111</v>
      </c>
      <c r="H157" s="581">
        <f t="shared" si="63"/>
        <v>666</v>
      </c>
      <c r="I157" s="129">
        <f>11*4</f>
        <v>44</v>
      </c>
      <c r="J157" s="130">
        <f t="array" ref="J157">IF(ISERROR(G157/I157),"",G157/I157)</f>
        <v>2.5227272727272729</v>
      </c>
      <c r="K157" s="131">
        <f t="array" ref="K157">IF(ISERROR(G157/L157),"",G157/L157)</f>
        <v>18.5</v>
      </c>
      <c r="L157" s="129">
        <v>6</v>
      </c>
      <c r="M157" s="109">
        <f t="shared" ref="M157" si="71">IF(ISERROR(I157-K157),"",I157-K157)</f>
        <v>25.5</v>
      </c>
      <c r="N157" s="130"/>
      <c r="O157" s="572"/>
      <c r="P157" s="572"/>
      <c r="Q157" s="572"/>
      <c r="R157" s="572"/>
      <c r="S157" s="572"/>
      <c r="T157" s="572"/>
      <c r="U157" s="57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73" t="s">
        <v>240</v>
      </c>
      <c r="C158" s="126"/>
      <c r="D158" s="108">
        <v>7.3</v>
      </c>
      <c r="E158" s="108"/>
      <c r="F158" s="127"/>
      <c r="G158" s="108"/>
      <c r="H158" s="58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572"/>
      <c r="P158" s="572"/>
      <c r="Q158" s="572"/>
      <c r="R158" s="572"/>
      <c r="S158" s="572"/>
      <c r="T158" s="572"/>
      <c r="U158" s="57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73" t="s">
        <v>241</v>
      </c>
      <c r="C159" s="126"/>
      <c r="D159" s="108">
        <f>78*120/1000</f>
        <v>9.36</v>
      </c>
      <c r="E159" s="108"/>
      <c r="F159" s="127"/>
      <c r="G159" s="108"/>
      <c r="H159" s="581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572"/>
      <c r="P159" s="572"/>
      <c r="Q159" s="572"/>
      <c r="R159" s="572"/>
      <c r="S159" s="572"/>
      <c r="T159" s="572"/>
      <c r="U159" s="57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73" t="s">
        <v>242</v>
      </c>
      <c r="C160" s="126"/>
      <c r="D160" s="108">
        <v>4.5</v>
      </c>
      <c r="E160" s="108"/>
      <c r="F160" s="127"/>
      <c r="G160" s="108"/>
      <c r="H160" s="581">
        <f t="shared" si="63"/>
        <v>0</v>
      </c>
      <c r="I160" s="129"/>
      <c r="J160" s="130"/>
      <c r="K160" s="131"/>
      <c r="L160" s="129"/>
      <c r="M160" s="109"/>
      <c r="N160" s="130"/>
      <c r="O160" s="572"/>
      <c r="P160" s="572"/>
      <c r="Q160" s="572"/>
      <c r="R160" s="572"/>
      <c r="S160" s="572"/>
      <c r="T160" s="572"/>
      <c r="U160" s="57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73" t="s">
        <v>243</v>
      </c>
      <c r="C161" s="126"/>
      <c r="D161" s="108">
        <v>4.5</v>
      </c>
      <c r="E161" s="108"/>
      <c r="F161" s="127"/>
      <c r="G161" s="108"/>
      <c r="H161" s="581">
        <f t="shared" si="63"/>
        <v>0</v>
      </c>
      <c r="I161" s="129"/>
      <c r="J161" s="130"/>
      <c r="K161" s="131"/>
      <c r="L161" s="129"/>
      <c r="M161" s="109"/>
      <c r="N161" s="130"/>
      <c r="O161" s="572"/>
      <c r="P161" s="572"/>
      <c r="Q161" s="572"/>
      <c r="R161" s="572"/>
      <c r="S161" s="572"/>
      <c r="T161" s="572"/>
      <c r="U161" s="57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08"/>
      <c r="H162" s="581">
        <f t="shared" si="63"/>
        <v>0</v>
      </c>
      <c r="I162" s="129"/>
      <c r="J162" s="130"/>
      <c r="K162" s="131"/>
      <c r="L162" s="129"/>
      <c r="M162" s="109"/>
      <c r="N162" s="130"/>
      <c r="O162" s="572"/>
      <c r="P162" s="572"/>
      <c r="Q162" s="572"/>
      <c r="R162" s="572"/>
      <c r="S162" s="572"/>
      <c r="T162" s="572"/>
      <c r="U162" s="572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579" t="s">
        <v>202</v>
      </c>
      <c r="D163" s="143"/>
      <c r="E163" s="143"/>
      <c r="F163" s="144"/>
      <c r="G163" s="143">
        <f>SUM(G149:G161)</f>
        <v>111</v>
      </c>
      <c r="H163" s="146">
        <f>SUM(H149:H159)</f>
        <v>666</v>
      </c>
      <c r="I163" s="146">
        <f>SUM(I149:I161)</f>
        <v>44</v>
      </c>
      <c r="J163" s="130">
        <f t="array" ref="J163">IF(ISERROR(G163/I163),"",G163/I163)</f>
        <v>2.5227272727272729</v>
      </c>
      <c r="K163" s="146">
        <f>SUM(K149:K159)</f>
        <v>18.5</v>
      </c>
      <c r="L163" s="147"/>
      <c r="M163" s="150">
        <f t="shared" ref="M163:V163" si="76">SUM(M149:M159)</f>
        <v>25.5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553">
        <f>SUM(G28,G86,G121,G137,G148,G163)</f>
        <v>6977</v>
      </c>
      <c r="H164" s="154">
        <f>SUM(H28,H86,H121,H137,H148,H163)</f>
        <v>35365.070000000007</v>
      </c>
      <c r="I164" s="154">
        <f>SUM(I28,I86,I121,I137,I148,I163)</f>
        <v>383</v>
      </c>
      <c r="J164" s="155">
        <f t="array" ref="J164">IF(ISERROR(G164/I164),"",G164/I164)</f>
        <v>18.216710182767624</v>
      </c>
      <c r="K164" s="154">
        <f>SUM(K28,K86,K121,K137,K148,K163)</f>
        <v>392.98104051237345</v>
      </c>
      <c r="L164" s="155">
        <f>IF(ISERROR(G164/K164),"",G164/K164)</f>
        <v>17.754037169078952</v>
      </c>
      <c r="M164" s="154">
        <f t="shared" ref="M164:AA164" si="77">SUM(M28,M86,M121,M137,M148,M163)</f>
        <v>-9.9810405123734611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3" t="s">
        <v>476</v>
      </c>
      <c r="B165" s="578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578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578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578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578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578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578">
        <f>G164</f>
        <v>6977</v>
      </c>
      <c r="C171" s="638" t="s">
        <v>269</v>
      </c>
      <c r="D171" s="639"/>
      <c r="E171" s="631">
        <f>H164</f>
        <v>35365.070000000007</v>
      </c>
      <c r="F171" s="631"/>
      <c r="G171" s="631" t="s">
        <v>270</v>
      </c>
      <c r="H171" s="631"/>
      <c r="I171" s="640">
        <f>L164</f>
        <v>17.754037169078952</v>
      </c>
      <c r="J171" s="640"/>
      <c r="K171" s="628" t="s">
        <v>271</v>
      </c>
      <c r="L171" s="628"/>
      <c r="M171" s="640">
        <f>J164</f>
        <v>18.216710182767624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578">
        <f>I164+C170</f>
        <v>387</v>
      </c>
      <c r="C172" s="641" t="s">
        <v>251</v>
      </c>
      <c r="D172" s="642"/>
      <c r="E172" s="643">
        <f>K164+I170</f>
        <v>433.98104051237345</v>
      </c>
      <c r="F172" s="643"/>
      <c r="G172" s="631" t="s">
        <v>274</v>
      </c>
      <c r="H172" s="631"/>
      <c r="I172" s="640">
        <f>B172-E172</f>
        <v>-46.981040512373454</v>
      </c>
      <c r="J172" s="640"/>
      <c r="K172" s="628" t="s">
        <v>275</v>
      </c>
      <c r="L172" s="628"/>
      <c r="M172" s="632">
        <f>IF(ISERROR(I172/E172),"",I172/E172)</f>
        <v>-0.10825597463176263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578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2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571" t="s">
        <v>550</v>
      </c>
      <c r="H177" s="571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customHeight="1">
      <c r="A178" s="299">
        <v>30100030</v>
      </c>
      <c r="B178" s="573" t="s">
        <v>178</v>
      </c>
      <c r="C178" s="126" t="s">
        <v>179</v>
      </c>
      <c r="D178" s="108">
        <v>5.03</v>
      </c>
      <c r="E178" s="108"/>
      <c r="F178" s="127">
        <v>42748</v>
      </c>
      <c r="G178" s="108">
        <f>108+56+108*2+86</f>
        <v>466</v>
      </c>
      <c r="H178" s="581">
        <f t="shared" ref="H178:H187" si="78">D178*G178</f>
        <v>2343.98</v>
      </c>
      <c r="I178" s="129">
        <v>30</v>
      </c>
      <c r="J178" s="130">
        <f t="array" ref="J178">IF(ISERROR(G178/I178),"",G178/I178)</f>
        <v>15.533333333333333</v>
      </c>
      <c r="K178" s="131">
        <f t="array" ref="K178">IF(ISERROR(G178/L178),"",G178/L178)</f>
        <v>29.125</v>
      </c>
      <c r="L178" s="129">
        <v>16</v>
      </c>
      <c r="M178" s="109">
        <f t="shared" ref="M178:M187" si="79">IF(ISERROR(I178-K178),"",I178-K178)</f>
        <v>0.875</v>
      </c>
      <c r="N178" s="130">
        <f>SUM(O178:U178)</f>
        <v>0</v>
      </c>
      <c r="O178" s="572"/>
      <c r="P178" s="572"/>
      <c r="Q178" s="572"/>
      <c r="R178" s="572"/>
      <c r="S178" s="572"/>
      <c r="T178" s="572"/>
      <c r="U178" s="572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08"/>
      <c r="H179" s="581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572"/>
      <c r="P179" s="572"/>
      <c r="Q179" s="572"/>
      <c r="R179" s="572"/>
      <c r="S179" s="572"/>
      <c r="T179" s="572"/>
      <c r="U179" s="57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08"/>
      <c r="H180" s="581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572"/>
      <c r="P180" s="572"/>
      <c r="Q180" s="572"/>
      <c r="R180" s="572"/>
      <c r="S180" s="572"/>
      <c r="T180" s="572"/>
      <c r="U180" s="57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08"/>
      <c r="H181" s="581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572"/>
      <c r="P181" s="572"/>
      <c r="Q181" s="572"/>
      <c r="R181" s="572"/>
      <c r="S181" s="572"/>
      <c r="T181" s="572"/>
      <c r="U181" s="572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08"/>
      <c r="H182" s="581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572"/>
      <c r="P182" s="572"/>
      <c r="Q182" s="572"/>
      <c r="R182" s="572"/>
      <c r="S182" s="572"/>
      <c r="T182" s="572"/>
      <c r="U182" s="57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552"/>
      <c r="H183" s="581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572"/>
      <c r="P183" s="572"/>
      <c r="Q183" s="572"/>
      <c r="R183" s="572"/>
      <c r="S183" s="572"/>
      <c r="T183" s="572"/>
      <c r="U183" s="572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08"/>
      <c r="H184" s="581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572"/>
      <c r="P184" s="572"/>
      <c r="Q184" s="572"/>
      <c r="R184" s="572"/>
      <c r="S184" s="572"/>
      <c r="T184" s="572"/>
      <c r="U184" s="57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08"/>
      <c r="H185" s="581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572"/>
      <c r="P185" s="572"/>
      <c r="Q185" s="572"/>
      <c r="R185" s="572"/>
      <c r="S185" s="572"/>
      <c r="T185" s="572"/>
      <c r="U185" s="572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42751</v>
      </c>
      <c r="G186" s="152">
        <f>100*2+81-81</f>
        <v>200</v>
      </c>
      <c r="H186" s="581">
        <f t="shared" si="78"/>
        <v>1008</v>
      </c>
      <c r="I186" s="581">
        <f>4.5*5</f>
        <v>22.5</v>
      </c>
      <c r="J186" s="130">
        <f t="array" ref="J186">IF(ISERROR(G186/I186),"",G186/I186)</f>
        <v>8.8888888888888893</v>
      </c>
      <c r="K186" s="131">
        <f t="array" ref="K186">IF(ISERROR(G186/L186),"",G186/L186)</f>
        <v>11.764705882352942</v>
      </c>
      <c r="L186" s="129">
        <v>17</v>
      </c>
      <c r="M186" s="109">
        <f t="shared" si="79"/>
        <v>10.735294117647058</v>
      </c>
      <c r="N186" s="130">
        <f t="shared" si="82"/>
        <v>0</v>
      </c>
      <c r="O186" s="572"/>
      <c r="P186" s="572"/>
      <c r="Q186" s="572"/>
      <c r="R186" s="572"/>
      <c r="S186" s="572"/>
      <c r="T186" s="572"/>
      <c r="U186" s="572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08"/>
      <c r="H187" s="581">
        <f t="shared" si="78"/>
        <v>0</v>
      </c>
      <c r="I187" s="581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572"/>
      <c r="P187" s="572"/>
      <c r="Q187" s="572"/>
      <c r="R187" s="572"/>
      <c r="S187" s="572"/>
      <c r="T187" s="572"/>
      <c r="U187" s="572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08"/>
      <c r="H188" s="58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72"/>
      <c r="P188" s="572"/>
      <c r="Q188" s="572"/>
      <c r="R188" s="572"/>
      <c r="S188" s="572"/>
      <c r="T188" s="572"/>
      <c r="U188" s="57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08"/>
      <c r="H189" s="581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72"/>
      <c r="P189" s="572"/>
      <c r="Q189" s="572"/>
      <c r="R189" s="572"/>
      <c r="S189" s="572"/>
      <c r="T189" s="572"/>
      <c r="U189" s="57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42747</v>
      </c>
      <c r="G190" s="111">
        <f>90*4+24+90</f>
        <v>474</v>
      </c>
      <c r="H190" s="581">
        <f t="shared" ref="H190:H198" si="83">D190*G190</f>
        <v>2398.4399999999996</v>
      </c>
      <c r="I190" s="129">
        <f>7*5</f>
        <v>35</v>
      </c>
      <c r="J190" s="130">
        <f t="array" ref="J190">IF(ISERROR(G190/I190),"",G190/I190)</f>
        <v>13.542857142857143</v>
      </c>
      <c r="K190" s="131">
        <f t="array" ref="K190">IF(ISERROR(G190/L190),"",G190/L190)</f>
        <v>24.94736842105263</v>
      </c>
      <c r="L190" s="129">
        <v>19</v>
      </c>
      <c r="M190" s="109">
        <f t="shared" ref="M190:M198" si="84">IF(ISERROR(I190-K190),"",I190-K190)</f>
        <v>10.05263157894737</v>
      </c>
      <c r="N190" s="130">
        <f t="shared" ref="N190:N192" si="85">SUM(O190:U190)</f>
        <v>0</v>
      </c>
      <c r="O190" s="572"/>
      <c r="P190" s="572"/>
      <c r="Q190" s="572"/>
      <c r="R190" s="572"/>
      <c r="S190" s="572"/>
      <c r="T190" s="572"/>
      <c r="U190" s="57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42749</v>
      </c>
      <c r="G191" s="108">
        <f>24+100*6</f>
        <v>624</v>
      </c>
      <c r="H191" s="581">
        <f t="shared" si="83"/>
        <v>3176.16</v>
      </c>
      <c r="I191" s="129">
        <f>7.5*5</f>
        <v>37.5</v>
      </c>
      <c r="J191" s="130">
        <f t="array" ref="J191">IF(ISERROR(G191/I191),"",G191/I191)</f>
        <v>16.64</v>
      </c>
      <c r="K191" s="131">
        <f t="array" ref="K191">IF(ISERROR(G191/L191),"",G191/L191)</f>
        <v>27.130434782608695</v>
      </c>
      <c r="L191" s="129">
        <v>23</v>
      </c>
      <c r="M191" s="109">
        <f t="shared" si="84"/>
        <v>10.369565217391305</v>
      </c>
      <c r="N191" s="130">
        <f t="shared" si="85"/>
        <v>0</v>
      </c>
      <c r="O191" s="572"/>
      <c r="P191" s="572"/>
      <c r="Q191" s="572"/>
      <c r="R191" s="572"/>
      <c r="S191" s="572"/>
      <c r="T191" s="572"/>
      <c r="U191" s="572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08"/>
      <c r="H192" s="581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572"/>
      <c r="P192" s="572"/>
      <c r="Q192" s="572"/>
      <c r="R192" s="572"/>
      <c r="S192" s="572"/>
      <c r="T192" s="572"/>
      <c r="U192" s="57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71" t="s">
        <v>190</v>
      </c>
      <c r="D193" s="108">
        <v>4.8</v>
      </c>
      <c r="E193" s="108"/>
      <c r="F193" s="127"/>
      <c r="G193" s="108"/>
      <c r="H193" s="581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572"/>
      <c r="P193" s="572"/>
      <c r="Q193" s="572"/>
      <c r="R193" s="572"/>
      <c r="S193" s="572"/>
      <c r="T193" s="572"/>
      <c r="U193" s="57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71" t="s">
        <v>187</v>
      </c>
      <c r="D194" s="108">
        <v>4.8</v>
      </c>
      <c r="E194" s="108"/>
      <c r="F194" s="127"/>
      <c r="G194" s="108"/>
      <c r="H194" s="581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572"/>
      <c r="P194" s="572"/>
      <c r="Q194" s="572"/>
      <c r="R194" s="572"/>
      <c r="S194" s="572"/>
      <c r="T194" s="572"/>
      <c r="U194" s="57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71" t="s">
        <v>179</v>
      </c>
      <c r="D195" s="108">
        <v>4.8</v>
      </c>
      <c r="E195" s="108"/>
      <c r="F195" s="127"/>
      <c r="G195" s="108"/>
      <c r="H195" s="581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572"/>
      <c r="P195" s="572"/>
      <c r="Q195" s="572"/>
      <c r="R195" s="572"/>
      <c r="S195" s="572"/>
      <c r="T195" s="572"/>
      <c r="U195" s="57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71" t="s">
        <v>199</v>
      </c>
      <c r="D196" s="108">
        <v>4.8</v>
      </c>
      <c r="E196" s="108"/>
      <c r="F196" s="127"/>
      <c r="G196" s="108"/>
      <c r="H196" s="581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572"/>
      <c r="P196" s="572"/>
      <c r="Q196" s="572"/>
      <c r="R196" s="572"/>
      <c r="S196" s="572"/>
      <c r="T196" s="572"/>
      <c r="U196" s="57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08"/>
      <c r="H197" s="581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572"/>
      <c r="P197" s="572"/>
      <c r="Q197" s="572"/>
      <c r="R197" s="572"/>
      <c r="S197" s="572"/>
      <c r="T197" s="572"/>
      <c r="U197" s="57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08"/>
      <c r="H198" s="581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572"/>
      <c r="P198" s="572"/>
      <c r="Q198" s="572"/>
      <c r="R198" s="572"/>
      <c r="S198" s="572"/>
      <c r="T198" s="572"/>
      <c r="U198" s="57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579" t="s">
        <v>202</v>
      </c>
      <c r="D199" s="143"/>
      <c r="E199" s="143"/>
      <c r="F199" s="144"/>
      <c r="G199" s="143">
        <f>SUM(G178:G198)</f>
        <v>1764</v>
      </c>
      <c r="H199" s="146">
        <f>SUM(H178:H198)</f>
        <v>8926.58</v>
      </c>
      <c r="I199" s="146">
        <f>SUM(I178:I198)</f>
        <v>125</v>
      </c>
      <c r="J199" s="130">
        <f t="array" ref="J199">IF(ISERROR(G199/I199),"",G199/I199)</f>
        <v>14.112</v>
      </c>
      <c r="K199" s="146">
        <f>SUM(K178:K198)</f>
        <v>92.967509086014275</v>
      </c>
      <c r="L199" s="147"/>
      <c r="M199" s="150">
        <f t="shared" ref="M199:AA199" si="91">SUM(M178:M198)</f>
        <v>32.032490913985733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573" t="s">
        <v>206</v>
      </c>
      <c r="C200" s="126" t="s">
        <v>199</v>
      </c>
      <c r="D200" s="108">
        <v>5.03</v>
      </c>
      <c r="E200" s="108"/>
      <c r="F200" s="127">
        <v>42749</v>
      </c>
      <c r="G200" s="108">
        <f>20+88</f>
        <v>108</v>
      </c>
      <c r="H200" s="581">
        <f t="shared" ref="H200:H256" si="92">D200*G200</f>
        <v>543.24</v>
      </c>
      <c r="I200" s="129">
        <v>2</v>
      </c>
      <c r="J200" s="130">
        <f t="array" ref="J200">IF(ISERROR(G200/I200),"",G200/I200)</f>
        <v>54</v>
      </c>
      <c r="K200" s="131">
        <f t="array" ref="K200">IF(ISERROR(G200/L200),"",G200/L200)</f>
        <v>2.0769230769230771</v>
      </c>
      <c r="L200" s="129">
        <v>52</v>
      </c>
      <c r="M200" s="109">
        <f t="shared" ref="M200" si="93">IF(ISERROR(I200-K200),"",I200-K200)</f>
        <v>-7.6923076923077094E-2</v>
      </c>
      <c r="N200" s="130">
        <f t="shared" ref="N200" si="94">SUM(O200:U200)</f>
        <v>0</v>
      </c>
      <c r="O200" s="576"/>
      <c r="P200" s="576"/>
      <c r="Q200" s="576"/>
      <c r="R200" s="576"/>
      <c r="S200" s="576"/>
      <c r="T200" s="576"/>
      <c r="U200" s="576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73" t="s">
        <v>425</v>
      </c>
      <c r="C201" s="187" t="s">
        <v>427</v>
      </c>
      <c r="D201" s="108">
        <v>5.03</v>
      </c>
      <c r="E201" s="108"/>
      <c r="F201" s="127"/>
      <c r="G201" s="108"/>
      <c r="H201" s="581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576"/>
      <c r="P201" s="576"/>
      <c r="Q201" s="576"/>
      <c r="R201" s="576"/>
      <c r="S201" s="576"/>
      <c r="T201" s="576"/>
      <c r="U201" s="576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573" t="s">
        <v>206</v>
      </c>
      <c r="C202" s="126" t="s">
        <v>186</v>
      </c>
      <c r="D202" s="108">
        <v>5.03</v>
      </c>
      <c r="E202" s="108"/>
      <c r="F202" s="127">
        <v>42749</v>
      </c>
      <c r="G202" s="108">
        <f>82+108</f>
        <v>190</v>
      </c>
      <c r="H202" s="581">
        <f t="shared" si="92"/>
        <v>955.7</v>
      </c>
      <c r="I202" s="129">
        <v>2.5</v>
      </c>
      <c r="J202" s="130">
        <f t="array" ref="J202">IF(ISERROR(G202/I202),"",G202/I202)</f>
        <v>76</v>
      </c>
      <c r="K202" s="131">
        <f t="array" ref="K202">IF(ISERROR(G202/L202),"",G202/L202)</f>
        <v>3.6538461538461537</v>
      </c>
      <c r="L202" s="129">
        <v>52</v>
      </c>
      <c r="M202" s="109">
        <f t="shared" ref="M202" si="97">IF(ISERROR(I202-K202),"",I202-K202)</f>
        <v>-1.1538461538461537</v>
      </c>
      <c r="N202" s="130">
        <f t="shared" ref="N202:N204" si="98">SUM(O202:U202)</f>
        <v>0</v>
      </c>
      <c r="O202" s="576"/>
      <c r="P202" s="576"/>
      <c r="Q202" s="576"/>
      <c r="R202" s="576"/>
      <c r="S202" s="576"/>
      <c r="T202" s="576"/>
      <c r="U202" s="576"/>
      <c r="V202" s="132">
        <f t="shared" ref="V202:V204" si="99">SUM(X202:AA202)</f>
        <v>0</v>
      </c>
      <c r="W202" s="133">
        <f t="shared" ref="W202:W204" si="100">IF(ISERROR(V202/G202),"",V202/G202)</f>
        <v>0</v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573" t="s">
        <v>206</v>
      </c>
      <c r="C203" s="126" t="s">
        <v>203</v>
      </c>
      <c r="D203" s="108">
        <v>5.03</v>
      </c>
      <c r="E203" s="108"/>
      <c r="F203" s="127">
        <v>42749</v>
      </c>
      <c r="G203" s="108">
        <v>48</v>
      </c>
      <c r="H203" s="581">
        <f t="shared" si="92"/>
        <v>241.44</v>
      </c>
      <c r="I203" s="129">
        <v>0.5</v>
      </c>
      <c r="J203" s="130">
        <f t="array" ref="J203">IF(ISERROR(G203/I203),"",G203/I203)</f>
        <v>96</v>
      </c>
      <c r="K203" s="131">
        <f t="array" ref="K203">IF(ISERROR(G203/L203),"",G203/L203)</f>
        <v>0.92307692307692313</v>
      </c>
      <c r="L203" s="129">
        <v>52</v>
      </c>
      <c r="M203" s="109">
        <f>IF(ISERROR(I203-K203),"",I203-K203)</f>
        <v>-0.42307692307692313</v>
      </c>
      <c r="N203" s="130">
        <f t="shared" si="98"/>
        <v>0</v>
      </c>
      <c r="O203" s="576"/>
      <c r="P203" s="576"/>
      <c r="Q203" s="576"/>
      <c r="R203" s="576"/>
      <c r="S203" s="576"/>
      <c r="T203" s="576"/>
      <c r="U203" s="576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573" t="s">
        <v>206</v>
      </c>
      <c r="C204" s="126" t="s">
        <v>207</v>
      </c>
      <c r="D204" s="108">
        <v>5.03</v>
      </c>
      <c r="E204" s="108"/>
      <c r="F204" s="127">
        <v>42749</v>
      </c>
      <c r="G204" s="108">
        <f>108*6+112</f>
        <v>760</v>
      </c>
      <c r="H204" s="581">
        <f t="shared" si="92"/>
        <v>3822.8</v>
      </c>
      <c r="I204" s="129">
        <v>8</v>
      </c>
      <c r="J204" s="130">
        <f t="array" ref="J204">IF(ISERROR(G204/I204),"",G204/I204)</f>
        <v>95</v>
      </c>
      <c r="K204" s="131">
        <f t="array" ref="K204">IF(ISERROR(G204/L204),"",G204/L204)</f>
        <v>14.615384615384615</v>
      </c>
      <c r="L204" s="129">
        <v>52</v>
      </c>
      <c r="M204" s="109">
        <f t="shared" ref="M204" si="101">IF(ISERROR(I204-K204),"",I204-K204)</f>
        <v>-6.615384615384615</v>
      </c>
      <c r="N204" s="130">
        <f t="shared" si="98"/>
        <v>0</v>
      </c>
      <c r="O204" s="576"/>
      <c r="P204" s="576"/>
      <c r="Q204" s="576"/>
      <c r="R204" s="576"/>
      <c r="S204" s="576"/>
      <c r="T204" s="576"/>
      <c r="U204" s="576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73" t="s">
        <v>414</v>
      </c>
      <c r="C205" s="187" t="s">
        <v>415</v>
      </c>
      <c r="D205" s="108">
        <v>5.03</v>
      </c>
      <c r="E205" s="108"/>
      <c r="F205" s="127"/>
      <c r="G205" s="108"/>
      <c r="H205" s="581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576"/>
      <c r="P205" s="576"/>
      <c r="Q205" s="576"/>
      <c r="R205" s="576"/>
      <c r="S205" s="576"/>
      <c r="T205" s="576"/>
      <c r="U205" s="576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73" t="s">
        <v>414</v>
      </c>
      <c r="C206" s="187" t="s">
        <v>416</v>
      </c>
      <c r="D206" s="108">
        <v>5.03</v>
      </c>
      <c r="E206" s="108"/>
      <c r="F206" s="127"/>
      <c r="G206" s="108"/>
      <c r="H206" s="581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576"/>
      <c r="P206" s="576"/>
      <c r="Q206" s="576"/>
      <c r="R206" s="576"/>
      <c r="S206" s="576"/>
      <c r="T206" s="576"/>
      <c r="U206" s="576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73" t="s">
        <v>414</v>
      </c>
      <c r="C207" s="187" t="s">
        <v>61</v>
      </c>
      <c r="D207" s="108">
        <v>5.03</v>
      </c>
      <c r="E207" s="108"/>
      <c r="F207" s="127"/>
      <c r="G207" s="108"/>
      <c r="H207" s="581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576"/>
      <c r="P207" s="576"/>
      <c r="Q207" s="576"/>
      <c r="R207" s="576"/>
      <c r="S207" s="576"/>
      <c r="T207" s="576"/>
      <c r="U207" s="576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73" t="s">
        <v>208</v>
      </c>
      <c r="C208" s="126" t="s">
        <v>179</v>
      </c>
      <c r="D208" s="108">
        <v>5.08</v>
      </c>
      <c r="E208" s="108"/>
      <c r="F208" s="127"/>
      <c r="G208" s="108"/>
      <c r="H208" s="581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576"/>
      <c r="P208" s="576"/>
      <c r="Q208" s="576"/>
      <c r="R208" s="576"/>
      <c r="S208" s="576"/>
      <c r="T208" s="576"/>
      <c r="U208" s="576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573" t="s">
        <v>208</v>
      </c>
      <c r="C209" s="126" t="s">
        <v>204</v>
      </c>
      <c r="D209" s="108">
        <v>5.08</v>
      </c>
      <c r="E209" s="108"/>
      <c r="F209" s="127">
        <v>42749</v>
      </c>
      <c r="G209" s="108">
        <f>108+13</f>
        <v>121</v>
      </c>
      <c r="H209" s="581">
        <f t="shared" si="92"/>
        <v>614.68000000000006</v>
      </c>
      <c r="I209" s="129">
        <v>5</v>
      </c>
      <c r="J209" s="130">
        <f t="array" ref="J209">IF(ISERROR(G209/I209),"",G209/I209)</f>
        <v>24.2</v>
      </c>
      <c r="K209" s="131">
        <f t="array" ref="K209">IF(ISERROR(G209/L209),"",G209/L209)</f>
        <v>5.7619047619047619</v>
      </c>
      <c r="L209" s="129">
        <v>21</v>
      </c>
      <c r="M209" s="109">
        <f t="shared" si="102"/>
        <v>-0.76190476190476186</v>
      </c>
      <c r="N209" s="130">
        <f t="shared" si="103"/>
        <v>0</v>
      </c>
      <c r="O209" s="576"/>
      <c r="P209" s="576"/>
      <c r="Q209" s="576"/>
      <c r="R209" s="576"/>
      <c r="S209" s="576"/>
      <c r="T209" s="576"/>
      <c r="U209" s="576"/>
      <c r="V209" s="132">
        <f t="shared" si="104"/>
        <v>0</v>
      </c>
      <c r="W209" s="133">
        <f t="shared" si="105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73" t="s">
        <v>208</v>
      </c>
      <c r="C210" s="126" t="s">
        <v>205</v>
      </c>
      <c r="D210" s="108">
        <v>5.08</v>
      </c>
      <c r="E210" s="108"/>
      <c r="F210" s="127"/>
      <c r="G210" s="108"/>
      <c r="H210" s="581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76"/>
      <c r="P210" s="576"/>
      <c r="Q210" s="576"/>
      <c r="R210" s="576"/>
      <c r="S210" s="576"/>
      <c r="T210" s="576"/>
      <c r="U210" s="576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573" t="s">
        <v>208</v>
      </c>
      <c r="C211" s="126" t="s">
        <v>186</v>
      </c>
      <c r="D211" s="108">
        <v>5.08</v>
      </c>
      <c r="E211" s="108"/>
      <c r="F211" s="127"/>
      <c r="G211" s="108"/>
      <c r="H211" s="581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576"/>
      <c r="P211" s="576"/>
      <c r="Q211" s="576"/>
      <c r="R211" s="576"/>
      <c r="S211" s="576"/>
      <c r="T211" s="576"/>
      <c r="U211" s="576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73" t="s">
        <v>208</v>
      </c>
      <c r="C212" s="126" t="s">
        <v>203</v>
      </c>
      <c r="D212" s="108">
        <v>5.08</v>
      </c>
      <c r="E212" s="108"/>
      <c r="F212" s="127"/>
      <c r="G212" s="108"/>
      <c r="H212" s="581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576"/>
      <c r="P212" s="576"/>
      <c r="Q212" s="576"/>
      <c r="R212" s="576"/>
      <c r="S212" s="576"/>
      <c r="T212" s="576"/>
      <c r="U212" s="576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73" t="s">
        <v>208</v>
      </c>
      <c r="C213" s="126" t="s">
        <v>199</v>
      </c>
      <c r="D213" s="108">
        <v>5.08</v>
      </c>
      <c r="E213" s="108"/>
      <c r="F213" s="127"/>
      <c r="G213" s="108"/>
      <c r="H213" s="581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72"/>
      <c r="P213" s="572"/>
      <c r="Q213" s="572"/>
      <c r="R213" s="572"/>
      <c r="S213" s="572"/>
      <c r="T213" s="572"/>
      <c r="U213" s="57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73" t="s">
        <v>208</v>
      </c>
      <c r="C214" s="126" t="s">
        <v>187</v>
      </c>
      <c r="D214" s="108">
        <v>5.08</v>
      </c>
      <c r="E214" s="108"/>
      <c r="F214" s="127"/>
      <c r="G214" s="108"/>
      <c r="H214" s="581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576"/>
      <c r="P214" s="576"/>
      <c r="Q214" s="576"/>
      <c r="R214" s="576"/>
      <c r="S214" s="576"/>
      <c r="T214" s="576"/>
      <c r="U214" s="576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73" t="s">
        <v>208</v>
      </c>
      <c r="C215" s="126" t="s">
        <v>207</v>
      </c>
      <c r="D215" s="108">
        <v>5.08</v>
      </c>
      <c r="E215" s="108"/>
      <c r="F215" s="127"/>
      <c r="G215" s="108"/>
      <c r="H215" s="581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572"/>
      <c r="P215" s="572"/>
      <c r="Q215" s="572"/>
      <c r="R215" s="572"/>
      <c r="S215" s="572"/>
      <c r="T215" s="572"/>
      <c r="U215" s="57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73" t="s">
        <v>209</v>
      </c>
      <c r="C216" s="126" t="s">
        <v>194</v>
      </c>
      <c r="D216" s="108">
        <v>5.03</v>
      </c>
      <c r="E216" s="108"/>
      <c r="F216" s="127"/>
      <c r="G216" s="108"/>
      <c r="H216" s="581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76"/>
      <c r="P216" s="576"/>
      <c r="Q216" s="576"/>
      <c r="R216" s="576"/>
      <c r="S216" s="576"/>
      <c r="T216" s="576"/>
      <c r="U216" s="576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73" t="s">
        <v>209</v>
      </c>
      <c r="C217" s="126" t="s">
        <v>179</v>
      </c>
      <c r="D217" s="108">
        <v>5.03</v>
      </c>
      <c r="E217" s="108"/>
      <c r="F217" s="127"/>
      <c r="G217" s="108"/>
      <c r="H217" s="581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76"/>
      <c r="P217" s="576"/>
      <c r="Q217" s="576"/>
      <c r="R217" s="576"/>
      <c r="S217" s="576"/>
      <c r="T217" s="576"/>
      <c r="U217" s="576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573" t="s">
        <v>209</v>
      </c>
      <c r="C218" s="126" t="s">
        <v>195</v>
      </c>
      <c r="D218" s="108">
        <v>5.03</v>
      </c>
      <c r="E218" s="108"/>
      <c r="F218" s="127">
        <v>42746</v>
      </c>
      <c r="G218" s="108">
        <v>20</v>
      </c>
      <c r="H218" s="581">
        <f t="shared" si="92"/>
        <v>100.60000000000001</v>
      </c>
      <c r="I218" s="129">
        <v>0.5</v>
      </c>
      <c r="J218" s="130">
        <f t="array" ref="J218">IF(ISERROR(G218/I218),"",G218/I218)</f>
        <v>40</v>
      </c>
      <c r="K218" s="131">
        <f t="array" ref="K218">IF(ISERROR(G218/L218),"",G218/L218)</f>
        <v>0.35714285714285715</v>
      </c>
      <c r="L218" s="129">
        <v>56</v>
      </c>
      <c r="M218" s="109">
        <f t="shared" si="102"/>
        <v>0.14285714285714285</v>
      </c>
      <c r="N218" s="130">
        <f t="shared" si="103"/>
        <v>0</v>
      </c>
      <c r="O218" s="576"/>
      <c r="P218" s="576"/>
      <c r="Q218" s="576"/>
      <c r="R218" s="576"/>
      <c r="S218" s="576"/>
      <c r="T218" s="576"/>
      <c r="U218" s="576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73" t="s">
        <v>209</v>
      </c>
      <c r="C219" s="126" t="s">
        <v>204</v>
      </c>
      <c r="D219" s="108">
        <v>5.03</v>
      </c>
      <c r="E219" s="108"/>
      <c r="F219" s="127"/>
      <c r="G219" s="108"/>
      <c r="H219" s="581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576"/>
      <c r="P219" s="576"/>
      <c r="Q219" s="576"/>
      <c r="R219" s="576"/>
      <c r="S219" s="576"/>
      <c r="T219" s="576"/>
      <c r="U219" s="576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73" t="s">
        <v>382</v>
      </c>
      <c r="C220" s="187" t="s">
        <v>383</v>
      </c>
      <c r="D220" s="108">
        <v>5.03</v>
      </c>
      <c r="E220" s="108"/>
      <c r="F220" s="127"/>
      <c r="G220" s="108"/>
      <c r="H220" s="581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76"/>
      <c r="P220" s="576"/>
      <c r="Q220" s="576"/>
      <c r="R220" s="576"/>
      <c r="S220" s="576"/>
      <c r="T220" s="576"/>
      <c r="U220" s="576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573" t="s">
        <v>382</v>
      </c>
      <c r="C221" s="187" t="s">
        <v>384</v>
      </c>
      <c r="D221" s="108">
        <v>5.03</v>
      </c>
      <c r="E221" s="108"/>
      <c r="F221" s="127">
        <v>42750</v>
      </c>
      <c r="G221" s="108">
        <f>90+90</f>
        <v>180</v>
      </c>
      <c r="H221" s="581">
        <f t="shared" si="92"/>
        <v>905.40000000000009</v>
      </c>
      <c r="I221" s="129">
        <v>3</v>
      </c>
      <c r="J221" s="130">
        <f t="array" ref="J221">IF(ISERROR(G221/I221),"",G221/I221)</f>
        <v>60</v>
      </c>
      <c r="K221" s="131">
        <f t="array" ref="K221">IF(ISERROR(G221/L221),"",G221/L221)</f>
        <v>3.3333333333333335</v>
      </c>
      <c r="L221" s="129">
        <v>54</v>
      </c>
      <c r="M221" s="109">
        <f t="shared" si="102"/>
        <v>-0.33333333333333348</v>
      </c>
      <c r="N221" s="130">
        <f t="shared" si="103"/>
        <v>0</v>
      </c>
      <c r="O221" s="576"/>
      <c r="P221" s="576"/>
      <c r="Q221" s="576"/>
      <c r="R221" s="576"/>
      <c r="S221" s="576"/>
      <c r="T221" s="576"/>
      <c r="U221" s="576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73" t="s">
        <v>382</v>
      </c>
      <c r="C222" s="187" t="s">
        <v>389</v>
      </c>
      <c r="D222" s="108">
        <v>5.03</v>
      </c>
      <c r="E222" s="108"/>
      <c r="F222" s="127"/>
      <c r="G222" s="108"/>
      <c r="H222" s="581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76"/>
      <c r="P222" s="576"/>
      <c r="Q222" s="576"/>
      <c r="R222" s="576"/>
      <c r="S222" s="576"/>
      <c r="T222" s="576"/>
      <c r="U222" s="576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573" t="s">
        <v>382</v>
      </c>
      <c r="C223" s="187" t="s">
        <v>391</v>
      </c>
      <c r="D223" s="108">
        <v>5.03</v>
      </c>
      <c r="E223" s="108"/>
      <c r="F223" s="127"/>
      <c r="G223" s="108"/>
      <c r="H223" s="581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576"/>
      <c r="P223" s="576"/>
      <c r="Q223" s="576"/>
      <c r="R223" s="576"/>
      <c r="S223" s="576"/>
      <c r="T223" s="576"/>
      <c r="U223" s="576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73" t="s">
        <v>418</v>
      </c>
      <c r="C224" s="187" t="s">
        <v>364</v>
      </c>
      <c r="D224" s="108">
        <v>5.03</v>
      </c>
      <c r="E224" s="108"/>
      <c r="F224" s="127"/>
      <c r="G224" s="108"/>
      <c r="H224" s="581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76"/>
      <c r="P224" s="576"/>
      <c r="Q224" s="576"/>
      <c r="R224" s="576"/>
      <c r="S224" s="576"/>
      <c r="T224" s="576"/>
      <c r="U224" s="576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73" t="s">
        <v>418</v>
      </c>
      <c r="C225" s="187" t="s">
        <v>365</v>
      </c>
      <c r="D225" s="108">
        <v>5.03</v>
      </c>
      <c r="E225" s="108"/>
      <c r="F225" s="127"/>
      <c r="G225" s="108"/>
      <c r="H225" s="581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76"/>
      <c r="P225" s="576"/>
      <c r="Q225" s="576"/>
      <c r="R225" s="576"/>
      <c r="S225" s="576"/>
      <c r="T225" s="576"/>
      <c r="U225" s="576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73" t="s">
        <v>418</v>
      </c>
      <c r="C226" s="187" t="s">
        <v>366</v>
      </c>
      <c r="D226" s="108">
        <v>5.03</v>
      </c>
      <c r="E226" s="108"/>
      <c r="F226" s="127"/>
      <c r="G226" s="108"/>
      <c r="H226" s="581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76"/>
      <c r="P226" s="576"/>
      <c r="Q226" s="576"/>
      <c r="R226" s="576"/>
      <c r="S226" s="576"/>
      <c r="T226" s="576"/>
      <c r="U226" s="576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73" t="s">
        <v>418</v>
      </c>
      <c r="C227" s="187" t="s">
        <v>367</v>
      </c>
      <c r="D227" s="108">
        <v>5.03</v>
      </c>
      <c r="E227" s="108"/>
      <c r="F227" s="127"/>
      <c r="G227" s="108"/>
      <c r="H227" s="581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576"/>
      <c r="P227" s="576"/>
      <c r="Q227" s="576"/>
      <c r="R227" s="576"/>
      <c r="S227" s="576"/>
      <c r="T227" s="576"/>
      <c r="U227" s="576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08"/>
      <c r="H228" s="581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572"/>
      <c r="P228" s="572"/>
      <c r="Q228" s="572"/>
      <c r="R228" s="572"/>
      <c r="S228" s="572"/>
      <c r="T228" s="572"/>
      <c r="U228" s="57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08"/>
      <c r="H229" s="581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572"/>
      <c r="P229" s="572"/>
      <c r="Q229" s="572"/>
      <c r="R229" s="572"/>
      <c r="S229" s="572"/>
      <c r="T229" s="572"/>
      <c r="U229" s="572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08"/>
      <c r="H230" s="581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572"/>
      <c r="P230" s="572"/>
      <c r="Q230" s="572"/>
      <c r="R230" s="572"/>
      <c r="S230" s="572"/>
      <c r="T230" s="572"/>
      <c r="U230" s="572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08"/>
      <c r="H231" s="581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572"/>
      <c r="P231" s="572"/>
      <c r="Q231" s="572"/>
      <c r="R231" s="572"/>
      <c r="S231" s="572"/>
      <c r="T231" s="572"/>
      <c r="U231" s="57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08"/>
      <c r="H232" s="581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572"/>
      <c r="P232" s="572"/>
      <c r="Q232" s="572"/>
      <c r="R232" s="572"/>
      <c r="S232" s="572"/>
      <c r="T232" s="572"/>
      <c r="U232" s="57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08"/>
      <c r="H233" s="581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572"/>
      <c r="P233" s="572"/>
      <c r="Q233" s="572"/>
      <c r="R233" s="572"/>
      <c r="S233" s="572"/>
      <c r="T233" s="572"/>
      <c r="U233" s="57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08"/>
      <c r="H234" s="581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572"/>
      <c r="P234" s="572"/>
      <c r="Q234" s="572"/>
      <c r="R234" s="572"/>
      <c r="S234" s="572"/>
      <c r="T234" s="572"/>
      <c r="U234" s="57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08"/>
      <c r="H235" s="581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572"/>
      <c r="P235" s="572"/>
      <c r="Q235" s="572"/>
      <c r="R235" s="572"/>
      <c r="S235" s="572"/>
      <c r="T235" s="572"/>
      <c r="U235" s="57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08"/>
      <c r="H236" s="581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572"/>
      <c r="P236" s="572"/>
      <c r="Q236" s="572"/>
      <c r="R236" s="572"/>
      <c r="S236" s="572"/>
      <c r="T236" s="572"/>
      <c r="U236" s="57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>
        <v>42750</v>
      </c>
      <c r="G237" s="108">
        <f>90*5+67+90</f>
        <v>607</v>
      </c>
      <c r="H237" s="581">
        <f t="shared" si="92"/>
        <v>3053.21</v>
      </c>
      <c r="I237" s="129">
        <v>8.5</v>
      </c>
      <c r="J237" s="130">
        <f t="array" ref="J237">IF(ISERROR(G237/I237),"",G237/I237)</f>
        <v>71.411764705882348</v>
      </c>
      <c r="K237" s="131">
        <f t="array" ref="K237">IF(ISERROR(G237/L237),"",G237/L237)</f>
        <v>12.14</v>
      </c>
      <c r="L237" s="129">
        <v>50</v>
      </c>
      <c r="M237" s="109">
        <f t="shared" si="102"/>
        <v>-3.6400000000000006</v>
      </c>
      <c r="N237" s="130">
        <f t="shared" si="103"/>
        <v>0</v>
      </c>
      <c r="O237" s="572"/>
      <c r="P237" s="572"/>
      <c r="Q237" s="572"/>
      <c r="R237" s="572"/>
      <c r="S237" s="572"/>
      <c r="T237" s="572"/>
      <c r="U237" s="572"/>
      <c r="V237" s="132">
        <f t="shared" si="106"/>
        <v>0</v>
      </c>
      <c r="W237" s="133">
        <f t="shared" si="107"/>
        <v>0</v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08"/>
      <c r="H238" s="581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572"/>
      <c r="P238" s="572"/>
      <c r="Q238" s="572"/>
      <c r="R238" s="572"/>
      <c r="S238" s="572"/>
      <c r="T238" s="572"/>
      <c r="U238" s="57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08"/>
      <c r="H239" s="581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572"/>
      <c r="P239" s="572"/>
      <c r="Q239" s="572"/>
      <c r="R239" s="572"/>
      <c r="S239" s="572"/>
      <c r="T239" s="572"/>
      <c r="U239" s="57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08"/>
      <c r="H240" s="581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572"/>
      <c r="P240" s="572"/>
      <c r="Q240" s="572"/>
      <c r="R240" s="572"/>
      <c r="S240" s="572"/>
      <c r="T240" s="572"/>
      <c r="U240" s="57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08"/>
      <c r="H241" s="581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572"/>
      <c r="P241" s="572"/>
      <c r="Q241" s="572"/>
      <c r="R241" s="572"/>
      <c r="S241" s="572"/>
      <c r="T241" s="572"/>
      <c r="U241" s="57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08"/>
      <c r="H242" s="581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572"/>
      <c r="P242" s="572"/>
      <c r="Q242" s="572"/>
      <c r="R242" s="572"/>
      <c r="S242" s="572"/>
      <c r="T242" s="572"/>
      <c r="U242" s="57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08"/>
      <c r="H243" s="581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572"/>
      <c r="P243" s="572"/>
      <c r="Q243" s="572"/>
      <c r="R243" s="572"/>
      <c r="S243" s="572"/>
      <c r="T243" s="572"/>
      <c r="U243" s="57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08"/>
      <c r="H244" s="581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572"/>
      <c r="P244" s="572"/>
      <c r="Q244" s="572"/>
      <c r="R244" s="572"/>
      <c r="S244" s="572"/>
      <c r="T244" s="572"/>
      <c r="U244" s="57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08"/>
      <c r="H245" s="581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572"/>
      <c r="P245" s="572"/>
      <c r="Q245" s="572"/>
      <c r="R245" s="572"/>
      <c r="S245" s="572"/>
      <c r="T245" s="572"/>
      <c r="U245" s="57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08"/>
      <c r="H246" s="581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572"/>
      <c r="P246" s="572"/>
      <c r="Q246" s="572"/>
      <c r="R246" s="572"/>
      <c r="S246" s="572"/>
      <c r="T246" s="572"/>
      <c r="U246" s="57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08"/>
      <c r="H247" s="581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572"/>
      <c r="P247" s="572"/>
      <c r="Q247" s="572"/>
      <c r="R247" s="572"/>
      <c r="S247" s="572"/>
      <c r="T247" s="572"/>
      <c r="U247" s="57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08"/>
      <c r="H248" s="581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572"/>
      <c r="P248" s="572"/>
      <c r="Q248" s="572"/>
      <c r="R248" s="572"/>
      <c r="S248" s="572"/>
      <c r="T248" s="572"/>
      <c r="U248" s="57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08"/>
      <c r="H249" s="581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572"/>
      <c r="P249" s="572"/>
      <c r="Q249" s="572"/>
      <c r="R249" s="572"/>
      <c r="S249" s="572"/>
      <c r="T249" s="572"/>
      <c r="U249" s="57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08"/>
      <c r="H250" s="581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572"/>
      <c r="P250" s="572"/>
      <c r="Q250" s="572"/>
      <c r="R250" s="572"/>
      <c r="S250" s="572"/>
      <c r="T250" s="572"/>
      <c r="U250" s="57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08"/>
      <c r="H251" s="581">
        <f t="shared" si="92"/>
        <v>0</v>
      </c>
      <c r="I251" s="129"/>
      <c r="J251" s="130"/>
      <c r="K251" s="131"/>
      <c r="L251" s="129">
        <v>4</v>
      </c>
      <c r="M251" s="109"/>
      <c r="N251" s="130"/>
      <c r="O251" s="572"/>
      <c r="P251" s="572"/>
      <c r="Q251" s="572"/>
      <c r="R251" s="572"/>
      <c r="S251" s="572"/>
      <c r="T251" s="572"/>
      <c r="U251" s="57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08"/>
      <c r="H252" s="581">
        <f t="shared" si="92"/>
        <v>0</v>
      </c>
      <c r="I252" s="129"/>
      <c r="J252" s="130"/>
      <c r="K252" s="131"/>
      <c r="L252" s="129">
        <v>4</v>
      </c>
      <c r="M252" s="109"/>
      <c r="N252" s="130"/>
      <c r="O252" s="572"/>
      <c r="P252" s="572"/>
      <c r="Q252" s="572"/>
      <c r="R252" s="572"/>
      <c r="S252" s="572"/>
      <c r="T252" s="572"/>
      <c r="U252" s="57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08"/>
      <c r="H253" s="581">
        <f t="shared" si="92"/>
        <v>0</v>
      </c>
      <c r="I253" s="129"/>
      <c r="J253" s="130"/>
      <c r="K253" s="131"/>
      <c r="L253" s="129">
        <v>4</v>
      </c>
      <c r="M253" s="109"/>
      <c r="N253" s="130"/>
      <c r="O253" s="572"/>
      <c r="P253" s="572"/>
      <c r="Q253" s="572"/>
      <c r="R253" s="572"/>
      <c r="S253" s="572"/>
      <c r="T253" s="572"/>
      <c r="U253" s="57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08"/>
      <c r="H254" s="581">
        <f t="shared" si="92"/>
        <v>0</v>
      </c>
      <c r="I254" s="129"/>
      <c r="J254" s="130"/>
      <c r="K254" s="131"/>
      <c r="L254" s="129">
        <v>4</v>
      </c>
      <c r="M254" s="109"/>
      <c r="N254" s="130"/>
      <c r="O254" s="572"/>
      <c r="P254" s="572"/>
      <c r="Q254" s="572"/>
      <c r="R254" s="572"/>
      <c r="S254" s="572"/>
      <c r="T254" s="572"/>
      <c r="U254" s="57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08"/>
      <c r="H255" s="581">
        <f t="shared" si="92"/>
        <v>0</v>
      </c>
      <c r="I255" s="129"/>
      <c r="J255" s="130"/>
      <c r="K255" s="131"/>
      <c r="L255" s="129">
        <v>4</v>
      </c>
      <c r="M255" s="109"/>
      <c r="N255" s="130"/>
      <c r="O255" s="572"/>
      <c r="P255" s="572"/>
      <c r="Q255" s="572"/>
      <c r="R255" s="572"/>
      <c r="S255" s="572"/>
      <c r="T255" s="572"/>
      <c r="U255" s="57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08"/>
      <c r="H256" s="581">
        <f t="shared" si="92"/>
        <v>0</v>
      </c>
      <c r="I256" s="129"/>
      <c r="J256" s="130"/>
      <c r="K256" s="131"/>
      <c r="L256" s="129">
        <v>4</v>
      </c>
      <c r="M256" s="109"/>
      <c r="N256" s="130"/>
      <c r="O256" s="572"/>
      <c r="P256" s="572"/>
      <c r="Q256" s="572"/>
      <c r="R256" s="572"/>
      <c r="S256" s="572"/>
      <c r="T256" s="572"/>
      <c r="U256" s="572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79" t="s">
        <v>202</v>
      </c>
      <c r="D257" s="143"/>
      <c r="E257" s="143"/>
      <c r="F257" s="144"/>
      <c r="G257" s="143">
        <f>SUM(G200:G256)</f>
        <v>2034</v>
      </c>
      <c r="H257" s="146">
        <f>SUM(H200:H256)</f>
        <v>10237.07</v>
      </c>
      <c r="I257" s="146">
        <f>SUM(I200:I256)</f>
        <v>30</v>
      </c>
      <c r="J257" s="130">
        <f t="array" ref="J257">IF(ISERROR(G257/I257),"",G257/I257)</f>
        <v>67.8</v>
      </c>
      <c r="K257" s="146">
        <f>SUM(K200:K256)</f>
        <v>42.861611721611723</v>
      </c>
      <c r="L257" s="147"/>
      <c r="M257" s="150">
        <f t="shared" ref="M257:V257" si="115">SUM(M200:M256)</f>
        <v>-12.861611721611721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73" t="s">
        <v>217</v>
      </c>
      <c r="C258" s="126" t="s">
        <v>179</v>
      </c>
      <c r="D258" s="108">
        <v>5.03</v>
      </c>
      <c r="E258" s="108"/>
      <c r="F258" s="127"/>
      <c r="G258" s="108"/>
      <c r="H258" s="581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572"/>
      <c r="P258" s="572"/>
      <c r="Q258" s="572"/>
      <c r="R258" s="572"/>
      <c r="S258" s="572"/>
      <c r="T258" s="572"/>
      <c r="U258" s="57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73" t="s">
        <v>217</v>
      </c>
      <c r="C259" s="126" t="s">
        <v>186</v>
      </c>
      <c r="D259" s="108">
        <v>5.03</v>
      </c>
      <c r="E259" s="108"/>
      <c r="F259" s="127"/>
      <c r="G259" s="108"/>
      <c r="H259" s="581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572"/>
      <c r="P259" s="572"/>
      <c r="Q259" s="572"/>
      <c r="R259" s="572"/>
      <c r="S259" s="572"/>
      <c r="T259" s="572"/>
      <c r="U259" s="57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73" t="s">
        <v>217</v>
      </c>
      <c r="C260" s="126" t="s">
        <v>204</v>
      </c>
      <c r="D260" s="108">
        <v>5.03</v>
      </c>
      <c r="E260" s="108"/>
      <c r="F260" s="127"/>
      <c r="G260" s="108"/>
      <c r="H260" s="581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572"/>
      <c r="P260" s="572"/>
      <c r="Q260" s="572"/>
      <c r="R260" s="572"/>
      <c r="S260" s="572"/>
      <c r="T260" s="572"/>
      <c r="U260" s="57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08"/>
      <c r="H261" s="581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572"/>
      <c r="P261" s="572"/>
      <c r="Q261" s="572"/>
      <c r="R261" s="572"/>
      <c r="S261" s="572"/>
      <c r="T261" s="572"/>
      <c r="U261" s="57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08"/>
      <c r="H262" s="581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572"/>
      <c r="P262" s="572"/>
      <c r="Q262" s="572"/>
      <c r="R262" s="572"/>
      <c r="S262" s="572"/>
      <c r="T262" s="572"/>
      <c r="U262" s="572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08"/>
      <c r="H263" s="581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572"/>
      <c r="P263" s="572"/>
      <c r="Q263" s="572"/>
      <c r="R263" s="572"/>
      <c r="S263" s="572"/>
      <c r="T263" s="572"/>
      <c r="U263" s="57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08"/>
      <c r="H264" s="581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572"/>
      <c r="P264" s="572"/>
      <c r="Q264" s="572"/>
      <c r="R264" s="572"/>
      <c r="S264" s="572"/>
      <c r="T264" s="572"/>
      <c r="U264" s="57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08"/>
      <c r="H265" s="581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572"/>
      <c r="P265" s="572"/>
      <c r="Q265" s="572"/>
      <c r="R265" s="572"/>
      <c r="S265" s="572"/>
      <c r="T265" s="572"/>
      <c r="U265" s="57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08"/>
      <c r="H266" s="581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72"/>
      <c r="P266" s="572"/>
      <c r="Q266" s="572"/>
      <c r="R266" s="572"/>
      <c r="S266" s="572"/>
      <c r="T266" s="572"/>
      <c r="U266" s="57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08"/>
      <c r="H267" s="581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72"/>
      <c r="P267" s="572"/>
      <c r="Q267" s="572"/>
      <c r="R267" s="572"/>
      <c r="S267" s="572"/>
      <c r="T267" s="572"/>
      <c r="U267" s="57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08"/>
      <c r="H268" s="581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72"/>
      <c r="P268" s="572"/>
      <c r="Q268" s="572"/>
      <c r="R268" s="572"/>
      <c r="S268" s="572"/>
      <c r="T268" s="572"/>
      <c r="U268" s="57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08"/>
      <c r="H269" s="581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72"/>
      <c r="P269" s="572"/>
      <c r="Q269" s="572"/>
      <c r="R269" s="572"/>
      <c r="S269" s="572"/>
      <c r="T269" s="572"/>
      <c r="U269" s="57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08"/>
      <c r="H270" s="581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572"/>
      <c r="P270" s="572"/>
      <c r="Q270" s="572"/>
      <c r="R270" s="572"/>
      <c r="S270" s="572"/>
      <c r="T270" s="572"/>
      <c r="U270" s="57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08"/>
      <c r="H271" s="581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572"/>
      <c r="P271" s="572"/>
      <c r="Q271" s="572"/>
      <c r="R271" s="572"/>
      <c r="S271" s="572"/>
      <c r="T271" s="572"/>
      <c r="U271" s="57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08"/>
      <c r="H272" s="581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572"/>
      <c r="P272" s="572"/>
      <c r="Q272" s="572"/>
      <c r="R272" s="572"/>
      <c r="S272" s="572"/>
      <c r="T272" s="572"/>
      <c r="U272" s="57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08"/>
      <c r="H273" s="581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572"/>
      <c r="P273" s="572"/>
      <c r="Q273" s="572"/>
      <c r="R273" s="572"/>
      <c r="S273" s="572"/>
      <c r="T273" s="572"/>
      <c r="U273" s="57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73" t="s">
        <v>222</v>
      </c>
      <c r="C274" s="126" t="s">
        <v>181</v>
      </c>
      <c r="D274" s="108">
        <v>9.36</v>
      </c>
      <c r="E274" s="108"/>
      <c r="F274" s="127"/>
      <c r="G274" s="108"/>
      <c r="H274" s="581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572"/>
      <c r="P274" s="572"/>
      <c r="Q274" s="572"/>
      <c r="R274" s="572"/>
      <c r="S274" s="572"/>
      <c r="T274" s="572"/>
      <c r="U274" s="57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73" t="s">
        <v>222</v>
      </c>
      <c r="C275" s="126" t="s">
        <v>179</v>
      </c>
      <c r="D275" s="108">
        <v>9.36</v>
      </c>
      <c r="E275" s="108"/>
      <c r="F275" s="127"/>
      <c r="G275" s="108"/>
      <c r="H275" s="581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572"/>
      <c r="P275" s="572"/>
      <c r="Q275" s="572"/>
      <c r="R275" s="572"/>
      <c r="S275" s="572"/>
      <c r="T275" s="572"/>
      <c r="U275" s="57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73" t="s">
        <v>222</v>
      </c>
      <c r="C276" s="126" t="s">
        <v>221</v>
      </c>
      <c r="D276" s="108">
        <v>9.36</v>
      </c>
      <c r="E276" s="108"/>
      <c r="F276" s="127"/>
      <c r="G276" s="108"/>
      <c r="H276" s="581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572"/>
      <c r="P276" s="572"/>
      <c r="Q276" s="572"/>
      <c r="R276" s="572"/>
      <c r="S276" s="572"/>
      <c r="T276" s="572"/>
      <c r="U276" s="57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73" t="s">
        <v>222</v>
      </c>
      <c r="C277" s="126" t="s">
        <v>186</v>
      </c>
      <c r="D277" s="108">
        <v>9.36</v>
      </c>
      <c r="E277" s="108"/>
      <c r="F277" s="127"/>
      <c r="G277" s="108"/>
      <c r="H277" s="581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572"/>
      <c r="P277" s="572"/>
      <c r="Q277" s="572"/>
      <c r="R277" s="572"/>
      <c r="S277" s="572"/>
      <c r="T277" s="572"/>
      <c r="U277" s="57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573" t="s">
        <v>393</v>
      </c>
      <c r="C278" s="187" t="s">
        <v>395</v>
      </c>
      <c r="D278" s="108">
        <v>5</v>
      </c>
      <c r="E278" s="108"/>
      <c r="F278" s="127">
        <v>42751</v>
      </c>
      <c r="G278" s="108">
        <f>56+60</f>
        <v>116</v>
      </c>
      <c r="H278" s="581">
        <f t="shared" si="117"/>
        <v>580</v>
      </c>
      <c r="I278" s="129">
        <f>2*4+2*3</f>
        <v>14</v>
      </c>
      <c r="J278" s="130">
        <f t="array" ref="J278">IF(ISERROR(G278/I278),"",G278/I278)</f>
        <v>8.2857142857142865</v>
      </c>
      <c r="K278" s="131">
        <f t="array" ref="K278">IF(ISERROR(G278/L278),"",G278/L278)</f>
        <v>23.2</v>
      </c>
      <c r="L278" s="129">
        <v>5</v>
      </c>
      <c r="M278" s="109">
        <f t="shared" si="121"/>
        <v>-9.1999999999999993</v>
      </c>
      <c r="N278" s="130">
        <f t="shared" si="122"/>
        <v>0</v>
      </c>
      <c r="O278" s="572"/>
      <c r="P278" s="572"/>
      <c r="Q278" s="572"/>
      <c r="R278" s="572"/>
      <c r="S278" s="572"/>
      <c r="T278" s="572"/>
      <c r="U278" s="572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573" t="s">
        <v>393</v>
      </c>
      <c r="C279" s="187" t="s">
        <v>402</v>
      </c>
      <c r="D279" s="108">
        <v>5</v>
      </c>
      <c r="E279" s="108"/>
      <c r="F279" s="127">
        <v>42745</v>
      </c>
      <c r="G279" s="108">
        <v>14</v>
      </c>
      <c r="H279" s="581">
        <f t="shared" si="117"/>
        <v>70</v>
      </c>
      <c r="I279" s="129">
        <v>3</v>
      </c>
      <c r="J279" s="130">
        <f t="array" ref="J279">IF(ISERROR(G279/I279),"",G279/I279)</f>
        <v>4.666666666666667</v>
      </c>
      <c r="K279" s="131">
        <f t="array" ref="K279">IF(ISERROR(G279/L279),"",G279/L279)</f>
        <v>2.8</v>
      </c>
      <c r="L279" s="129">
        <v>5</v>
      </c>
      <c r="M279" s="109">
        <f t="shared" si="121"/>
        <v>0.20000000000000018</v>
      </c>
      <c r="N279" s="130">
        <f t="shared" si="122"/>
        <v>0</v>
      </c>
      <c r="O279" s="572"/>
      <c r="P279" s="572"/>
      <c r="Q279" s="572"/>
      <c r="R279" s="572"/>
      <c r="S279" s="572"/>
      <c r="T279" s="572"/>
      <c r="U279" s="57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73" t="s">
        <v>404</v>
      </c>
      <c r="C280" s="187" t="s">
        <v>405</v>
      </c>
      <c r="D280" s="108">
        <v>5</v>
      </c>
      <c r="E280" s="108"/>
      <c r="F280" s="127"/>
      <c r="G280" s="108"/>
      <c r="H280" s="581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572"/>
      <c r="P280" s="572"/>
      <c r="Q280" s="572"/>
      <c r="R280" s="572"/>
      <c r="S280" s="572"/>
      <c r="T280" s="572"/>
      <c r="U280" s="57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73" t="s">
        <v>342</v>
      </c>
      <c r="C281" s="187" t="s">
        <v>372</v>
      </c>
      <c r="D281" s="108">
        <v>5</v>
      </c>
      <c r="E281" s="108"/>
      <c r="F281" s="127"/>
      <c r="G281" s="108"/>
      <c r="H281" s="581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572"/>
      <c r="P281" s="572"/>
      <c r="Q281" s="572"/>
      <c r="R281" s="572"/>
      <c r="S281" s="572"/>
      <c r="T281" s="572"/>
      <c r="U281" s="57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73" t="s">
        <v>343</v>
      </c>
      <c r="C282" s="126" t="s">
        <v>345</v>
      </c>
      <c r="D282" s="108">
        <v>5</v>
      </c>
      <c r="E282" s="108"/>
      <c r="F282" s="127"/>
      <c r="G282" s="108"/>
      <c r="H282" s="581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572"/>
      <c r="P282" s="572"/>
      <c r="Q282" s="572"/>
      <c r="R282" s="572"/>
      <c r="S282" s="572"/>
      <c r="T282" s="572"/>
      <c r="U282" s="57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73" t="s">
        <v>343</v>
      </c>
      <c r="C283" s="126" t="s">
        <v>347</v>
      </c>
      <c r="D283" s="108">
        <v>5</v>
      </c>
      <c r="E283" s="108"/>
      <c r="F283" s="127"/>
      <c r="G283" s="108"/>
      <c r="H283" s="581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572"/>
      <c r="P283" s="572"/>
      <c r="Q283" s="572"/>
      <c r="R283" s="572"/>
      <c r="S283" s="572"/>
      <c r="T283" s="572"/>
      <c r="U283" s="57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08"/>
      <c r="H284" s="581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572"/>
      <c r="P284" s="572"/>
      <c r="Q284" s="572"/>
      <c r="R284" s="572"/>
      <c r="S284" s="572"/>
      <c r="T284" s="572"/>
      <c r="U284" s="57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08"/>
      <c r="H285" s="581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572"/>
      <c r="P285" s="572"/>
      <c r="Q285" s="572"/>
      <c r="R285" s="572"/>
      <c r="S285" s="572"/>
      <c r="T285" s="572"/>
      <c r="U285" s="57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08"/>
      <c r="H286" s="581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572"/>
      <c r="P286" s="572"/>
      <c r="Q286" s="572"/>
      <c r="R286" s="572"/>
      <c r="S286" s="572"/>
      <c r="T286" s="572"/>
      <c r="U286" s="57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08"/>
      <c r="H287" s="581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572"/>
      <c r="P287" s="572"/>
      <c r="Q287" s="572"/>
      <c r="R287" s="572"/>
      <c r="S287" s="572"/>
      <c r="T287" s="572"/>
      <c r="U287" s="57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08"/>
      <c r="H288" s="581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572"/>
      <c r="P288" s="572"/>
      <c r="Q288" s="572"/>
      <c r="R288" s="572"/>
      <c r="S288" s="572"/>
      <c r="T288" s="572"/>
      <c r="U288" s="57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08"/>
      <c r="H289" s="581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572"/>
      <c r="P289" s="572"/>
      <c r="Q289" s="572"/>
      <c r="R289" s="572"/>
      <c r="S289" s="572"/>
      <c r="T289" s="572"/>
      <c r="U289" s="57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08"/>
      <c r="H290" s="581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572"/>
      <c r="P290" s="572"/>
      <c r="Q290" s="572"/>
      <c r="R290" s="572"/>
      <c r="S290" s="572"/>
      <c r="T290" s="572"/>
      <c r="U290" s="57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>
        <v>42745</v>
      </c>
      <c r="G291" s="108">
        <f>4+82</f>
        <v>86</v>
      </c>
      <c r="H291" s="581">
        <f t="shared" si="117"/>
        <v>435.15999999999997</v>
      </c>
      <c r="I291" s="129">
        <v>10</v>
      </c>
      <c r="J291" s="130">
        <f t="array" ref="J291">IF(ISERROR(G291/I291),"",G291/I291)</f>
        <v>8.6</v>
      </c>
      <c r="K291" s="581">
        <f t="array" ref="K291">IF(ISERROR(G291/L291),"",G291/L291)</f>
        <v>9.5555555555555554</v>
      </c>
      <c r="L291" s="129">
        <v>9</v>
      </c>
      <c r="M291" s="109">
        <f t="shared" si="128"/>
        <v>0.44444444444444464</v>
      </c>
      <c r="N291" s="130">
        <f t="shared" si="129"/>
        <v>0</v>
      </c>
      <c r="O291" s="572"/>
      <c r="P291" s="572"/>
      <c r="Q291" s="572"/>
      <c r="R291" s="572"/>
      <c r="S291" s="572"/>
      <c r="T291" s="572"/>
      <c r="U291" s="572"/>
      <c r="V291" s="132">
        <f t="shared" si="130"/>
        <v>0</v>
      </c>
      <c r="W291" s="133">
        <f t="shared" si="131"/>
        <v>0</v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579" t="s">
        <v>202</v>
      </c>
      <c r="D292" s="143"/>
      <c r="E292" s="143"/>
      <c r="F292" s="144"/>
      <c r="G292" s="143">
        <f>SUM(G258:G291)</f>
        <v>216</v>
      </c>
      <c r="H292" s="146">
        <f>SUM(H258:H291)</f>
        <v>1085.1599999999999</v>
      </c>
      <c r="I292" s="146">
        <f>SUM(I258:I291)</f>
        <v>27</v>
      </c>
      <c r="J292" s="130">
        <f t="array" ref="J292">IF(ISERROR(G292/I292),"",G292/I292)</f>
        <v>8</v>
      </c>
      <c r="K292" s="146">
        <f>SUM(K258:K291)</f>
        <v>35.555555555555557</v>
      </c>
      <c r="L292" s="147"/>
      <c r="M292" s="150">
        <f t="shared" ref="M292:V292" si="132">SUM(M258:M291)</f>
        <v>-8.5555555555555554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42746</v>
      </c>
      <c r="G293" s="108">
        <v>4</v>
      </c>
      <c r="H293" s="581">
        <f t="shared" ref="H293:H307" si="133">D293*G293</f>
        <v>20.12</v>
      </c>
      <c r="I293" s="129">
        <v>0.16</v>
      </c>
      <c r="J293" s="130">
        <f t="array" ref="J293">IF(ISERROR(G293/I293),"",G293/I293)</f>
        <v>25</v>
      </c>
      <c r="K293" s="131">
        <f t="array" ref="K293">IF(ISERROR(G293/L293),"",G293/L293)</f>
        <v>0.16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572"/>
      <c r="P293" s="572"/>
      <c r="Q293" s="572"/>
      <c r="R293" s="572"/>
      <c r="S293" s="572"/>
      <c r="T293" s="572"/>
      <c r="U293" s="572"/>
      <c r="V293" s="132">
        <f t="shared" ref="V293:V307" si="136">SUM(X293:AA293)</f>
        <v>0</v>
      </c>
      <c r="W293" s="133">
        <f t="shared" si="131"/>
        <v>0</v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>
        <v>42746</v>
      </c>
      <c r="G294" s="108">
        <v>3</v>
      </c>
      <c r="H294" s="581">
        <f t="shared" si="133"/>
        <v>15.09</v>
      </c>
      <c r="I294" s="129">
        <v>0.12</v>
      </c>
      <c r="J294" s="130">
        <f t="array" ref="J294">IF(ISERROR(G294/I294),"",G294/I294)</f>
        <v>25</v>
      </c>
      <c r="K294" s="131">
        <f t="array" ref="K294">IF(ISERROR(G294/L294),"",G294/L294)</f>
        <v>0.12</v>
      </c>
      <c r="L294" s="129">
        <v>25</v>
      </c>
      <c r="M294" s="109">
        <f t="shared" si="134"/>
        <v>0</v>
      </c>
      <c r="N294" s="130">
        <f t="shared" si="135"/>
        <v>0</v>
      </c>
      <c r="O294" s="572"/>
      <c r="P294" s="572"/>
      <c r="Q294" s="572"/>
      <c r="R294" s="572"/>
      <c r="S294" s="572"/>
      <c r="T294" s="572"/>
      <c r="U294" s="572"/>
      <c r="V294" s="132">
        <f t="shared" si="136"/>
        <v>0</v>
      </c>
      <c r="W294" s="133">
        <f t="shared" si="131"/>
        <v>0</v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08"/>
      <c r="H295" s="581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572"/>
      <c r="P295" s="572"/>
      <c r="Q295" s="572"/>
      <c r="R295" s="572"/>
      <c r="S295" s="572"/>
      <c r="T295" s="572"/>
      <c r="U295" s="57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08"/>
      <c r="H296" s="581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572"/>
      <c r="P296" s="572"/>
      <c r="Q296" s="572"/>
      <c r="R296" s="572"/>
      <c r="S296" s="572"/>
      <c r="T296" s="572"/>
      <c r="U296" s="57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77" t="s">
        <v>203</v>
      </c>
      <c r="D297" s="108">
        <v>5.03</v>
      </c>
      <c r="E297" s="108"/>
      <c r="F297" s="127"/>
      <c r="G297" s="108"/>
      <c r="H297" s="581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572"/>
      <c r="P297" s="572"/>
      <c r="Q297" s="572"/>
      <c r="R297" s="572"/>
      <c r="S297" s="572"/>
      <c r="T297" s="572"/>
      <c r="U297" s="57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08"/>
      <c r="H298" s="581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572"/>
      <c r="P298" s="572"/>
      <c r="Q298" s="572"/>
      <c r="R298" s="572"/>
      <c r="S298" s="572"/>
      <c r="T298" s="572"/>
      <c r="U298" s="57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08"/>
      <c r="H299" s="581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572"/>
      <c r="P299" s="572"/>
      <c r="Q299" s="572"/>
      <c r="R299" s="572"/>
      <c r="S299" s="572"/>
      <c r="T299" s="572"/>
      <c r="U299" s="57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77" t="s">
        <v>228</v>
      </c>
      <c r="D300" s="108">
        <v>5.03</v>
      </c>
      <c r="E300" s="108"/>
      <c r="F300" s="127"/>
      <c r="G300" s="108"/>
      <c r="H300" s="581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572"/>
      <c r="P300" s="572"/>
      <c r="Q300" s="572"/>
      <c r="R300" s="572"/>
      <c r="S300" s="572"/>
      <c r="T300" s="572"/>
      <c r="U300" s="57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77" t="s">
        <v>212</v>
      </c>
      <c r="D301" s="108">
        <v>5.03</v>
      </c>
      <c r="E301" s="108"/>
      <c r="F301" s="127"/>
      <c r="G301" s="108"/>
      <c r="H301" s="581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572"/>
      <c r="P301" s="572"/>
      <c r="Q301" s="572"/>
      <c r="R301" s="572"/>
      <c r="S301" s="572"/>
      <c r="T301" s="572"/>
      <c r="U301" s="57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77" t="s">
        <v>203</v>
      </c>
      <c r="D302" s="108">
        <v>5.03</v>
      </c>
      <c r="E302" s="108"/>
      <c r="F302" s="127"/>
      <c r="G302" s="108"/>
      <c r="H302" s="581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572"/>
      <c r="P302" s="572"/>
      <c r="Q302" s="572"/>
      <c r="R302" s="572"/>
      <c r="S302" s="572"/>
      <c r="T302" s="572"/>
      <c r="U302" s="57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77" t="s">
        <v>186</v>
      </c>
      <c r="D303" s="108">
        <v>5.03</v>
      </c>
      <c r="E303" s="108"/>
      <c r="F303" s="127"/>
      <c r="G303" s="108"/>
      <c r="H303" s="581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572"/>
      <c r="P303" s="572"/>
      <c r="Q303" s="572"/>
      <c r="R303" s="572"/>
      <c r="S303" s="572"/>
      <c r="T303" s="572"/>
      <c r="U303" s="57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77" t="s">
        <v>228</v>
      </c>
      <c r="D304" s="108">
        <v>5.03</v>
      </c>
      <c r="E304" s="108"/>
      <c r="F304" s="127"/>
      <c r="G304" s="108"/>
      <c r="H304" s="581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572"/>
      <c r="P304" s="572"/>
      <c r="Q304" s="572"/>
      <c r="R304" s="572"/>
      <c r="S304" s="572"/>
      <c r="T304" s="572"/>
      <c r="U304" s="57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77" t="s">
        <v>199</v>
      </c>
      <c r="D305" s="108">
        <v>5.03</v>
      </c>
      <c r="E305" s="108"/>
      <c r="F305" s="127"/>
      <c r="G305" s="108"/>
      <c r="H305" s="581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572"/>
      <c r="P305" s="572"/>
      <c r="Q305" s="572"/>
      <c r="R305" s="572"/>
      <c r="S305" s="572"/>
      <c r="T305" s="572"/>
      <c r="U305" s="57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42748</v>
      </c>
      <c r="G306" s="108">
        <f>90*9+62</f>
        <v>872</v>
      </c>
      <c r="H306" s="581">
        <f t="shared" si="133"/>
        <v>4412.32</v>
      </c>
      <c r="I306" s="129">
        <v>35</v>
      </c>
      <c r="J306" s="130">
        <f t="array" ref="J306">IF(ISERROR(G306/I306),"",G306/I306)</f>
        <v>24.914285714285715</v>
      </c>
      <c r="K306" s="131">
        <f t="array" ref="K306">IF(ISERROR(G306/L306),"",G306/L306)</f>
        <v>34.880000000000003</v>
      </c>
      <c r="L306" s="129">
        <v>25</v>
      </c>
      <c r="M306" s="109">
        <f t="shared" si="134"/>
        <v>0.11999999999999744</v>
      </c>
      <c r="N306" s="130">
        <f t="shared" si="135"/>
        <v>0</v>
      </c>
      <c r="O306" s="572"/>
      <c r="P306" s="572"/>
      <c r="Q306" s="572"/>
      <c r="R306" s="572"/>
      <c r="S306" s="572"/>
      <c r="T306" s="572"/>
      <c r="U306" s="57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42748</v>
      </c>
      <c r="G307" s="111">
        <v>90</v>
      </c>
      <c r="H307" s="581">
        <f t="shared" si="133"/>
        <v>455.4</v>
      </c>
      <c r="I307" s="129">
        <v>4</v>
      </c>
      <c r="J307" s="130">
        <f t="array" ref="J307">IF(ISERROR(G307/I307),"",G307/I307)</f>
        <v>22.5</v>
      </c>
      <c r="K307" s="131">
        <f t="array" ref="K307">IF(ISERROR(G307/L307),"",G307/L307)</f>
        <v>3.6</v>
      </c>
      <c r="L307" s="129">
        <v>25</v>
      </c>
      <c r="M307" s="109">
        <f t="shared" si="134"/>
        <v>0.39999999999999991</v>
      </c>
      <c r="N307" s="130">
        <f t="shared" si="135"/>
        <v>0</v>
      </c>
      <c r="O307" s="572"/>
      <c r="P307" s="572"/>
      <c r="Q307" s="572"/>
      <c r="R307" s="572"/>
      <c r="S307" s="572"/>
      <c r="T307" s="572"/>
      <c r="U307" s="57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579" t="s">
        <v>202</v>
      </c>
      <c r="D308" s="143"/>
      <c r="E308" s="143"/>
      <c r="F308" s="144"/>
      <c r="G308" s="143">
        <f>SUM(G293:G307)</f>
        <v>969</v>
      </c>
      <c r="H308" s="146">
        <f>SUM(H293:H307)</f>
        <v>4902.9299999999994</v>
      </c>
      <c r="I308" s="146">
        <f>SUM(I293:I307)</f>
        <v>39.28</v>
      </c>
      <c r="J308" s="130">
        <f t="array" ref="J308">IF(ISERROR(G308/I308),"",G308/I308)</f>
        <v>24.669042769857434</v>
      </c>
      <c r="K308" s="146">
        <f>SUM(K293:K307)</f>
        <v>38.760000000000005</v>
      </c>
      <c r="L308" s="146"/>
      <c r="M308" s="150">
        <f>SUM(M293:M307)</f>
        <v>0.51999999999999735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08"/>
      <c r="H309" s="581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572"/>
      <c r="P309" s="572"/>
      <c r="Q309" s="572"/>
      <c r="R309" s="572"/>
      <c r="S309" s="572"/>
      <c r="T309" s="572"/>
      <c r="U309" s="57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08"/>
      <c r="H310" s="581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572"/>
      <c r="P310" s="572"/>
      <c r="Q310" s="572"/>
      <c r="R310" s="572"/>
      <c r="S310" s="572"/>
      <c r="T310" s="572"/>
      <c r="U310" s="57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08"/>
      <c r="H311" s="581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572"/>
      <c r="P311" s="572"/>
      <c r="Q311" s="572"/>
      <c r="R311" s="572"/>
      <c r="S311" s="572"/>
      <c r="T311" s="572"/>
      <c r="U311" s="57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08"/>
      <c r="H312" s="581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572"/>
      <c r="P312" s="572"/>
      <c r="Q312" s="572"/>
      <c r="R312" s="572"/>
      <c r="S312" s="572"/>
      <c r="T312" s="572"/>
      <c r="U312" s="57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08"/>
      <c r="H313" s="581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572"/>
      <c r="P313" s="572"/>
      <c r="Q313" s="572"/>
      <c r="R313" s="572"/>
      <c r="S313" s="572"/>
      <c r="T313" s="572"/>
      <c r="U313" s="57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08"/>
      <c r="H314" s="581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572"/>
      <c r="P314" s="572"/>
      <c r="Q314" s="572"/>
      <c r="R314" s="572"/>
      <c r="S314" s="572"/>
      <c r="T314" s="572"/>
      <c r="U314" s="57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08"/>
      <c r="H315" s="581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572"/>
      <c r="P315" s="572"/>
      <c r="Q315" s="572"/>
      <c r="R315" s="572"/>
      <c r="S315" s="572"/>
      <c r="T315" s="572"/>
      <c r="U315" s="57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08"/>
      <c r="H316" s="581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572"/>
      <c r="P316" s="572"/>
      <c r="Q316" s="572"/>
      <c r="R316" s="572"/>
      <c r="S316" s="572"/>
      <c r="T316" s="572"/>
      <c r="U316" s="57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42738</v>
      </c>
      <c r="G317" s="108">
        <f>80+2</f>
        <v>82</v>
      </c>
      <c r="H317" s="581">
        <f t="shared" si="137"/>
        <v>412.46000000000004</v>
      </c>
      <c r="I317" s="129">
        <v>6</v>
      </c>
      <c r="J317" s="130">
        <f t="array" ref="J317">IF(ISERROR(G317/I317),"",G317/I317)</f>
        <v>13.666666666666666</v>
      </c>
      <c r="K317" s="131">
        <f t="array" ref="K317">IF(ISERROR(G317/L317),"",G317/L317)</f>
        <v>6.0740740740740744</v>
      </c>
      <c r="L317" s="129">
        <v>13.5</v>
      </c>
      <c r="M317" s="109">
        <f t="shared" ref="M317" si="141">IF(ISERROR(I317-K317),"",I317-K317)</f>
        <v>-7.4074074074074403E-2</v>
      </c>
      <c r="N317" s="130"/>
      <c r="O317" s="572"/>
      <c r="P317" s="572"/>
      <c r="Q317" s="572"/>
      <c r="R317" s="572"/>
      <c r="S317" s="572"/>
      <c r="T317" s="572"/>
      <c r="U317" s="57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08"/>
      <c r="H318" s="581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572"/>
      <c r="P318" s="572"/>
      <c r="Q318" s="572"/>
      <c r="R318" s="572"/>
      <c r="S318" s="572"/>
      <c r="T318" s="572"/>
      <c r="U318" s="572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579" t="s">
        <v>202</v>
      </c>
      <c r="D319" s="143"/>
      <c r="E319" s="143"/>
      <c r="F319" s="144"/>
      <c r="G319" s="143">
        <f>SUM(G309:G318)</f>
        <v>82</v>
      </c>
      <c r="H319" s="146">
        <f>SUM(H309:H318)</f>
        <v>412.46000000000004</v>
      </c>
      <c r="I319" s="146">
        <f>SUM(I309:I318)</f>
        <v>6</v>
      </c>
      <c r="J319" s="130">
        <f t="array" ref="J319">IF(ISERROR(G319/I319),"",G319/I319)</f>
        <v>13.666666666666666</v>
      </c>
      <c r="K319" s="146">
        <f>SUM(K309:K318)</f>
        <v>6.0740740740740744</v>
      </c>
      <c r="L319" s="147"/>
      <c r="M319" s="150">
        <f>SUM(M309:M318)</f>
        <v>-7.4074074074074403E-2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71"/>
      <c r="D320" s="108">
        <v>3.65</v>
      </c>
      <c r="E320" s="108"/>
      <c r="F320" s="153"/>
      <c r="G320" s="108"/>
      <c r="H320" s="581">
        <f t="shared" ref="H320:H333" si="146">D320*G320</f>
        <v>0</v>
      </c>
      <c r="I320" s="129"/>
      <c r="J320" s="130" t="str">
        <f t="array" ref="J320">IF(ISERROR(G320/I320),"",G320/I320)</f>
        <v/>
      </c>
      <c r="K320" s="581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572"/>
      <c r="P320" s="572"/>
      <c r="Q320" s="572"/>
      <c r="R320" s="572"/>
      <c r="S320" s="572"/>
      <c r="T320" s="572"/>
      <c r="U320" s="57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71"/>
      <c r="D321" s="108">
        <v>6.58</v>
      </c>
      <c r="E321" s="108"/>
      <c r="F321" s="127"/>
      <c r="G321" s="108"/>
      <c r="H321" s="581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572"/>
      <c r="P321" s="572"/>
      <c r="Q321" s="572"/>
      <c r="R321" s="572"/>
      <c r="S321" s="572"/>
      <c r="T321" s="572"/>
      <c r="U321" s="572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571"/>
      <c r="D322" s="108">
        <v>7.8</v>
      </c>
      <c r="E322" s="108"/>
      <c r="F322" s="127"/>
      <c r="G322" s="108"/>
      <c r="H322" s="581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572"/>
      <c r="P322" s="572"/>
      <c r="Q322" s="572"/>
      <c r="R322" s="572"/>
      <c r="S322" s="572"/>
      <c r="T322" s="572"/>
      <c r="U322" s="572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71"/>
      <c r="D323" s="108">
        <v>4.4000000000000004</v>
      </c>
      <c r="E323" s="108"/>
      <c r="F323" s="127"/>
      <c r="G323" s="108"/>
      <c r="H323" s="581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572"/>
      <c r="P323" s="572"/>
      <c r="Q323" s="572"/>
      <c r="R323" s="572"/>
      <c r="S323" s="572"/>
      <c r="T323" s="572"/>
      <c r="U323" s="57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71"/>
      <c r="D324" s="108"/>
      <c r="E324" s="108"/>
      <c r="F324" s="127"/>
      <c r="G324" s="108"/>
      <c r="H324" s="581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572"/>
      <c r="P324" s="572"/>
      <c r="Q324" s="572"/>
      <c r="R324" s="572"/>
      <c r="S324" s="572"/>
      <c r="T324" s="572"/>
      <c r="U324" s="57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71" t="s">
        <v>239</v>
      </c>
      <c r="C325" s="571" t="s">
        <v>179</v>
      </c>
      <c r="D325" s="108">
        <v>6.04</v>
      </c>
      <c r="E325" s="108"/>
      <c r="F325" s="127"/>
      <c r="G325" s="108"/>
      <c r="H325" s="581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572"/>
      <c r="P325" s="572"/>
      <c r="Q325" s="572"/>
      <c r="R325" s="572"/>
      <c r="S325" s="572"/>
      <c r="T325" s="572"/>
      <c r="U325" s="57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71" t="s">
        <v>239</v>
      </c>
      <c r="C326" s="571" t="s">
        <v>186</v>
      </c>
      <c r="D326" s="108">
        <v>6.04</v>
      </c>
      <c r="E326" s="108"/>
      <c r="F326" s="127"/>
      <c r="G326" s="108"/>
      <c r="H326" s="581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572"/>
      <c r="P326" s="572"/>
      <c r="Q326" s="572"/>
      <c r="R326" s="572"/>
      <c r="S326" s="572"/>
      <c r="T326" s="572"/>
      <c r="U326" s="57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71" t="s">
        <v>443</v>
      </c>
      <c r="C327" s="571" t="s">
        <v>179</v>
      </c>
      <c r="D327" s="108">
        <v>6</v>
      </c>
      <c r="E327" s="108"/>
      <c r="F327" s="127"/>
      <c r="G327" s="108"/>
      <c r="H327" s="581">
        <f t="shared" si="146"/>
        <v>0</v>
      </c>
      <c r="I327" s="129"/>
      <c r="J327" s="130"/>
      <c r="K327" s="131"/>
      <c r="L327" s="129"/>
      <c r="M327" s="109"/>
      <c r="N327" s="130"/>
      <c r="O327" s="572"/>
      <c r="P327" s="572"/>
      <c r="Q327" s="572"/>
      <c r="R327" s="572"/>
      <c r="S327" s="572"/>
      <c r="T327" s="572"/>
      <c r="U327" s="572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71" t="s">
        <v>443</v>
      </c>
      <c r="C328" s="571" t="s">
        <v>60</v>
      </c>
      <c r="D328" s="108">
        <v>6</v>
      </c>
      <c r="E328" s="108"/>
      <c r="F328" s="127">
        <v>42746</v>
      </c>
      <c r="G328" s="152">
        <f>42*2+40-40</f>
        <v>84</v>
      </c>
      <c r="H328" s="581">
        <f t="shared" si="146"/>
        <v>504</v>
      </c>
      <c r="I328" s="129">
        <v>21</v>
      </c>
      <c r="J328" s="130">
        <f t="array" ref="J328">IF(ISERROR(G328/I328),"",G328/I328)</f>
        <v>4</v>
      </c>
      <c r="K328" s="131">
        <f t="array" ref="K328">IF(ISERROR(G328/L328),"",G328/L328)</f>
        <v>14</v>
      </c>
      <c r="L328" s="129">
        <v>6</v>
      </c>
      <c r="M328" s="109">
        <f t="shared" ref="M328" si="154">IF(ISERROR(I328-K328),"",I328-K328)</f>
        <v>7</v>
      </c>
      <c r="N328" s="130"/>
      <c r="O328" s="572"/>
      <c r="P328" s="572"/>
      <c r="Q328" s="572"/>
      <c r="R328" s="572"/>
      <c r="S328" s="572"/>
      <c r="T328" s="572"/>
      <c r="U328" s="57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73" t="s">
        <v>240</v>
      </c>
      <c r="C329" s="126"/>
      <c r="D329" s="108">
        <v>7.3</v>
      </c>
      <c r="E329" s="108"/>
      <c r="F329" s="127"/>
      <c r="G329" s="108"/>
      <c r="H329" s="581">
        <f t="shared" si="146"/>
        <v>0</v>
      </c>
      <c r="I329" s="129"/>
      <c r="J329" s="130"/>
      <c r="K329" s="131"/>
      <c r="L329" s="129"/>
      <c r="M329" s="109"/>
      <c r="N329" s="130"/>
      <c r="O329" s="572"/>
      <c r="P329" s="572"/>
      <c r="Q329" s="572"/>
      <c r="R329" s="572"/>
      <c r="S329" s="572"/>
      <c r="T329" s="572"/>
      <c r="U329" s="57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73" t="s">
        <v>241</v>
      </c>
      <c r="C330" s="126"/>
      <c r="D330" s="108">
        <f>78*120/1000</f>
        <v>9.36</v>
      </c>
      <c r="E330" s="108"/>
      <c r="F330" s="127"/>
      <c r="G330" s="108"/>
      <c r="H330" s="581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5">SUM(O330:U330)</f>
        <v>0</v>
      </c>
      <c r="O330" s="572"/>
      <c r="P330" s="572"/>
      <c r="Q330" s="572"/>
      <c r="R330" s="572"/>
      <c r="S330" s="572"/>
      <c r="T330" s="572"/>
      <c r="U330" s="572"/>
      <c r="V330" s="132">
        <f t="shared" ref="V330" si="156">SUM(X330:AA330)</f>
        <v>0</v>
      </c>
      <c r="W330" s="133" t="str">
        <f t="shared" ref="W330" si="157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73" t="s">
        <v>242</v>
      </c>
      <c r="C331" s="126"/>
      <c r="D331" s="108">
        <v>4.5</v>
      </c>
      <c r="E331" s="108"/>
      <c r="F331" s="127"/>
      <c r="G331" s="108"/>
      <c r="H331" s="581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72"/>
      <c r="P331" s="572"/>
      <c r="Q331" s="572"/>
      <c r="R331" s="572"/>
      <c r="S331" s="572"/>
      <c r="T331" s="572"/>
      <c r="U331" s="57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73" t="s">
        <v>243</v>
      </c>
      <c r="C332" s="126"/>
      <c r="D332" s="108">
        <v>4.5</v>
      </c>
      <c r="E332" s="108"/>
      <c r="F332" s="127"/>
      <c r="G332" s="108"/>
      <c r="H332" s="581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72"/>
      <c r="P332" s="572"/>
      <c r="Q332" s="572"/>
      <c r="R332" s="572"/>
      <c r="S332" s="572"/>
      <c r="T332" s="572"/>
      <c r="U332" s="57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08"/>
      <c r="H333" s="581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72"/>
      <c r="P333" s="572"/>
      <c r="Q333" s="572"/>
      <c r="R333" s="572"/>
      <c r="S333" s="572"/>
      <c r="T333" s="572"/>
      <c r="U333" s="572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579" t="s">
        <v>202</v>
      </c>
      <c r="D334" s="143"/>
      <c r="E334" s="143"/>
      <c r="F334" s="144"/>
      <c r="G334" s="143">
        <f>SUM(G320:G333)</f>
        <v>84</v>
      </c>
      <c r="H334" s="146">
        <f>SUM(H320:H330)</f>
        <v>504</v>
      </c>
      <c r="I334" s="146">
        <f>SUM(I320:I333)</f>
        <v>21</v>
      </c>
      <c r="J334" s="130">
        <f t="array" ref="J334">IF(ISERROR(G334/I334),"",G334/I334)</f>
        <v>4</v>
      </c>
      <c r="K334" s="146">
        <f>SUM(K320:K330)</f>
        <v>14</v>
      </c>
      <c r="L334" s="147"/>
      <c r="M334" s="150">
        <f t="shared" ref="M334:AA334" si="158">SUM(M320:M330)</f>
        <v>7</v>
      </c>
      <c r="N334" s="146">
        <f t="shared" si="158"/>
        <v>0</v>
      </c>
      <c r="O334" s="148">
        <f t="shared" si="158"/>
        <v>0</v>
      </c>
      <c r="P334" s="148">
        <f t="shared" si="158"/>
        <v>0</v>
      </c>
      <c r="Q334" s="148">
        <f t="shared" si="158"/>
        <v>0</v>
      </c>
      <c r="R334" s="148">
        <f t="shared" si="158"/>
        <v>0</v>
      </c>
      <c r="S334" s="148">
        <f t="shared" si="158"/>
        <v>0</v>
      </c>
      <c r="T334" s="148">
        <f t="shared" si="158"/>
        <v>0</v>
      </c>
      <c r="U334" s="148">
        <f t="shared" si="158"/>
        <v>0</v>
      </c>
      <c r="V334" s="149">
        <f t="shared" si="158"/>
        <v>0</v>
      </c>
      <c r="W334" s="133">
        <f t="shared" si="158"/>
        <v>0</v>
      </c>
      <c r="X334" s="149">
        <f t="shared" si="158"/>
        <v>0</v>
      </c>
      <c r="Y334" s="149">
        <f t="shared" si="158"/>
        <v>0</v>
      </c>
      <c r="Z334" s="149">
        <f t="shared" si="158"/>
        <v>0</v>
      </c>
      <c r="AA334" s="149">
        <f t="shared" si="158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553">
        <f>SUM(G199,G257,G292,G308,G319,G334)</f>
        <v>5149</v>
      </c>
      <c r="H335" s="154">
        <f>SUM(H199,H257,H292,H308,H319,H334)</f>
        <v>26068.2</v>
      </c>
      <c r="I335" s="154">
        <f>SUM(I199,I257,I292,I308,I319,I334)</f>
        <v>248.28</v>
      </c>
      <c r="J335" s="155">
        <f t="array" ref="J335">IF(ISERROR(G335/I335),"",G335/I335)</f>
        <v>20.73868213307556</v>
      </c>
      <c r="K335" s="154">
        <f>SUM(K199,K257,K292,K308,K319,K334)</f>
        <v>230.21875043725561</v>
      </c>
      <c r="L335" s="155">
        <f>IF(ISERROR(G335/K335),"",G335/K335)</f>
        <v>22.365684768162797</v>
      </c>
      <c r="M335" s="154">
        <f t="shared" ref="M335:AA335" si="159">SUM(M199,M257,M292,M308,M319,M334)</f>
        <v>18.061249562744379</v>
      </c>
      <c r="N335" s="154">
        <f t="shared" si="159"/>
        <v>0</v>
      </c>
      <c r="O335" s="154">
        <f t="shared" si="159"/>
        <v>0</v>
      </c>
      <c r="P335" s="154">
        <f t="shared" si="159"/>
        <v>0</v>
      </c>
      <c r="Q335" s="154">
        <f t="shared" si="159"/>
        <v>0</v>
      </c>
      <c r="R335" s="154">
        <f t="shared" si="159"/>
        <v>0</v>
      </c>
      <c r="S335" s="154">
        <f t="shared" si="159"/>
        <v>0</v>
      </c>
      <c r="T335" s="154">
        <f t="shared" si="159"/>
        <v>0</v>
      </c>
      <c r="U335" s="154">
        <f t="shared" si="159"/>
        <v>0</v>
      </c>
      <c r="V335" s="154">
        <f t="shared" si="159"/>
        <v>0</v>
      </c>
      <c r="W335" s="154">
        <f t="shared" si="159"/>
        <v>0</v>
      </c>
      <c r="X335" s="154">
        <f t="shared" si="159"/>
        <v>0</v>
      </c>
      <c r="Y335" s="154">
        <f t="shared" si="159"/>
        <v>0</v>
      </c>
      <c r="Z335" s="154">
        <f t="shared" si="159"/>
        <v>0</v>
      </c>
      <c r="AA335" s="154">
        <f t="shared" si="159"/>
        <v>0</v>
      </c>
    </row>
    <row r="336" spans="1:27" ht="20.100000000000001" customHeight="1">
      <c r="A336" s="623" t="s">
        <v>476</v>
      </c>
      <c r="B336" s="578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578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578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578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578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578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578">
        <f>G335</f>
        <v>5149</v>
      </c>
      <c r="C342" s="638" t="s">
        <v>269</v>
      </c>
      <c r="D342" s="639"/>
      <c r="E342" s="631">
        <f>H335</f>
        <v>26068.2</v>
      </c>
      <c r="F342" s="631"/>
      <c r="G342" s="631" t="s">
        <v>270</v>
      </c>
      <c r="H342" s="631"/>
      <c r="I342" s="640">
        <f>L335</f>
        <v>22.365684768162797</v>
      </c>
      <c r="J342" s="640"/>
      <c r="K342" s="628" t="s">
        <v>271</v>
      </c>
      <c r="L342" s="628"/>
      <c r="M342" s="640">
        <f>J335</f>
        <v>20.73868213307556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578">
        <f>I335+C341</f>
        <v>250.28</v>
      </c>
      <c r="C343" s="641" t="s">
        <v>251</v>
      </c>
      <c r="D343" s="642"/>
      <c r="E343" s="643">
        <f>K335+I341</f>
        <v>260.21875043725561</v>
      </c>
      <c r="F343" s="643"/>
      <c r="G343" s="631" t="s">
        <v>274</v>
      </c>
      <c r="H343" s="631"/>
      <c r="I343" s="640">
        <f>B343-E343</f>
        <v>-9.9387504372556066</v>
      </c>
      <c r="J343" s="640"/>
      <c r="K343" s="628" t="s">
        <v>275</v>
      </c>
      <c r="L343" s="628"/>
      <c r="M343" s="632">
        <f>IF(ISERROR(I343/E343),"",I343/E343)</f>
        <v>-3.8193828924914679E-2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578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2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571" t="s">
        <v>550</v>
      </c>
      <c r="H348" s="571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573" t="s">
        <v>178</v>
      </c>
      <c r="C349" s="126" t="s">
        <v>179</v>
      </c>
      <c r="D349" s="108">
        <v>5.03</v>
      </c>
      <c r="E349" s="108"/>
      <c r="F349" s="127"/>
      <c r="G349" s="108"/>
      <c r="H349" s="581">
        <f t="shared" ref="H349:H369" si="160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1">IF(ISERROR(I349-K349),"",I349-K349)</f>
        <v>0</v>
      </c>
      <c r="N349" s="130">
        <f t="shared" ref="N349:N354" si="162">SUM(O349:U349)</f>
        <v>0</v>
      </c>
      <c r="O349" s="572"/>
      <c r="P349" s="572"/>
      <c r="Q349" s="572"/>
      <c r="R349" s="572"/>
      <c r="S349" s="572"/>
      <c r="T349" s="572"/>
      <c r="U349" s="572"/>
      <c r="V349" s="132">
        <f t="shared" ref="V349:V354" si="163">SUM(X349:AA349)</f>
        <v>0</v>
      </c>
      <c r="W349" s="133" t="str">
        <f t="shared" ref="W349:W354" si="164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08"/>
      <c r="H350" s="581">
        <f t="shared" si="160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1"/>
        <v>0</v>
      </c>
      <c r="N350" s="130">
        <f t="shared" si="162"/>
        <v>0</v>
      </c>
      <c r="O350" s="572"/>
      <c r="P350" s="572"/>
      <c r="Q350" s="572"/>
      <c r="R350" s="572"/>
      <c r="S350" s="572"/>
      <c r="T350" s="572"/>
      <c r="U350" s="572"/>
      <c r="V350" s="132">
        <f t="shared" si="163"/>
        <v>0</v>
      </c>
      <c r="W350" s="133" t="str">
        <f t="shared" si="164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08"/>
      <c r="H351" s="581">
        <f t="shared" si="160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1"/>
        <v>0</v>
      </c>
      <c r="N351" s="130">
        <f t="shared" si="162"/>
        <v>0</v>
      </c>
      <c r="O351" s="572"/>
      <c r="P351" s="572"/>
      <c r="Q351" s="572"/>
      <c r="R351" s="572"/>
      <c r="S351" s="572"/>
      <c r="T351" s="572"/>
      <c r="U351" s="572"/>
      <c r="V351" s="132">
        <f t="shared" si="163"/>
        <v>0</v>
      </c>
      <c r="W351" s="133" t="str">
        <f t="shared" si="164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08"/>
      <c r="H352" s="581">
        <f t="shared" si="160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1"/>
        <v>0</v>
      </c>
      <c r="N352" s="130">
        <f t="shared" si="162"/>
        <v>0</v>
      </c>
      <c r="O352" s="572"/>
      <c r="P352" s="572"/>
      <c r="Q352" s="572"/>
      <c r="R352" s="572"/>
      <c r="S352" s="572"/>
      <c r="T352" s="572"/>
      <c r="U352" s="572"/>
      <c r="V352" s="132">
        <f t="shared" si="163"/>
        <v>0</v>
      </c>
      <c r="W352" s="133" t="str">
        <f t="shared" si="164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08"/>
      <c r="H353" s="581">
        <f t="shared" si="160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1"/>
        <v>0</v>
      </c>
      <c r="N353" s="130">
        <f t="shared" si="162"/>
        <v>0</v>
      </c>
      <c r="O353" s="572"/>
      <c r="P353" s="572"/>
      <c r="Q353" s="572"/>
      <c r="R353" s="572"/>
      <c r="S353" s="572"/>
      <c r="T353" s="572"/>
      <c r="U353" s="572"/>
      <c r="V353" s="132">
        <f t="shared" si="163"/>
        <v>0</v>
      </c>
      <c r="W353" s="133" t="str">
        <f t="shared" si="164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552"/>
      <c r="H354" s="581">
        <f t="shared" si="160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1"/>
        <v>0</v>
      </c>
      <c r="N354" s="130">
        <f t="shared" si="162"/>
        <v>0</v>
      </c>
      <c r="O354" s="572"/>
      <c r="P354" s="572"/>
      <c r="Q354" s="572"/>
      <c r="R354" s="572"/>
      <c r="S354" s="572"/>
      <c r="T354" s="572"/>
      <c r="U354" s="572"/>
      <c r="V354" s="132">
        <f t="shared" si="163"/>
        <v>0</v>
      </c>
      <c r="W354" s="133" t="str">
        <f t="shared" si="164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08"/>
      <c r="H355" s="581">
        <f t="shared" si="160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1"/>
        <v>0</v>
      </c>
      <c r="N355" s="130"/>
      <c r="O355" s="572"/>
      <c r="P355" s="572"/>
      <c r="Q355" s="572"/>
      <c r="R355" s="572"/>
      <c r="S355" s="572"/>
      <c r="T355" s="572"/>
      <c r="U355" s="57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08"/>
      <c r="H356" s="581">
        <f t="shared" si="160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1"/>
        <v>0</v>
      </c>
      <c r="N356" s="130"/>
      <c r="O356" s="572"/>
      <c r="P356" s="572"/>
      <c r="Q356" s="572"/>
      <c r="R356" s="572"/>
      <c r="S356" s="572"/>
      <c r="T356" s="572"/>
      <c r="U356" s="57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08"/>
      <c r="H357" s="581">
        <f t="shared" si="160"/>
        <v>0</v>
      </c>
      <c r="I357" s="581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1"/>
        <v>0</v>
      </c>
      <c r="N357" s="130">
        <f>SUM(O357:U357)</f>
        <v>0</v>
      </c>
      <c r="O357" s="572"/>
      <c r="P357" s="572"/>
      <c r="Q357" s="572"/>
      <c r="R357" s="572"/>
      <c r="S357" s="572"/>
      <c r="T357" s="572"/>
      <c r="U357" s="57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08"/>
      <c r="H358" s="581">
        <f t="shared" si="160"/>
        <v>0</v>
      </c>
      <c r="I358" s="581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1"/>
        <v>0</v>
      </c>
      <c r="N358" s="130">
        <f>SUM(O358:U358)</f>
        <v>0</v>
      </c>
      <c r="O358" s="572"/>
      <c r="P358" s="572"/>
      <c r="Q358" s="572"/>
      <c r="R358" s="572"/>
      <c r="S358" s="572"/>
      <c r="T358" s="572"/>
      <c r="U358" s="57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08"/>
      <c r="H359" s="581">
        <f t="shared" si="160"/>
        <v>0</v>
      </c>
      <c r="I359" s="581"/>
      <c r="J359" s="130"/>
      <c r="K359" s="131"/>
      <c r="L359" s="129"/>
      <c r="M359" s="109"/>
      <c r="N359" s="130"/>
      <c r="O359" s="572"/>
      <c r="P359" s="572"/>
      <c r="Q359" s="572"/>
      <c r="R359" s="572"/>
      <c r="S359" s="572"/>
      <c r="T359" s="572"/>
      <c r="U359" s="57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08"/>
      <c r="H360" s="581">
        <f t="shared" si="160"/>
        <v>0</v>
      </c>
      <c r="I360" s="581"/>
      <c r="J360" s="130"/>
      <c r="K360" s="131"/>
      <c r="L360" s="129"/>
      <c r="M360" s="109"/>
      <c r="N360" s="130"/>
      <c r="O360" s="572"/>
      <c r="P360" s="572"/>
      <c r="Q360" s="572"/>
      <c r="R360" s="572"/>
      <c r="S360" s="572"/>
      <c r="T360" s="572"/>
      <c r="U360" s="57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08"/>
      <c r="H361" s="581">
        <f t="shared" si="160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5">IF(ISERROR(I361-K361),"",I361-K361)</f>
        <v>0</v>
      </c>
      <c r="N361" s="130">
        <f t="shared" ref="N361:N363" si="166">SUM(O361:U361)</f>
        <v>0</v>
      </c>
      <c r="O361" s="572"/>
      <c r="P361" s="572"/>
      <c r="Q361" s="572"/>
      <c r="R361" s="572"/>
      <c r="S361" s="572"/>
      <c r="T361" s="572"/>
      <c r="U361" s="572"/>
      <c r="V361" s="132">
        <f t="shared" ref="V361:V363" si="167">SUM(X361:AA361)</f>
        <v>0</v>
      </c>
      <c r="W361" s="133" t="str">
        <f t="shared" ref="W361:W363" si="168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08"/>
      <c r="H362" s="581">
        <f t="shared" si="160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5"/>
        <v>0</v>
      </c>
      <c r="N362" s="130">
        <f t="shared" si="166"/>
        <v>0</v>
      </c>
      <c r="O362" s="572"/>
      <c r="P362" s="572"/>
      <c r="Q362" s="572"/>
      <c r="R362" s="572"/>
      <c r="S362" s="572"/>
      <c r="T362" s="572"/>
      <c r="U362" s="572"/>
      <c r="V362" s="132">
        <f t="shared" si="167"/>
        <v>0</v>
      </c>
      <c r="W362" s="133" t="str">
        <f t="shared" si="168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08"/>
      <c r="H363" s="581">
        <f t="shared" si="160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5"/>
        <v>0</v>
      </c>
      <c r="N363" s="130">
        <f t="shared" si="166"/>
        <v>0</v>
      </c>
      <c r="O363" s="572"/>
      <c r="P363" s="572"/>
      <c r="Q363" s="572"/>
      <c r="R363" s="572"/>
      <c r="S363" s="572"/>
      <c r="T363" s="572"/>
      <c r="U363" s="572"/>
      <c r="V363" s="132">
        <f t="shared" si="167"/>
        <v>0</v>
      </c>
      <c r="W363" s="133" t="str">
        <f t="shared" si="168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71" t="s">
        <v>190</v>
      </c>
      <c r="D364" s="108">
        <v>4.8</v>
      </c>
      <c r="E364" s="108"/>
      <c r="F364" s="127"/>
      <c r="G364" s="108"/>
      <c r="H364" s="581">
        <f t="shared" si="160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5"/>
        <v>0</v>
      </c>
      <c r="N364" s="130"/>
      <c r="O364" s="572"/>
      <c r="P364" s="572"/>
      <c r="Q364" s="572"/>
      <c r="R364" s="572"/>
      <c r="S364" s="572"/>
      <c r="T364" s="572"/>
      <c r="U364" s="57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71" t="s">
        <v>187</v>
      </c>
      <c r="D365" s="108">
        <v>4.8</v>
      </c>
      <c r="E365" s="108"/>
      <c r="F365" s="127"/>
      <c r="G365" s="108"/>
      <c r="H365" s="581">
        <f t="shared" si="160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5"/>
        <v>0</v>
      </c>
      <c r="N365" s="130"/>
      <c r="O365" s="572"/>
      <c r="P365" s="572"/>
      <c r="Q365" s="572"/>
      <c r="R365" s="572"/>
      <c r="S365" s="572"/>
      <c r="T365" s="572"/>
      <c r="U365" s="57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71" t="s">
        <v>179</v>
      </c>
      <c r="D366" s="108">
        <v>4.8</v>
      </c>
      <c r="E366" s="108"/>
      <c r="F366" s="127"/>
      <c r="G366" s="108"/>
      <c r="H366" s="581">
        <f t="shared" si="160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5"/>
        <v>0</v>
      </c>
      <c r="N366" s="130"/>
      <c r="O366" s="572"/>
      <c r="P366" s="572"/>
      <c r="Q366" s="572"/>
      <c r="R366" s="572"/>
      <c r="S366" s="572"/>
      <c r="T366" s="572"/>
      <c r="U366" s="57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71" t="s">
        <v>199</v>
      </c>
      <c r="D367" s="108">
        <v>4.8</v>
      </c>
      <c r="E367" s="108"/>
      <c r="F367" s="127"/>
      <c r="G367" s="108"/>
      <c r="H367" s="581">
        <f t="shared" si="160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5"/>
        <v>0</v>
      </c>
      <c r="N367" s="130"/>
      <c r="O367" s="572"/>
      <c r="P367" s="572"/>
      <c r="Q367" s="572"/>
      <c r="R367" s="572"/>
      <c r="S367" s="572"/>
      <c r="T367" s="572"/>
      <c r="U367" s="57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08"/>
      <c r="H368" s="581">
        <f t="shared" si="160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5"/>
        <v>0</v>
      </c>
      <c r="N368" s="130">
        <f t="shared" ref="N368:N369" si="169">SUM(O368:U368)</f>
        <v>0</v>
      </c>
      <c r="O368" s="572"/>
      <c r="P368" s="572"/>
      <c r="Q368" s="572"/>
      <c r="R368" s="572"/>
      <c r="S368" s="572"/>
      <c r="T368" s="572"/>
      <c r="U368" s="572"/>
      <c r="V368" s="132">
        <f t="shared" ref="V368:V369" si="170">SUM(X368:AA368)</f>
        <v>0</v>
      </c>
      <c r="W368" s="133" t="str">
        <f t="shared" ref="W368:W369" si="171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08"/>
      <c r="H369" s="581">
        <f t="shared" si="160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5"/>
        <v>0</v>
      </c>
      <c r="N369" s="130">
        <f t="shared" si="169"/>
        <v>0</v>
      </c>
      <c r="O369" s="572"/>
      <c r="P369" s="572"/>
      <c r="Q369" s="572"/>
      <c r="R369" s="572"/>
      <c r="S369" s="572"/>
      <c r="T369" s="572"/>
      <c r="U369" s="572"/>
      <c r="V369" s="132">
        <f t="shared" si="170"/>
        <v>0</v>
      </c>
      <c r="W369" s="133" t="str">
        <f t="shared" si="171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579" t="s">
        <v>202</v>
      </c>
      <c r="D370" s="143"/>
      <c r="E370" s="143"/>
      <c r="F370" s="144"/>
      <c r="G370" s="143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2">SUM(M349:M369)</f>
        <v>0</v>
      </c>
      <c r="N370" s="146">
        <f t="shared" si="172"/>
        <v>0</v>
      </c>
      <c r="O370" s="148">
        <f t="shared" si="172"/>
        <v>0</v>
      </c>
      <c r="P370" s="148">
        <f t="shared" si="172"/>
        <v>0</v>
      </c>
      <c r="Q370" s="148">
        <f t="shared" si="172"/>
        <v>0</v>
      </c>
      <c r="R370" s="148">
        <f t="shared" si="172"/>
        <v>0</v>
      </c>
      <c r="S370" s="148">
        <f t="shared" si="172"/>
        <v>0</v>
      </c>
      <c r="T370" s="148">
        <f t="shared" si="172"/>
        <v>0</v>
      </c>
      <c r="U370" s="148">
        <f t="shared" si="172"/>
        <v>0</v>
      </c>
      <c r="V370" s="149">
        <f t="shared" si="172"/>
        <v>0</v>
      </c>
      <c r="W370" s="133">
        <f t="shared" si="172"/>
        <v>0</v>
      </c>
      <c r="X370" s="149">
        <f t="shared" si="172"/>
        <v>0</v>
      </c>
      <c r="Y370" s="149">
        <f t="shared" si="172"/>
        <v>0</v>
      </c>
      <c r="Z370" s="149">
        <f t="shared" si="172"/>
        <v>0</v>
      </c>
      <c r="AA370" s="149">
        <f t="shared" si="172"/>
        <v>0</v>
      </c>
    </row>
    <row r="371" spans="1:27" ht="20.100000000000001" hidden="1" customHeight="1">
      <c r="A371" s="300">
        <v>30100012</v>
      </c>
      <c r="B371" s="573" t="s">
        <v>206</v>
      </c>
      <c r="C371" s="126" t="s">
        <v>199</v>
      </c>
      <c r="D371" s="108">
        <v>5.03</v>
      </c>
      <c r="E371" s="108"/>
      <c r="F371" s="127"/>
      <c r="G371" s="108"/>
      <c r="H371" s="581">
        <f t="shared" ref="H371:H427" si="173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4">IF(ISERROR(I371-K371),"",I371-K371)</f>
        <v>0</v>
      </c>
      <c r="N371" s="130">
        <f t="shared" ref="N371" si="175">SUM(O371:U371)</f>
        <v>0</v>
      </c>
      <c r="O371" s="576"/>
      <c r="P371" s="576"/>
      <c r="Q371" s="576"/>
      <c r="R371" s="576"/>
      <c r="S371" s="576"/>
      <c r="T371" s="576"/>
      <c r="U371" s="576"/>
      <c r="V371" s="132">
        <f t="shared" ref="V371" si="176">SUM(X371:AA371)</f>
        <v>0</v>
      </c>
      <c r="W371" s="133" t="str">
        <f t="shared" ref="W371" si="177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73" t="s">
        <v>425</v>
      </c>
      <c r="C372" s="187" t="s">
        <v>427</v>
      </c>
      <c r="D372" s="108">
        <v>5.03</v>
      </c>
      <c r="E372" s="108"/>
      <c r="F372" s="127"/>
      <c r="G372" s="108"/>
      <c r="H372" s="581">
        <f t="shared" si="173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76"/>
      <c r="P372" s="576"/>
      <c r="Q372" s="576"/>
      <c r="R372" s="576"/>
      <c r="S372" s="576"/>
      <c r="T372" s="576"/>
      <c r="U372" s="576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73" t="s">
        <v>206</v>
      </c>
      <c r="C373" s="126" t="s">
        <v>186</v>
      </c>
      <c r="D373" s="108">
        <v>5.03</v>
      </c>
      <c r="E373" s="108"/>
      <c r="F373" s="127"/>
      <c r="G373" s="108"/>
      <c r="H373" s="581">
        <f t="shared" si="173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8">IF(ISERROR(I373-K373),"",I373-K373)</f>
        <v>0</v>
      </c>
      <c r="N373" s="130">
        <f t="shared" ref="N373:N375" si="179">SUM(O373:U373)</f>
        <v>0</v>
      </c>
      <c r="O373" s="576"/>
      <c r="P373" s="576"/>
      <c r="Q373" s="576"/>
      <c r="R373" s="576"/>
      <c r="S373" s="576"/>
      <c r="T373" s="576"/>
      <c r="U373" s="576"/>
      <c r="V373" s="132">
        <f t="shared" ref="V373:V375" si="180">SUM(X373:AA373)</f>
        <v>0</v>
      </c>
      <c r="W373" s="133" t="str">
        <f t="shared" ref="W373:W375" si="181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73" t="s">
        <v>206</v>
      </c>
      <c r="C374" s="126" t="s">
        <v>203</v>
      </c>
      <c r="D374" s="108">
        <v>5.03</v>
      </c>
      <c r="E374" s="108"/>
      <c r="F374" s="127"/>
      <c r="G374" s="108"/>
      <c r="H374" s="581">
        <f t="shared" si="173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8"/>
        <v>0</v>
      </c>
      <c r="N374" s="130">
        <f t="shared" si="179"/>
        <v>0</v>
      </c>
      <c r="O374" s="576"/>
      <c r="P374" s="576"/>
      <c r="Q374" s="576"/>
      <c r="R374" s="576"/>
      <c r="S374" s="576"/>
      <c r="T374" s="576"/>
      <c r="U374" s="576"/>
      <c r="V374" s="132">
        <f t="shared" si="180"/>
        <v>0</v>
      </c>
      <c r="W374" s="133" t="str">
        <f t="shared" si="181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73" t="s">
        <v>206</v>
      </c>
      <c r="C375" s="126" t="s">
        <v>207</v>
      </c>
      <c r="D375" s="108">
        <v>5.03</v>
      </c>
      <c r="E375" s="108"/>
      <c r="F375" s="127"/>
      <c r="G375" s="108"/>
      <c r="H375" s="581">
        <f t="shared" si="173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8"/>
        <v>0</v>
      </c>
      <c r="N375" s="130">
        <f t="shared" si="179"/>
        <v>0</v>
      </c>
      <c r="O375" s="576"/>
      <c r="P375" s="576"/>
      <c r="Q375" s="576"/>
      <c r="R375" s="576"/>
      <c r="S375" s="576"/>
      <c r="T375" s="576"/>
      <c r="U375" s="576"/>
      <c r="V375" s="132">
        <f t="shared" si="180"/>
        <v>0</v>
      </c>
      <c r="W375" s="133" t="str">
        <f t="shared" si="181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73" t="s">
        <v>414</v>
      </c>
      <c r="C376" s="187" t="s">
        <v>415</v>
      </c>
      <c r="D376" s="108"/>
      <c r="E376" s="108"/>
      <c r="F376" s="127"/>
      <c r="G376" s="108"/>
      <c r="H376" s="581">
        <f t="shared" si="173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8"/>
        <v>0</v>
      </c>
      <c r="N376" s="130"/>
      <c r="O376" s="576"/>
      <c r="P376" s="576"/>
      <c r="Q376" s="576"/>
      <c r="R376" s="576"/>
      <c r="S376" s="576"/>
      <c r="T376" s="576"/>
      <c r="U376" s="576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73" t="s">
        <v>414</v>
      </c>
      <c r="C377" s="187" t="s">
        <v>416</v>
      </c>
      <c r="D377" s="108"/>
      <c r="E377" s="108"/>
      <c r="F377" s="127"/>
      <c r="G377" s="108"/>
      <c r="H377" s="581">
        <f t="shared" si="173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8"/>
        <v>0</v>
      </c>
      <c r="N377" s="130"/>
      <c r="O377" s="576"/>
      <c r="P377" s="576"/>
      <c r="Q377" s="576"/>
      <c r="R377" s="576"/>
      <c r="S377" s="576"/>
      <c r="T377" s="576"/>
      <c r="U377" s="576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73" t="s">
        <v>414</v>
      </c>
      <c r="C378" s="187" t="s">
        <v>61</v>
      </c>
      <c r="D378" s="108"/>
      <c r="E378" s="108"/>
      <c r="F378" s="127"/>
      <c r="G378" s="108"/>
      <c r="H378" s="581">
        <f t="shared" si="173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8"/>
        <v>0</v>
      </c>
      <c r="N378" s="130"/>
      <c r="O378" s="576"/>
      <c r="P378" s="576"/>
      <c r="Q378" s="576"/>
      <c r="R378" s="576"/>
      <c r="S378" s="576"/>
      <c r="T378" s="576"/>
      <c r="U378" s="576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73" t="s">
        <v>208</v>
      </c>
      <c r="C379" s="126" t="s">
        <v>179</v>
      </c>
      <c r="D379" s="108">
        <v>5.08</v>
      </c>
      <c r="E379" s="108"/>
      <c r="F379" s="127"/>
      <c r="G379" s="108"/>
      <c r="H379" s="581">
        <f t="shared" si="173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8"/>
        <v>0</v>
      </c>
      <c r="N379" s="130">
        <f t="shared" ref="N379:N394" si="182">SUM(O379:U379)</f>
        <v>0</v>
      </c>
      <c r="O379" s="576"/>
      <c r="P379" s="576"/>
      <c r="Q379" s="576"/>
      <c r="R379" s="576"/>
      <c r="S379" s="576"/>
      <c r="T379" s="576"/>
      <c r="U379" s="576"/>
      <c r="V379" s="132">
        <f t="shared" ref="V379:V390" si="183">SUM(X379:AA379)</f>
        <v>0</v>
      </c>
      <c r="W379" s="133" t="str">
        <f t="shared" ref="W379:W390" si="184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73" t="s">
        <v>208</v>
      </c>
      <c r="C380" s="126" t="s">
        <v>204</v>
      </c>
      <c r="D380" s="108">
        <v>5.08</v>
      </c>
      <c r="E380" s="108"/>
      <c r="F380" s="127"/>
      <c r="G380" s="108"/>
      <c r="H380" s="581">
        <f t="shared" si="173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8"/>
        <v>0</v>
      </c>
      <c r="N380" s="130">
        <f t="shared" si="182"/>
        <v>0</v>
      </c>
      <c r="O380" s="576"/>
      <c r="P380" s="576"/>
      <c r="Q380" s="576"/>
      <c r="R380" s="576"/>
      <c r="S380" s="576"/>
      <c r="T380" s="576"/>
      <c r="U380" s="576"/>
      <c r="V380" s="132">
        <f t="shared" si="183"/>
        <v>0</v>
      </c>
      <c r="W380" s="133" t="str">
        <f t="shared" si="184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73" t="s">
        <v>208</v>
      </c>
      <c r="C381" s="126" t="s">
        <v>205</v>
      </c>
      <c r="D381" s="108">
        <v>5.08</v>
      </c>
      <c r="E381" s="108"/>
      <c r="F381" s="127"/>
      <c r="G381" s="108"/>
      <c r="H381" s="581">
        <f t="shared" si="173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8"/>
        <v>0</v>
      </c>
      <c r="N381" s="130">
        <f t="shared" si="182"/>
        <v>0</v>
      </c>
      <c r="O381" s="576"/>
      <c r="P381" s="576"/>
      <c r="Q381" s="576"/>
      <c r="R381" s="576"/>
      <c r="S381" s="576"/>
      <c r="T381" s="576"/>
      <c r="U381" s="576"/>
      <c r="V381" s="132">
        <f t="shared" si="183"/>
        <v>0</v>
      </c>
      <c r="W381" s="133" t="str">
        <f t="shared" si="184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73" t="s">
        <v>208</v>
      </c>
      <c r="C382" s="126" t="s">
        <v>186</v>
      </c>
      <c r="D382" s="108">
        <v>5.08</v>
      </c>
      <c r="E382" s="108"/>
      <c r="F382" s="127"/>
      <c r="G382" s="108"/>
      <c r="H382" s="581">
        <f t="shared" si="173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8"/>
        <v>0</v>
      </c>
      <c r="N382" s="130">
        <f t="shared" si="182"/>
        <v>0</v>
      </c>
      <c r="O382" s="576"/>
      <c r="P382" s="576"/>
      <c r="Q382" s="576"/>
      <c r="R382" s="576"/>
      <c r="S382" s="576"/>
      <c r="T382" s="576"/>
      <c r="U382" s="576"/>
      <c r="V382" s="132">
        <f t="shared" si="183"/>
        <v>0</v>
      </c>
      <c r="W382" s="133" t="str">
        <f t="shared" si="184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73" t="s">
        <v>208</v>
      </c>
      <c r="C383" s="126" t="s">
        <v>203</v>
      </c>
      <c r="D383" s="108">
        <v>5.08</v>
      </c>
      <c r="E383" s="108"/>
      <c r="F383" s="127"/>
      <c r="G383" s="108"/>
      <c r="H383" s="581">
        <f t="shared" si="173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8"/>
        <v>0</v>
      </c>
      <c r="N383" s="130">
        <f t="shared" si="182"/>
        <v>0</v>
      </c>
      <c r="O383" s="576"/>
      <c r="P383" s="576"/>
      <c r="Q383" s="576"/>
      <c r="R383" s="576"/>
      <c r="S383" s="576"/>
      <c r="T383" s="576"/>
      <c r="U383" s="576"/>
      <c r="V383" s="132">
        <f t="shared" si="183"/>
        <v>0</v>
      </c>
      <c r="W383" s="133" t="str">
        <f t="shared" si="184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73" t="s">
        <v>208</v>
      </c>
      <c r="C384" s="126" t="s">
        <v>199</v>
      </c>
      <c r="D384" s="108">
        <v>5.08</v>
      </c>
      <c r="E384" s="108"/>
      <c r="F384" s="127"/>
      <c r="G384" s="108"/>
      <c r="H384" s="581">
        <f t="shared" si="173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8"/>
        <v>0</v>
      </c>
      <c r="N384" s="130">
        <f t="shared" si="182"/>
        <v>0</v>
      </c>
      <c r="O384" s="572"/>
      <c r="P384" s="572"/>
      <c r="Q384" s="572"/>
      <c r="R384" s="572"/>
      <c r="S384" s="572"/>
      <c r="T384" s="572"/>
      <c r="U384" s="572"/>
      <c r="V384" s="132">
        <f t="shared" si="183"/>
        <v>0</v>
      </c>
      <c r="W384" s="133" t="str">
        <f t="shared" si="184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73" t="s">
        <v>208</v>
      </c>
      <c r="C385" s="126" t="s">
        <v>187</v>
      </c>
      <c r="D385" s="108">
        <v>5.08</v>
      </c>
      <c r="E385" s="108"/>
      <c r="F385" s="127"/>
      <c r="G385" s="108"/>
      <c r="H385" s="581">
        <f t="shared" si="173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8"/>
        <v>0</v>
      </c>
      <c r="N385" s="130">
        <f t="shared" si="182"/>
        <v>0</v>
      </c>
      <c r="O385" s="576"/>
      <c r="P385" s="576"/>
      <c r="Q385" s="576"/>
      <c r="R385" s="576"/>
      <c r="S385" s="576"/>
      <c r="T385" s="576"/>
      <c r="U385" s="576"/>
      <c r="V385" s="132">
        <f t="shared" si="183"/>
        <v>0</v>
      </c>
      <c r="W385" s="133" t="str">
        <f t="shared" si="184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73" t="s">
        <v>208</v>
      </c>
      <c r="C386" s="126" t="s">
        <v>207</v>
      </c>
      <c r="D386" s="108">
        <v>5.08</v>
      </c>
      <c r="E386" s="108"/>
      <c r="F386" s="127"/>
      <c r="G386" s="108"/>
      <c r="H386" s="581">
        <f t="shared" si="173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8"/>
        <v>0</v>
      </c>
      <c r="N386" s="130">
        <f t="shared" si="182"/>
        <v>0</v>
      </c>
      <c r="O386" s="572"/>
      <c r="P386" s="572"/>
      <c r="Q386" s="572"/>
      <c r="R386" s="572"/>
      <c r="S386" s="572"/>
      <c r="T386" s="572"/>
      <c r="U386" s="572"/>
      <c r="V386" s="132">
        <f t="shared" si="183"/>
        <v>0</v>
      </c>
      <c r="W386" s="133" t="str">
        <f t="shared" si="184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73" t="s">
        <v>209</v>
      </c>
      <c r="C387" s="126" t="s">
        <v>194</v>
      </c>
      <c r="D387" s="108">
        <v>5.03</v>
      </c>
      <c r="E387" s="108"/>
      <c r="F387" s="127"/>
      <c r="G387" s="108"/>
      <c r="H387" s="581">
        <f t="shared" si="173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8"/>
        <v>0</v>
      </c>
      <c r="N387" s="130">
        <f t="shared" si="182"/>
        <v>0</v>
      </c>
      <c r="O387" s="576"/>
      <c r="P387" s="576"/>
      <c r="Q387" s="576"/>
      <c r="R387" s="576"/>
      <c r="S387" s="576"/>
      <c r="T387" s="576"/>
      <c r="U387" s="576"/>
      <c r="V387" s="132">
        <f t="shared" si="183"/>
        <v>0</v>
      </c>
      <c r="W387" s="133" t="str">
        <f t="shared" si="184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73" t="s">
        <v>209</v>
      </c>
      <c r="C388" s="126" t="s">
        <v>179</v>
      </c>
      <c r="D388" s="108">
        <v>5.03</v>
      </c>
      <c r="E388" s="108"/>
      <c r="F388" s="127"/>
      <c r="G388" s="108"/>
      <c r="H388" s="581">
        <f t="shared" si="173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8"/>
        <v>0</v>
      </c>
      <c r="N388" s="130">
        <f t="shared" si="182"/>
        <v>0</v>
      </c>
      <c r="O388" s="576"/>
      <c r="P388" s="576"/>
      <c r="Q388" s="576"/>
      <c r="R388" s="576"/>
      <c r="S388" s="576"/>
      <c r="T388" s="576"/>
      <c r="U388" s="576"/>
      <c r="V388" s="132">
        <f t="shared" si="183"/>
        <v>0</v>
      </c>
      <c r="W388" s="133" t="str">
        <f t="shared" si="184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73" t="s">
        <v>209</v>
      </c>
      <c r="C389" s="126" t="s">
        <v>195</v>
      </c>
      <c r="D389" s="108">
        <v>5.03</v>
      </c>
      <c r="E389" s="108"/>
      <c r="F389" s="127"/>
      <c r="G389" s="108"/>
      <c r="H389" s="581">
        <f t="shared" si="173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8"/>
        <v>0</v>
      </c>
      <c r="N389" s="130">
        <f t="shared" si="182"/>
        <v>0</v>
      </c>
      <c r="O389" s="576"/>
      <c r="P389" s="576"/>
      <c r="Q389" s="576"/>
      <c r="R389" s="576"/>
      <c r="S389" s="576"/>
      <c r="T389" s="576"/>
      <c r="U389" s="576"/>
      <c r="V389" s="132">
        <f t="shared" si="183"/>
        <v>0</v>
      </c>
      <c r="W389" s="133" t="str">
        <f t="shared" si="184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73" t="s">
        <v>209</v>
      </c>
      <c r="C390" s="126" t="s">
        <v>204</v>
      </c>
      <c r="D390" s="108">
        <v>5.03</v>
      </c>
      <c r="E390" s="108"/>
      <c r="F390" s="127"/>
      <c r="G390" s="108"/>
      <c r="H390" s="581">
        <f t="shared" si="173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8"/>
        <v>0</v>
      </c>
      <c r="N390" s="130">
        <f t="shared" si="182"/>
        <v>0</v>
      </c>
      <c r="O390" s="576"/>
      <c r="P390" s="576"/>
      <c r="Q390" s="576"/>
      <c r="R390" s="576"/>
      <c r="S390" s="576"/>
      <c r="T390" s="576"/>
      <c r="U390" s="576"/>
      <c r="V390" s="132">
        <f t="shared" si="183"/>
        <v>0</v>
      </c>
      <c r="W390" s="133" t="str">
        <f t="shared" si="184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73" t="s">
        <v>382</v>
      </c>
      <c r="C391" s="187" t="s">
        <v>383</v>
      </c>
      <c r="D391" s="108">
        <v>5.03</v>
      </c>
      <c r="E391" s="108"/>
      <c r="F391" s="127"/>
      <c r="G391" s="108"/>
      <c r="H391" s="581">
        <f t="shared" si="173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8"/>
        <v>0</v>
      </c>
      <c r="N391" s="130">
        <f t="shared" si="182"/>
        <v>0</v>
      </c>
      <c r="O391" s="576"/>
      <c r="P391" s="576"/>
      <c r="Q391" s="576"/>
      <c r="R391" s="576"/>
      <c r="S391" s="576"/>
      <c r="T391" s="576"/>
      <c r="U391" s="576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73" t="s">
        <v>382</v>
      </c>
      <c r="C392" s="187" t="s">
        <v>384</v>
      </c>
      <c r="D392" s="108">
        <v>5.03</v>
      </c>
      <c r="E392" s="108"/>
      <c r="F392" s="127"/>
      <c r="G392" s="108"/>
      <c r="H392" s="581">
        <f t="shared" si="173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8"/>
        <v>0</v>
      </c>
      <c r="N392" s="130">
        <f t="shared" si="182"/>
        <v>0</v>
      </c>
      <c r="O392" s="576"/>
      <c r="P392" s="576"/>
      <c r="Q392" s="576"/>
      <c r="R392" s="576"/>
      <c r="S392" s="576"/>
      <c r="T392" s="576"/>
      <c r="U392" s="576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73" t="s">
        <v>382</v>
      </c>
      <c r="C393" s="187" t="s">
        <v>389</v>
      </c>
      <c r="D393" s="108">
        <v>5.03</v>
      </c>
      <c r="E393" s="108"/>
      <c r="F393" s="127"/>
      <c r="G393" s="108"/>
      <c r="H393" s="581">
        <f t="shared" si="173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8"/>
        <v>0</v>
      </c>
      <c r="N393" s="130">
        <f t="shared" si="182"/>
        <v>0</v>
      </c>
      <c r="O393" s="576"/>
      <c r="P393" s="576"/>
      <c r="Q393" s="576"/>
      <c r="R393" s="576"/>
      <c r="S393" s="576"/>
      <c r="T393" s="576"/>
      <c r="U393" s="576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73" t="s">
        <v>382</v>
      </c>
      <c r="C394" s="187" t="s">
        <v>391</v>
      </c>
      <c r="D394" s="108">
        <v>5.03</v>
      </c>
      <c r="E394" s="108"/>
      <c r="F394" s="127"/>
      <c r="G394" s="108"/>
      <c r="H394" s="581">
        <f t="shared" si="173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8"/>
        <v>0</v>
      </c>
      <c r="N394" s="130">
        <f t="shared" si="182"/>
        <v>0</v>
      </c>
      <c r="O394" s="576"/>
      <c r="P394" s="576"/>
      <c r="Q394" s="576"/>
      <c r="R394" s="576"/>
      <c r="S394" s="576"/>
      <c r="T394" s="576"/>
      <c r="U394" s="576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73" t="s">
        <v>418</v>
      </c>
      <c r="C395" s="187" t="s">
        <v>364</v>
      </c>
      <c r="D395" s="108">
        <v>5.03</v>
      </c>
      <c r="E395" s="108"/>
      <c r="F395" s="127"/>
      <c r="G395" s="108"/>
      <c r="H395" s="581">
        <f t="shared" si="173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8"/>
        <v>0</v>
      </c>
      <c r="N395" s="130"/>
      <c r="O395" s="576"/>
      <c r="P395" s="576"/>
      <c r="Q395" s="576"/>
      <c r="R395" s="576"/>
      <c r="S395" s="576"/>
      <c r="T395" s="576"/>
      <c r="U395" s="576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73" t="s">
        <v>418</v>
      </c>
      <c r="C396" s="187" t="s">
        <v>365</v>
      </c>
      <c r="D396" s="108">
        <v>5.03</v>
      </c>
      <c r="E396" s="108"/>
      <c r="F396" s="127"/>
      <c r="G396" s="108"/>
      <c r="H396" s="581">
        <f t="shared" si="173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8"/>
        <v>0</v>
      </c>
      <c r="N396" s="130"/>
      <c r="O396" s="576"/>
      <c r="P396" s="576"/>
      <c r="Q396" s="576"/>
      <c r="R396" s="576"/>
      <c r="S396" s="576"/>
      <c r="T396" s="576"/>
      <c r="U396" s="576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73" t="s">
        <v>418</v>
      </c>
      <c r="C397" s="187" t="s">
        <v>366</v>
      </c>
      <c r="D397" s="108">
        <v>5.03</v>
      </c>
      <c r="E397" s="108"/>
      <c r="F397" s="127"/>
      <c r="G397" s="108"/>
      <c r="H397" s="581">
        <f t="shared" si="173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8"/>
        <v>0</v>
      </c>
      <c r="N397" s="130"/>
      <c r="O397" s="576"/>
      <c r="P397" s="576"/>
      <c r="Q397" s="576"/>
      <c r="R397" s="576"/>
      <c r="S397" s="576"/>
      <c r="T397" s="576"/>
      <c r="U397" s="576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73" t="s">
        <v>418</v>
      </c>
      <c r="C398" s="187" t="s">
        <v>367</v>
      </c>
      <c r="D398" s="108">
        <v>5.03</v>
      </c>
      <c r="E398" s="108"/>
      <c r="F398" s="127"/>
      <c r="G398" s="108"/>
      <c r="H398" s="581">
        <f t="shared" si="173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8"/>
        <v>0</v>
      </c>
      <c r="N398" s="130"/>
      <c r="O398" s="576"/>
      <c r="P398" s="576"/>
      <c r="Q398" s="576"/>
      <c r="R398" s="576"/>
      <c r="S398" s="576"/>
      <c r="T398" s="576"/>
      <c r="U398" s="576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08"/>
      <c r="H399" s="581">
        <f t="shared" si="173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8"/>
        <v>0</v>
      </c>
      <c r="N399" s="130">
        <f t="shared" ref="N399:N408" si="185">SUM(O399:U399)</f>
        <v>0</v>
      </c>
      <c r="O399" s="572"/>
      <c r="P399" s="572"/>
      <c r="Q399" s="572"/>
      <c r="R399" s="572"/>
      <c r="S399" s="572"/>
      <c r="T399" s="572"/>
      <c r="U399" s="572"/>
      <c r="V399" s="132">
        <f t="shared" ref="V399:V408" si="186">SUM(X399:AA399)</f>
        <v>0</v>
      </c>
      <c r="W399" s="133" t="str">
        <f t="shared" ref="W399:W408" si="187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08"/>
      <c r="H400" s="581">
        <f t="shared" si="173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8"/>
        <v>0</v>
      </c>
      <c r="N400" s="130">
        <f t="shared" si="185"/>
        <v>0</v>
      </c>
      <c r="O400" s="572"/>
      <c r="P400" s="572"/>
      <c r="Q400" s="572"/>
      <c r="R400" s="572"/>
      <c r="S400" s="572"/>
      <c r="T400" s="572"/>
      <c r="U400" s="572"/>
      <c r="V400" s="132">
        <f t="shared" si="186"/>
        <v>0</v>
      </c>
      <c r="W400" s="133" t="str">
        <f t="shared" si="187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08"/>
      <c r="H401" s="581">
        <f t="shared" si="173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8"/>
        <v>0</v>
      </c>
      <c r="N401" s="130">
        <f t="shared" si="185"/>
        <v>0</v>
      </c>
      <c r="O401" s="572"/>
      <c r="P401" s="572"/>
      <c r="Q401" s="572"/>
      <c r="R401" s="572"/>
      <c r="S401" s="572"/>
      <c r="T401" s="572"/>
      <c r="U401" s="572"/>
      <c r="V401" s="132">
        <f t="shared" si="186"/>
        <v>0</v>
      </c>
      <c r="W401" s="133" t="str">
        <f t="shared" si="187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08"/>
      <c r="H402" s="581">
        <f t="shared" si="173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8"/>
        <v>0</v>
      </c>
      <c r="N402" s="130">
        <f t="shared" si="185"/>
        <v>0</v>
      </c>
      <c r="O402" s="572"/>
      <c r="P402" s="572"/>
      <c r="Q402" s="572"/>
      <c r="R402" s="572"/>
      <c r="S402" s="572"/>
      <c r="T402" s="572"/>
      <c r="U402" s="572"/>
      <c r="V402" s="132">
        <f t="shared" si="186"/>
        <v>0</v>
      </c>
      <c r="W402" s="133" t="str">
        <f t="shared" si="187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08"/>
      <c r="H403" s="581">
        <f t="shared" si="173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8"/>
        <v>0</v>
      </c>
      <c r="N403" s="130">
        <f t="shared" si="185"/>
        <v>0</v>
      </c>
      <c r="O403" s="572"/>
      <c r="P403" s="572"/>
      <c r="Q403" s="572"/>
      <c r="R403" s="572"/>
      <c r="S403" s="572"/>
      <c r="T403" s="572"/>
      <c r="U403" s="572"/>
      <c r="V403" s="132">
        <f t="shared" si="186"/>
        <v>0</v>
      </c>
      <c r="W403" s="133" t="str">
        <f t="shared" si="187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08"/>
      <c r="H404" s="581">
        <f t="shared" si="173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8"/>
        <v>0</v>
      </c>
      <c r="N404" s="130">
        <f t="shared" si="185"/>
        <v>0</v>
      </c>
      <c r="O404" s="572"/>
      <c r="P404" s="572"/>
      <c r="Q404" s="572"/>
      <c r="R404" s="572"/>
      <c r="S404" s="572"/>
      <c r="T404" s="572"/>
      <c r="U404" s="572"/>
      <c r="V404" s="132">
        <f t="shared" si="186"/>
        <v>0</v>
      </c>
      <c r="W404" s="133" t="str">
        <f t="shared" si="187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08"/>
      <c r="H405" s="581">
        <f t="shared" si="173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8"/>
        <v>0</v>
      </c>
      <c r="N405" s="130">
        <f t="shared" si="185"/>
        <v>0</v>
      </c>
      <c r="O405" s="572"/>
      <c r="P405" s="572"/>
      <c r="Q405" s="572"/>
      <c r="R405" s="572"/>
      <c r="S405" s="572"/>
      <c r="T405" s="572"/>
      <c r="U405" s="572"/>
      <c r="V405" s="132">
        <f t="shared" si="186"/>
        <v>0</v>
      </c>
      <c r="W405" s="133" t="str">
        <f t="shared" si="187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08"/>
      <c r="H406" s="581">
        <f t="shared" si="173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8"/>
        <v>0</v>
      </c>
      <c r="N406" s="130">
        <f t="shared" si="185"/>
        <v>0</v>
      </c>
      <c r="O406" s="572"/>
      <c r="P406" s="572"/>
      <c r="Q406" s="572"/>
      <c r="R406" s="572"/>
      <c r="S406" s="572"/>
      <c r="T406" s="572"/>
      <c r="U406" s="572"/>
      <c r="V406" s="132">
        <f t="shared" si="186"/>
        <v>0</v>
      </c>
      <c r="W406" s="133" t="str">
        <f t="shared" si="187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08"/>
      <c r="H407" s="581">
        <f t="shared" si="173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8"/>
        <v>0</v>
      </c>
      <c r="N407" s="130">
        <f t="shared" si="185"/>
        <v>0</v>
      </c>
      <c r="O407" s="572"/>
      <c r="P407" s="572"/>
      <c r="Q407" s="572"/>
      <c r="R407" s="572"/>
      <c r="S407" s="572"/>
      <c r="T407" s="572"/>
      <c r="U407" s="572"/>
      <c r="V407" s="132">
        <f t="shared" si="186"/>
        <v>0</v>
      </c>
      <c r="W407" s="133" t="str">
        <f t="shared" si="187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08"/>
      <c r="H408" s="581">
        <f t="shared" si="173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8"/>
        <v>0</v>
      </c>
      <c r="N408" s="130">
        <f t="shared" si="185"/>
        <v>0</v>
      </c>
      <c r="O408" s="572"/>
      <c r="P408" s="572"/>
      <c r="Q408" s="572"/>
      <c r="R408" s="572"/>
      <c r="S408" s="572"/>
      <c r="T408" s="572"/>
      <c r="U408" s="572"/>
      <c r="V408" s="132">
        <f t="shared" si="186"/>
        <v>0</v>
      </c>
      <c r="W408" s="133" t="str">
        <f t="shared" si="187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08"/>
      <c r="H409" s="581">
        <f t="shared" si="173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72"/>
      <c r="P409" s="572"/>
      <c r="Q409" s="572"/>
      <c r="R409" s="572"/>
      <c r="S409" s="572"/>
      <c r="T409" s="572"/>
      <c r="U409" s="57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08"/>
      <c r="H410" s="581">
        <f t="shared" si="173"/>
        <v>0</v>
      </c>
      <c r="I410" s="129"/>
      <c r="J410" s="130"/>
      <c r="K410" s="131"/>
      <c r="L410" s="129">
        <v>50</v>
      </c>
      <c r="M410" s="109"/>
      <c r="N410" s="130"/>
      <c r="O410" s="572"/>
      <c r="P410" s="572"/>
      <c r="Q410" s="572"/>
      <c r="R410" s="572"/>
      <c r="S410" s="572"/>
      <c r="T410" s="572"/>
      <c r="U410" s="57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08"/>
      <c r="H411" s="581">
        <f t="shared" si="173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8">IF(ISERROR(I411-K411),"",I411-K411)</f>
        <v>0</v>
      </c>
      <c r="N411" s="130">
        <f t="shared" ref="N411:N412" si="189">SUM(O411:U411)</f>
        <v>0</v>
      </c>
      <c r="O411" s="572"/>
      <c r="P411" s="572"/>
      <c r="Q411" s="572"/>
      <c r="R411" s="572"/>
      <c r="S411" s="572"/>
      <c r="T411" s="572"/>
      <c r="U411" s="572"/>
      <c r="V411" s="132">
        <f t="shared" ref="V411:V412" si="190">SUM(X411:AA411)</f>
        <v>0</v>
      </c>
      <c r="W411" s="133" t="str">
        <f t="shared" ref="W411:W412" si="191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08"/>
      <c r="H412" s="581">
        <f t="shared" si="173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8"/>
        <v>0</v>
      </c>
      <c r="N412" s="130">
        <f t="shared" si="189"/>
        <v>0</v>
      </c>
      <c r="O412" s="572"/>
      <c r="P412" s="572"/>
      <c r="Q412" s="572"/>
      <c r="R412" s="572"/>
      <c r="S412" s="572"/>
      <c r="T412" s="572"/>
      <c r="U412" s="572"/>
      <c r="V412" s="132">
        <f t="shared" si="190"/>
        <v>0</v>
      </c>
      <c r="W412" s="133" t="str">
        <f t="shared" si="191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08"/>
      <c r="H413" s="581">
        <f t="shared" si="173"/>
        <v>0</v>
      </c>
      <c r="I413" s="129"/>
      <c r="J413" s="130"/>
      <c r="K413" s="131"/>
      <c r="L413" s="129"/>
      <c r="M413" s="109"/>
      <c r="N413" s="130"/>
      <c r="O413" s="572"/>
      <c r="P413" s="572"/>
      <c r="Q413" s="572"/>
      <c r="R413" s="572"/>
      <c r="S413" s="572"/>
      <c r="T413" s="572"/>
      <c r="U413" s="57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08"/>
      <c r="H414" s="581">
        <f t="shared" si="173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2">IF(ISERROR(I414-K414),"",I414-K414)</f>
        <v/>
      </c>
      <c r="N414" s="130">
        <f t="shared" ref="N414:N417" si="193">SUM(O414:U414)</f>
        <v>0</v>
      </c>
      <c r="O414" s="572"/>
      <c r="P414" s="572"/>
      <c r="Q414" s="572"/>
      <c r="R414" s="572"/>
      <c r="S414" s="572"/>
      <c r="T414" s="572"/>
      <c r="U414" s="572"/>
      <c r="V414" s="132">
        <f t="shared" ref="V414:V417" si="194">SUM(X414:AA414)</f>
        <v>0</v>
      </c>
      <c r="W414" s="133" t="str">
        <f t="shared" ref="W414:W417" si="195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08"/>
      <c r="H415" s="581">
        <f t="shared" si="173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2"/>
        <v/>
      </c>
      <c r="N415" s="130">
        <f t="shared" si="193"/>
        <v>0</v>
      </c>
      <c r="O415" s="572"/>
      <c r="P415" s="572"/>
      <c r="Q415" s="572"/>
      <c r="R415" s="572"/>
      <c r="S415" s="572"/>
      <c r="T415" s="572"/>
      <c r="U415" s="572"/>
      <c r="V415" s="132">
        <f t="shared" si="194"/>
        <v>0</v>
      </c>
      <c r="W415" s="133" t="str">
        <f t="shared" si="195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08"/>
      <c r="H416" s="581">
        <f t="shared" si="173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2"/>
        <v/>
      </c>
      <c r="N416" s="130">
        <f t="shared" si="193"/>
        <v>0</v>
      </c>
      <c r="O416" s="572"/>
      <c r="P416" s="572"/>
      <c r="Q416" s="572"/>
      <c r="R416" s="572"/>
      <c r="S416" s="572"/>
      <c r="T416" s="572"/>
      <c r="U416" s="572"/>
      <c r="V416" s="132">
        <f t="shared" si="194"/>
        <v>0</v>
      </c>
      <c r="W416" s="133" t="str">
        <f t="shared" si="195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08"/>
      <c r="H417" s="581">
        <f t="shared" si="173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2"/>
        <v/>
      </c>
      <c r="N417" s="130">
        <f t="shared" si="193"/>
        <v>0</v>
      </c>
      <c r="O417" s="572"/>
      <c r="P417" s="572"/>
      <c r="Q417" s="572"/>
      <c r="R417" s="572"/>
      <c r="S417" s="572"/>
      <c r="T417" s="572"/>
      <c r="U417" s="572"/>
      <c r="V417" s="132">
        <f t="shared" si="194"/>
        <v>0</v>
      </c>
      <c r="W417" s="133" t="str">
        <f t="shared" si="195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08"/>
      <c r="H418" s="581">
        <f t="shared" si="173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2"/>
        <v>0</v>
      </c>
      <c r="N418" s="130"/>
      <c r="O418" s="572"/>
      <c r="P418" s="572"/>
      <c r="Q418" s="572"/>
      <c r="R418" s="572"/>
      <c r="S418" s="572"/>
      <c r="T418" s="572"/>
      <c r="U418" s="57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08"/>
      <c r="H419" s="581">
        <f t="shared" si="173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2"/>
        <v>0</v>
      </c>
      <c r="N419" s="130"/>
      <c r="O419" s="572"/>
      <c r="P419" s="572"/>
      <c r="Q419" s="572"/>
      <c r="R419" s="572"/>
      <c r="S419" s="572"/>
      <c r="T419" s="572"/>
      <c r="U419" s="57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08"/>
      <c r="H420" s="581">
        <f t="shared" si="173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2"/>
        <v>0</v>
      </c>
      <c r="N420" s="130"/>
      <c r="O420" s="572"/>
      <c r="P420" s="572"/>
      <c r="Q420" s="572"/>
      <c r="R420" s="572"/>
      <c r="S420" s="572"/>
      <c r="T420" s="572"/>
      <c r="U420" s="57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08"/>
      <c r="H421" s="581">
        <f t="shared" si="173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2"/>
        <v>0</v>
      </c>
      <c r="N421" s="130"/>
      <c r="O421" s="572"/>
      <c r="P421" s="572"/>
      <c r="Q421" s="572"/>
      <c r="R421" s="572"/>
      <c r="S421" s="572"/>
      <c r="T421" s="572"/>
      <c r="U421" s="57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08"/>
      <c r="H422" s="581">
        <f t="shared" si="173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2"/>
        <v>0</v>
      </c>
      <c r="N422" s="130"/>
      <c r="O422" s="572"/>
      <c r="P422" s="572"/>
      <c r="Q422" s="572"/>
      <c r="R422" s="572"/>
      <c r="S422" s="572"/>
      <c r="T422" s="572"/>
      <c r="U422" s="57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08"/>
      <c r="H423" s="581">
        <f t="shared" si="173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2"/>
        <v>0</v>
      </c>
      <c r="N423" s="130"/>
      <c r="O423" s="572"/>
      <c r="P423" s="572"/>
      <c r="Q423" s="572"/>
      <c r="R423" s="572"/>
      <c r="S423" s="572"/>
      <c r="T423" s="572"/>
      <c r="U423" s="57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08"/>
      <c r="H424" s="581">
        <f t="shared" si="173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2"/>
        <v>0</v>
      </c>
      <c r="N424" s="130"/>
      <c r="O424" s="572"/>
      <c r="P424" s="572"/>
      <c r="Q424" s="572"/>
      <c r="R424" s="572"/>
      <c r="S424" s="572"/>
      <c r="T424" s="572"/>
      <c r="U424" s="57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08"/>
      <c r="H425" s="581">
        <f t="shared" si="173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2"/>
        <v>0</v>
      </c>
      <c r="N425" s="130"/>
      <c r="O425" s="572"/>
      <c r="P425" s="572"/>
      <c r="Q425" s="572"/>
      <c r="R425" s="572"/>
      <c r="S425" s="572"/>
      <c r="T425" s="572"/>
      <c r="U425" s="57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08"/>
      <c r="H426" s="581">
        <f t="shared" si="173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2"/>
        <v>0</v>
      </c>
      <c r="N426" s="130"/>
      <c r="O426" s="572"/>
      <c r="P426" s="572"/>
      <c r="Q426" s="572"/>
      <c r="R426" s="572"/>
      <c r="S426" s="572"/>
      <c r="T426" s="572"/>
      <c r="U426" s="57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08"/>
      <c r="H427" s="581">
        <f t="shared" si="173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2"/>
        <v>0</v>
      </c>
      <c r="N427" s="130"/>
      <c r="O427" s="572"/>
      <c r="P427" s="572"/>
      <c r="Q427" s="572"/>
      <c r="R427" s="572"/>
      <c r="S427" s="572"/>
      <c r="T427" s="572"/>
      <c r="U427" s="57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79" t="s">
        <v>202</v>
      </c>
      <c r="D428" s="143"/>
      <c r="E428" s="143"/>
      <c r="F428" s="144"/>
      <c r="G428" s="143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6">SUM(M371:M427)</f>
        <v>0</v>
      </c>
      <c r="N428" s="146">
        <f t="shared" si="196"/>
        <v>0</v>
      </c>
      <c r="O428" s="148">
        <f t="shared" si="196"/>
        <v>0</v>
      </c>
      <c r="P428" s="148">
        <f t="shared" si="196"/>
        <v>0</v>
      </c>
      <c r="Q428" s="148">
        <f t="shared" si="196"/>
        <v>0</v>
      </c>
      <c r="R428" s="148">
        <f t="shared" si="196"/>
        <v>0</v>
      </c>
      <c r="S428" s="148">
        <f t="shared" si="196"/>
        <v>0</v>
      </c>
      <c r="T428" s="148">
        <f t="shared" si="196"/>
        <v>0</v>
      </c>
      <c r="U428" s="148">
        <f t="shared" si="196"/>
        <v>0</v>
      </c>
      <c r="V428" s="149">
        <f t="shared" si="196"/>
        <v>0</v>
      </c>
      <c r="W428" s="133" t="str">
        <f t="shared" ref="W428:W435" si="197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73" t="s">
        <v>217</v>
      </c>
      <c r="C429" s="126" t="s">
        <v>179</v>
      </c>
      <c r="D429" s="108">
        <v>5.03</v>
      </c>
      <c r="E429" s="108"/>
      <c r="F429" s="127"/>
      <c r="G429" s="108"/>
      <c r="H429" s="581">
        <f t="shared" ref="H429:H462" si="198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9">IF(ISERROR(I429-K429),"",I429-K429)</f>
        <v>0</v>
      </c>
      <c r="N429" s="130">
        <f t="shared" ref="N429:N436" si="200">SUM(O429:U429)</f>
        <v>0</v>
      </c>
      <c r="O429" s="572"/>
      <c r="P429" s="572"/>
      <c r="Q429" s="572"/>
      <c r="R429" s="572"/>
      <c r="S429" s="572"/>
      <c r="T429" s="572"/>
      <c r="U429" s="572"/>
      <c r="V429" s="132">
        <f t="shared" ref="V429:V435" si="201">SUM(X429:AA429)</f>
        <v>0</v>
      </c>
      <c r="W429" s="133" t="str">
        <f t="shared" si="197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73" t="s">
        <v>217</v>
      </c>
      <c r="C430" s="126" t="s">
        <v>186</v>
      </c>
      <c r="D430" s="108">
        <v>5.03</v>
      </c>
      <c r="E430" s="108"/>
      <c r="F430" s="127"/>
      <c r="G430" s="108"/>
      <c r="H430" s="581">
        <f t="shared" si="198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9"/>
        <v>0</v>
      </c>
      <c r="N430" s="130">
        <f t="shared" si="200"/>
        <v>0</v>
      </c>
      <c r="O430" s="572"/>
      <c r="P430" s="572"/>
      <c r="Q430" s="572"/>
      <c r="R430" s="572"/>
      <c r="S430" s="572"/>
      <c r="T430" s="572"/>
      <c r="U430" s="572"/>
      <c r="V430" s="132">
        <f t="shared" si="201"/>
        <v>0</v>
      </c>
      <c r="W430" s="133" t="str">
        <f t="shared" si="197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73" t="s">
        <v>217</v>
      </c>
      <c r="C431" s="126" t="s">
        <v>204</v>
      </c>
      <c r="D431" s="108">
        <v>5.03</v>
      </c>
      <c r="E431" s="108"/>
      <c r="F431" s="127"/>
      <c r="G431" s="108"/>
      <c r="H431" s="581">
        <f t="shared" si="198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9"/>
        <v>0</v>
      </c>
      <c r="N431" s="130">
        <f t="shared" si="200"/>
        <v>0</v>
      </c>
      <c r="O431" s="572"/>
      <c r="P431" s="572"/>
      <c r="Q431" s="572"/>
      <c r="R431" s="572"/>
      <c r="S431" s="572"/>
      <c r="T431" s="572"/>
      <c r="U431" s="572"/>
      <c r="V431" s="132">
        <f t="shared" si="201"/>
        <v>0</v>
      </c>
      <c r="W431" s="133" t="str">
        <f t="shared" si="197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>
        <v>42749</v>
      </c>
      <c r="G432" s="108">
        <f>108*7+8+15+92+64+38</f>
        <v>973</v>
      </c>
      <c r="H432" s="581">
        <f t="shared" si="198"/>
        <v>4894.1900000000005</v>
      </c>
      <c r="I432" s="129">
        <f>10+10+9.5*2+12+12+10+10.5</f>
        <v>83.5</v>
      </c>
      <c r="J432" s="130">
        <f t="array" ref="J432">IF(ISERROR(G432/I432),"",G432/I432)</f>
        <v>11.652694610778443</v>
      </c>
      <c r="K432" s="131">
        <f t="array" ref="K432">IF(ISERROR(G432/L432),"",G432/L432)</f>
        <v>104.62365591397848</v>
      </c>
      <c r="L432" s="129">
        <v>9.3000000000000007</v>
      </c>
      <c r="M432" s="109">
        <f t="shared" si="199"/>
        <v>-21.123655913978482</v>
      </c>
      <c r="N432" s="130">
        <f t="shared" si="200"/>
        <v>0</v>
      </c>
      <c r="O432" s="572"/>
      <c r="P432" s="572"/>
      <c r="Q432" s="572"/>
      <c r="R432" s="572"/>
      <c r="S432" s="572"/>
      <c r="T432" s="572"/>
      <c r="U432" s="572"/>
      <c r="V432" s="132">
        <f t="shared" si="201"/>
        <v>0</v>
      </c>
      <c r="W432" s="133">
        <f t="shared" si="197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08"/>
      <c r="H433" s="581">
        <f t="shared" si="198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9"/>
        <v>0</v>
      </c>
      <c r="N433" s="130">
        <f t="shared" si="200"/>
        <v>0</v>
      </c>
      <c r="O433" s="572"/>
      <c r="P433" s="572"/>
      <c r="Q433" s="572"/>
      <c r="R433" s="572"/>
      <c r="S433" s="572"/>
      <c r="T433" s="572"/>
      <c r="U433" s="572"/>
      <c r="V433" s="132">
        <f t="shared" si="201"/>
        <v>0</v>
      </c>
      <c r="W433" s="133" t="str">
        <f t="shared" si="197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08"/>
      <c r="H434" s="581">
        <f t="shared" si="198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9"/>
        <v>0</v>
      </c>
      <c r="N434" s="130">
        <f t="shared" si="200"/>
        <v>0</v>
      </c>
      <c r="O434" s="572"/>
      <c r="P434" s="572"/>
      <c r="Q434" s="572"/>
      <c r="R434" s="572"/>
      <c r="S434" s="572"/>
      <c r="T434" s="572"/>
      <c r="U434" s="572"/>
      <c r="V434" s="132">
        <f t="shared" si="201"/>
        <v>0</v>
      </c>
      <c r="W434" s="133" t="str">
        <f t="shared" si="197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08"/>
      <c r="H435" s="581">
        <f t="shared" si="198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9"/>
        <v>0</v>
      </c>
      <c r="N435" s="130">
        <f t="shared" si="200"/>
        <v>0</v>
      </c>
      <c r="O435" s="572"/>
      <c r="P435" s="572"/>
      <c r="Q435" s="572"/>
      <c r="R435" s="572"/>
      <c r="S435" s="572"/>
      <c r="T435" s="572"/>
      <c r="U435" s="572"/>
      <c r="V435" s="132">
        <f t="shared" si="201"/>
        <v>0</v>
      </c>
      <c r="W435" s="133" t="str">
        <f t="shared" si="197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08"/>
      <c r="H436" s="581">
        <f t="shared" si="198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9"/>
        <v>0</v>
      </c>
      <c r="N436" s="130">
        <f t="shared" si="200"/>
        <v>0</v>
      </c>
      <c r="O436" s="572"/>
      <c r="P436" s="572"/>
      <c r="Q436" s="572"/>
      <c r="R436" s="572"/>
      <c r="S436" s="572"/>
      <c r="T436" s="572"/>
      <c r="U436" s="57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08"/>
      <c r="H437" s="581">
        <f t="shared" si="198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72"/>
      <c r="P437" s="572"/>
      <c r="Q437" s="572"/>
      <c r="R437" s="572"/>
      <c r="S437" s="572"/>
      <c r="T437" s="572"/>
      <c r="U437" s="57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08"/>
      <c r="H438" s="581">
        <f t="shared" si="198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72"/>
      <c r="P438" s="572"/>
      <c r="Q438" s="572"/>
      <c r="R438" s="572"/>
      <c r="S438" s="572"/>
      <c r="T438" s="572"/>
      <c r="U438" s="57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08"/>
      <c r="H439" s="581">
        <f t="shared" si="198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72"/>
      <c r="P439" s="572"/>
      <c r="Q439" s="572"/>
      <c r="R439" s="572"/>
      <c r="S439" s="572"/>
      <c r="T439" s="572"/>
      <c r="U439" s="57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08"/>
      <c r="H440" s="581">
        <f t="shared" si="198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72"/>
      <c r="P440" s="572"/>
      <c r="Q440" s="572"/>
      <c r="R440" s="572"/>
      <c r="S440" s="572"/>
      <c r="T440" s="572"/>
      <c r="U440" s="57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08"/>
      <c r="H441" s="581">
        <f t="shared" si="198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2">IF(ISERROR(I441-K441),"",I441-K441)</f>
        <v>0</v>
      </c>
      <c r="N441" s="130">
        <f t="shared" ref="N441:N456" si="203">SUM(O441:U441)</f>
        <v>0</v>
      </c>
      <c r="O441" s="572"/>
      <c r="P441" s="572"/>
      <c r="Q441" s="572"/>
      <c r="R441" s="572"/>
      <c r="S441" s="572"/>
      <c r="T441" s="572"/>
      <c r="U441" s="572"/>
      <c r="V441" s="132">
        <f t="shared" ref="V441:V444" si="204">SUM(X441:AA441)</f>
        <v>0</v>
      </c>
      <c r="W441" s="133" t="str">
        <f t="shared" ref="W441:W448" si="205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08"/>
      <c r="H442" s="581">
        <f t="shared" si="198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2"/>
        <v/>
      </c>
      <c r="N442" s="130">
        <f t="shared" si="203"/>
        <v>0</v>
      </c>
      <c r="O442" s="572"/>
      <c r="P442" s="572"/>
      <c r="Q442" s="572"/>
      <c r="R442" s="572"/>
      <c r="S442" s="572"/>
      <c r="T442" s="572"/>
      <c r="U442" s="572"/>
      <c r="V442" s="132">
        <f t="shared" si="204"/>
        <v>0</v>
      </c>
      <c r="W442" s="133" t="str">
        <f t="shared" si="205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08"/>
      <c r="H443" s="581">
        <f t="shared" si="198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2"/>
        <v/>
      </c>
      <c r="N443" s="130">
        <f t="shared" si="203"/>
        <v>0</v>
      </c>
      <c r="O443" s="572"/>
      <c r="P443" s="572"/>
      <c r="Q443" s="572"/>
      <c r="R443" s="572"/>
      <c r="S443" s="572"/>
      <c r="T443" s="572"/>
      <c r="U443" s="572"/>
      <c r="V443" s="132">
        <f t="shared" si="204"/>
        <v>0</v>
      </c>
      <c r="W443" s="133" t="str">
        <f t="shared" si="205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08"/>
      <c r="H444" s="581">
        <f t="shared" si="198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2"/>
        <v/>
      </c>
      <c r="N444" s="130">
        <f t="shared" si="203"/>
        <v>0</v>
      </c>
      <c r="O444" s="572"/>
      <c r="P444" s="572"/>
      <c r="Q444" s="572"/>
      <c r="R444" s="572"/>
      <c r="S444" s="572"/>
      <c r="T444" s="572"/>
      <c r="U444" s="572"/>
      <c r="V444" s="132">
        <f t="shared" si="204"/>
        <v>0</v>
      </c>
      <c r="W444" s="133" t="str">
        <f t="shared" si="205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73" t="s">
        <v>222</v>
      </c>
      <c r="C445" s="126" t="s">
        <v>181</v>
      </c>
      <c r="D445" s="108">
        <v>9.36</v>
      </c>
      <c r="E445" s="108"/>
      <c r="F445" s="127"/>
      <c r="G445" s="108"/>
      <c r="H445" s="581">
        <f t="shared" si="198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2"/>
        <v>0</v>
      </c>
      <c r="N445" s="130">
        <f t="shared" si="203"/>
        <v>0</v>
      </c>
      <c r="O445" s="572"/>
      <c r="P445" s="572"/>
      <c r="Q445" s="572"/>
      <c r="R445" s="572"/>
      <c r="S445" s="572"/>
      <c r="T445" s="572"/>
      <c r="U445" s="572"/>
      <c r="V445" s="132">
        <f t="shared" ref="V445:V448" si="206">SUM(X445:AA445)</f>
        <v>0</v>
      </c>
      <c r="W445" s="133" t="str">
        <f t="shared" si="205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73" t="s">
        <v>222</v>
      </c>
      <c r="C446" s="126" t="s">
        <v>179</v>
      </c>
      <c r="D446" s="108">
        <v>9.36</v>
      </c>
      <c r="E446" s="108"/>
      <c r="F446" s="127"/>
      <c r="G446" s="108"/>
      <c r="H446" s="581">
        <f t="shared" si="198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2"/>
        <v>0</v>
      </c>
      <c r="N446" s="130">
        <f t="shared" si="203"/>
        <v>0</v>
      </c>
      <c r="O446" s="572"/>
      <c r="P446" s="572"/>
      <c r="Q446" s="572"/>
      <c r="R446" s="572"/>
      <c r="S446" s="572"/>
      <c r="T446" s="572"/>
      <c r="U446" s="572"/>
      <c r="V446" s="132">
        <f t="shared" si="206"/>
        <v>0</v>
      </c>
      <c r="W446" s="133" t="str">
        <f t="shared" si="205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73" t="s">
        <v>222</v>
      </c>
      <c r="C447" s="126" t="s">
        <v>221</v>
      </c>
      <c r="D447" s="108">
        <v>9.36</v>
      </c>
      <c r="E447" s="108"/>
      <c r="F447" s="127"/>
      <c r="G447" s="108"/>
      <c r="H447" s="581">
        <f t="shared" si="198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2"/>
        <v>0</v>
      </c>
      <c r="N447" s="130">
        <f t="shared" si="203"/>
        <v>0</v>
      </c>
      <c r="O447" s="572"/>
      <c r="P447" s="572"/>
      <c r="Q447" s="572"/>
      <c r="R447" s="572"/>
      <c r="S447" s="572"/>
      <c r="T447" s="572"/>
      <c r="U447" s="572"/>
      <c r="V447" s="132">
        <f t="shared" si="206"/>
        <v>0</v>
      </c>
      <c r="W447" s="133" t="str">
        <f t="shared" si="205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73" t="s">
        <v>222</v>
      </c>
      <c r="C448" s="126" t="s">
        <v>186</v>
      </c>
      <c r="D448" s="108">
        <v>9.36</v>
      </c>
      <c r="E448" s="108"/>
      <c r="F448" s="127"/>
      <c r="G448" s="108"/>
      <c r="H448" s="581">
        <f t="shared" si="198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2"/>
        <v>0</v>
      </c>
      <c r="N448" s="130">
        <f t="shared" si="203"/>
        <v>0</v>
      </c>
      <c r="O448" s="572"/>
      <c r="P448" s="572"/>
      <c r="Q448" s="572"/>
      <c r="R448" s="572"/>
      <c r="S448" s="572"/>
      <c r="T448" s="572"/>
      <c r="U448" s="572"/>
      <c r="V448" s="132">
        <f t="shared" si="206"/>
        <v>0</v>
      </c>
      <c r="W448" s="133" t="str">
        <f t="shared" si="205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73" t="s">
        <v>393</v>
      </c>
      <c r="C449" s="187" t="s">
        <v>395</v>
      </c>
      <c r="D449" s="108">
        <v>5</v>
      </c>
      <c r="E449" s="108"/>
      <c r="F449" s="127"/>
      <c r="G449" s="108"/>
      <c r="H449" s="581">
        <f t="shared" si="198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2"/>
        <v>0</v>
      </c>
      <c r="N449" s="130">
        <f t="shared" si="203"/>
        <v>0</v>
      </c>
      <c r="O449" s="572"/>
      <c r="P449" s="572"/>
      <c r="Q449" s="572"/>
      <c r="R449" s="572"/>
      <c r="S449" s="572"/>
      <c r="T449" s="572"/>
      <c r="U449" s="57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73" t="s">
        <v>393</v>
      </c>
      <c r="C450" s="187" t="s">
        <v>402</v>
      </c>
      <c r="D450" s="108">
        <v>5</v>
      </c>
      <c r="E450" s="108"/>
      <c r="F450" s="127"/>
      <c r="G450" s="108"/>
      <c r="H450" s="581">
        <f t="shared" si="198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2"/>
        <v>0</v>
      </c>
      <c r="N450" s="130">
        <f t="shared" si="203"/>
        <v>0</v>
      </c>
      <c r="O450" s="572"/>
      <c r="P450" s="572"/>
      <c r="Q450" s="572"/>
      <c r="R450" s="572"/>
      <c r="S450" s="572"/>
      <c r="T450" s="572"/>
      <c r="U450" s="57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73" t="s">
        <v>404</v>
      </c>
      <c r="C451" s="187" t="s">
        <v>405</v>
      </c>
      <c r="D451" s="108">
        <v>5</v>
      </c>
      <c r="E451" s="108"/>
      <c r="F451" s="127"/>
      <c r="G451" s="108"/>
      <c r="H451" s="581">
        <f t="shared" si="198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2"/>
        <v>0</v>
      </c>
      <c r="N451" s="130">
        <f t="shared" si="203"/>
        <v>0</v>
      </c>
      <c r="O451" s="572"/>
      <c r="P451" s="572"/>
      <c r="Q451" s="572"/>
      <c r="R451" s="572"/>
      <c r="S451" s="572"/>
      <c r="T451" s="572"/>
      <c r="U451" s="57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73" t="s">
        <v>342</v>
      </c>
      <c r="C452" s="187" t="s">
        <v>372</v>
      </c>
      <c r="D452" s="108">
        <v>5</v>
      </c>
      <c r="E452" s="108"/>
      <c r="F452" s="127"/>
      <c r="G452" s="108"/>
      <c r="H452" s="581">
        <f t="shared" si="198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2"/>
        <v>0</v>
      </c>
      <c r="N452" s="130">
        <f t="shared" si="203"/>
        <v>0</v>
      </c>
      <c r="O452" s="572"/>
      <c r="P452" s="572"/>
      <c r="Q452" s="572"/>
      <c r="R452" s="572"/>
      <c r="S452" s="572"/>
      <c r="T452" s="572"/>
      <c r="U452" s="57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73" t="s">
        <v>343</v>
      </c>
      <c r="C453" s="126" t="s">
        <v>345</v>
      </c>
      <c r="D453" s="108">
        <v>5</v>
      </c>
      <c r="E453" s="108"/>
      <c r="F453" s="127"/>
      <c r="G453" s="108"/>
      <c r="H453" s="581">
        <f t="shared" si="198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2"/>
        <v>0</v>
      </c>
      <c r="N453" s="130">
        <f t="shared" si="203"/>
        <v>0</v>
      </c>
      <c r="O453" s="572"/>
      <c r="P453" s="572"/>
      <c r="Q453" s="572"/>
      <c r="R453" s="572"/>
      <c r="S453" s="572"/>
      <c r="T453" s="572"/>
      <c r="U453" s="57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73" t="s">
        <v>343</v>
      </c>
      <c r="C454" s="126" t="s">
        <v>347</v>
      </c>
      <c r="D454" s="108">
        <v>5</v>
      </c>
      <c r="E454" s="108"/>
      <c r="F454" s="127"/>
      <c r="G454" s="108"/>
      <c r="H454" s="581">
        <f t="shared" si="198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2"/>
        <v>0</v>
      </c>
      <c r="N454" s="130">
        <f t="shared" si="203"/>
        <v>0</v>
      </c>
      <c r="O454" s="572"/>
      <c r="P454" s="572"/>
      <c r="Q454" s="572"/>
      <c r="R454" s="572"/>
      <c r="S454" s="572"/>
      <c r="T454" s="572"/>
      <c r="U454" s="57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08"/>
      <c r="H455" s="581">
        <f t="shared" si="198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2"/>
        <v>0</v>
      </c>
      <c r="N455" s="130">
        <f t="shared" si="203"/>
        <v>0</v>
      </c>
      <c r="O455" s="572"/>
      <c r="P455" s="572"/>
      <c r="Q455" s="572"/>
      <c r="R455" s="572"/>
      <c r="S455" s="572"/>
      <c r="T455" s="572"/>
      <c r="U455" s="572"/>
      <c r="V455" s="132">
        <f t="shared" ref="V455:V456" si="207">SUM(X455:AA455)</f>
        <v>0</v>
      </c>
      <c r="W455" s="133" t="str">
        <f t="shared" ref="W455:W456" si="208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08"/>
      <c r="H456" s="581">
        <f t="shared" si="198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2"/>
        <v>0</v>
      </c>
      <c r="N456" s="130">
        <f t="shared" si="203"/>
        <v>0</v>
      </c>
      <c r="O456" s="572"/>
      <c r="P456" s="572"/>
      <c r="Q456" s="572"/>
      <c r="R456" s="572"/>
      <c r="S456" s="572"/>
      <c r="T456" s="572"/>
      <c r="U456" s="572"/>
      <c r="V456" s="132">
        <f t="shared" si="207"/>
        <v>0</v>
      </c>
      <c r="W456" s="133" t="str">
        <f t="shared" si="208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08"/>
      <c r="H457" s="581">
        <f t="shared" si="198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2"/>
        <v>0</v>
      </c>
      <c r="N457" s="130"/>
      <c r="O457" s="572"/>
      <c r="P457" s="572"/>
      <c r="Q457" s="572"/>
      <c r="R457" s="572"/>
      <c r="S457" s="572"/>
      <c r="T457" s="572"/>
      <c r="U457" s="57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08"/>
      <c r="H458" s="581">
        <f t="shared" si="198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2"/>
        <v>0</v>
      </c>
      <c r="N458" s="130"/>
      <c r="O458" s="572"/>
      <c r="P458" s="572"/>
      <c r="Q458" s="572"/>
      <c r="R458" s="572"/>
      <c r="S458" s="572"/>
      <c r="T458" s="572"/>
      <c r="U458" s="57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08"/>
      <c r="H459" s="581">
        <f t="shared" si="198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2"/>
        <v>0</v>
      </c>
      <c r="N459" s="130"/>
      <c r="O459" s="572"/>
      <c r="P459" s="572"/>
      <c r="Q459" s="572"/>
      <c r="R459" s="572"/>
      <c r="S459" s="572"/>
      <c r="T459" s="572"/>
      <c r="U459" s="57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08"/>
      <c r="H460" s="581">
        <f t="shared" si="198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2"/>
        <v>0</v>
      </c>
      <c r="N460" s="130">
        <f t="shared" ref="N460:N462" si="209">SUM(O460:U460)</f>
        <v>0</v>
      </c>
      <c r="O460" s="572"/>
      <c r="P460" s="572"/>
      <c r="Q460" s="572"/>
      <c r="R460" s="572"/>
      <c r="S460" s="572"/>
      <c r="T460" s="572"/>
      <c r="U460" s="572"/>
      <c r="V460" s="132">
        <f t="shared" ref="V460:V462" si="210">SUM(X460:AA460)</f>
        <v>0</v>
      </c>
      <c r="W460" s="133" t="str">
        <f t="shared" ref="W460:W484" si="211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08"/>
      <c r="H461" s="581">
        <f t="shared" si="198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2"/>
        <v>0</v>
      </c>
      <c r="N461" s="130">
        <f t="shared" si="209"/>
        <v>0</v>
      </c>
      <c r="O461" s="572"/>
      <c r="P461" s="572"/>
      <c r="Q461" s="572"/>
      <c r="R461" s="572"/>
      <c r="S461" s="572"/>
      <c r="T461" s="572"/>
      <c r="U461" s="572"/>
      <c r="V461" s="132">
        <f t="shared" si="210"/>
        <v>0</v>
      </c>
      <c r="W461" s="133" t="str">
        <f t="shared" si="211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08"/>
      <c r="H462" s="581">
        <f t="shared" si="198"/>
        <v>0</v>
      </c>
      <c r="I462" s="129"/>
      <c r="J462" s="130" t="str">
        <f t="array" ref="J462">IF(ISERROR(G462/I462),"",G462/I462)</f>
        <v/>
      </c>
      <c r="K462" s="581">
        <f t="array" ref="K462">IF(ISERROR(G462/L462),"",G462/L462)</f>
        <v>0</v>
      </c>
      <c r="L462" s="129">
        <v>9</v>
      </c>
      <c r="M462" s="109">
        <f t="shared" si="202"/>
        <v>0</v>
      </c>
      <c r="N462" s="130">
        <f t="shared" si="209"/>
        <v>0</v>
      </c>
      <c r="O462" s="572"/>
      <c r="P462" s="572"/>
      <c r="Q462" s="572"/>
      <c r="R462" s="572"/>
      <c r="S462" s="572"/>
      <c r="T462" s="572"/>
      <c r="U462" s="572"/>
      <c r="V462" s="132">
        <f t="shared" si="210"/>
        <v>0</v>
      </c>
      <c r="W462" s="133" t="str">
        <f t="shared" si="211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579" t="s">
        <v>202</v>
      </c>
      <c r="D463" s="143"/>
      <c r="E463" s="143"/>
      <c r="F463" s="144"/>
      <c r="G463" s="143">
        <f>SUM(G429:G462)</f>
        <v>973</v>
      </c>
      <c r="H463" s="146">
        <f>SUM(H429:H462)</f>
        <v>4894.1900000000005</v>
      </c>
      <c r="I463" s="146">
        <f>SUM(I429:I462)</f>
        <v>83.5</v>
      </c>
      <c r="J463" s="130">
        <f t="array" ref="J463">IF(ISERROR(G463/I463),"",G463/I463)</f>
        <v>11.652694610778443</v>
      </c>
      <c r="K463" s="146">
        <f>SUM(K429:K462)</f>
        <v>104.62365591397848</v>
      </c>
      <c r="L463" s="147"/>
      <c r="M463" s="150">
        <f t="shared" ref="M463:V463" si="212">SUM(M429:M462)</f>
        <v>-21.123655913978482</v>
      </c>
      <c r="N463" s="146">
        <f t="shared" si="212"/>
        <v>0</v>
      </c>
      <c r="O463" s="148">
        <f t="shared" si="212"/>
        <v>0</v>
      </c>
      <c r="P463" s="148">
        <f t="shared" si="212"/>
        <v>0</v>
      </c>
      <c r="Q463" s="148">
        <f t="shared" si="212"/>
        <v>0</v>
      </c>
      <c r="R463" s="148">
        <f t="shared" si="212"/>
        <v>0</v>
      </c>
      <c r="S463" s="148">
        <f t="shared" si="212"/>
        <v>0</v>
      </c>
      <c r="T463" s="148">
        <f t="shared" si="212"/>
        <v>0</v>
      </c>
      <c r="U463" s="148">
        <f t="shared" si="212"/>
        <v>0</v>
      </c>
      <c r="V463" s="149">
        <f t="shared" si="212"/>
        <v>0</v>
      </c>
      <c r="W463" s="133">
        <f t="shared" si="211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08"/>
      <c r="H464" s="581">
        <f t="shared" ref="H464:H478" si="213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4">IF(ISERROR(I464-K464),"",I464-K464)</f>
        <v>0</v>
      </c>
      <c r="N464" s="130">
        <f t="shared" ref="N464:N478" si="215">SUM(O464:U464)</f>
        <v>0</v>
      </c>
      <c r="O464" s="572"/>
      <c r="P464" s="572"/>
      <c r="Q464" s="572"/>
      <c r="R464" s="572"/>
      <c r="S464" s="572"/>
      <c r="T464" s="572"/>
      <c r="U464" s="572"/>
      <c r="V464" s="132">
        <f t="shared" ref="V464:V478" si="216">SUM(X464:AA464)</f>
        <v>0</v>
      </c>
      <c r="W464" s="133" t="str">
        <f t="shared" si="211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08"/>
      <c r="H465" s="581">
        <f t="shared" si="213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4"/>
        <v>0</v>
      </c>
      <c r="N465" s="130">
        <f t="shared" si="215"/>
        <v>0</v>
      </c>
      <c r="O465" s="572"/>
      <c r="P465" s="572"/>
      <c r="Q465" s="572"/>
      <c r="R465" s="572"/>
      <c r="S465" s="572"/>
      <c r="T465" s="572"/>
      <c r="U465" s="572"/>
      <c r="V465" s="132">
        <f t="shared" si="216"/>
        <v>0</v>
      </c>
      <c r="W465" s="133" t="str">
        <f t="shared" si="211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08"/>
      <c r="H466" s="581">
        <f t="shared" si="213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4"/>
        <v>0</v>
      </c>
      <c r="N466" s="130">
        <f t="shared" si="215"/>
        <v>0</v>
      </c>
      <c r="O466" s="572"/>
      <c r="P466" s="572"/>
      <c r="Q466" s="572"/>
      <c r="R466" s="572"/>
      <c r="S466" s="572"/>
      <c r="T466" s="572"/>
      <c r="U466" s="572"/>
      <c r="V466" s="132">
        <f t="shared" si="216"/>
        <v>0</v>
      </c>
      <c r="W466" s="133" t="str">
        <f t="shared" si="211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08"/>
      <c r="H467" s="581">
        <f t="shared" si="213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4"/>
        <v>0</v>
      </c>
      <c r="N467" s="130">
        <f t="shared" si="215"/>
        <v>0</v>
      </c>
      <c r="O467" s="572"/>
      <c r="P467" s="572"/>
      <c r="Q467" s="572"/>
      <c r="R467" s="572"/>
      <c r="S467" s="572"/>
      <c r="T467" s="572"/>
      <c r="U467" s="572"/>
      <c r="V467" s="132">
        <f t="shared" si="216"/>
        <v>0</v>
      </c>
      <c r="W467" s="133" t="str">
        <f t="shared" si="211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77" t="s">
        <v>203</v>
      </c>
      <c r="D468" s="108">
        <v>5.03</v>
      </c>
      <c r="E468" s="108"/>
      <c r="F468" s="127"/>
      <c r="G468" s="108"/>
      <c r="H468" s="581">
        <f t="shared" si="213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4"/>
        <v>0</v>
      </c>
      <c r="N468" s="130">
        <f t="shared" si="215"/>
        <v>0</v>
      </c>
      <c r="O468" s="572"/>
      <c r="P468" s="572"/>
      <c r="Q468" s="572"/>
      <c r="R468" s="572"/>
      <c r="S468" s="572"/>
      <c r="T468" s="572"/>
      <c r="U468" s="572"/>
      <c r="V468" s="132">
        <f t="shared" si="216"/>
        <v>0</v>
      </c>
      <c r="W468" s="133" t="str">
        <f t="shared" si="211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08"/>
      <c r="H469" s="581">
        <f t="shared" si="213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4"/>
        <v>0</v>
      </c>
      <c r="N469" s="130">
        <f t="shared" si="215"/>
        <v>0</v>
      </c>
      <c r="O469" s="572"/>
      <c r="P469" s="572"/>
      <c r="Q469" s="572"/>
      <c r="R469" s="572"/>
      <c r="S469" s="572"/>
      <c r="T469" s="572"/>
      <c r="U469" s="572"/>
      <c r="V469" s="132">
        <f t="shared" si="216"/>
        <v>0</v>
      </c>
      <c r="W469" s="133" t="str">
        <f t="shared" si="211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08"/>
      <c r="H470" s="581">
        <f t="shared" si="213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4"/>
        <v>0</v>
      </c>
      <c r="N470" s="130">
        <f t="shared" si="215"/>
        <v>0</v>
      </c>
      <c r="O470" s="572"/>
      <c r="P470" s="572"/>
      <c r="Q470" s="572"/>
      <c r="R470" s="572"/>
      <c r="S470" s="572"/>
      <c r="T470" s="572"/>
      <c r="U470" s="572"/>
      <c r="V470" s="132">
        <f t="shared" si="216"/>
        <v>0</v>
      </c>
      <c r="W470" s="133" t="str">
        <f t="shared" si="211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77" t="s">
        <v>228</v>
      </c>
      <c r="D471" s="108">
        <v>5.03</v>
      </c>
      <c r="E471" s="108"/>
      <c r="F471" s="127"/>
      <c r="G471" s="108"/>
      <c r="H471" s="581">
        <f t="shared" si="213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4"/>
        <v>0</v>
      </c>
      <c r="N471" s="130">
        <f t="shared" si="215"/>
        <v>0</v>
      </c>
      <c r="O471" s="572"/>
      <c r="P471" s="572"/>
      <c r="Q471" s="572"/>
      <c r="R471" s="572"/>
      <c r="S471" s="572"/>
      <c r="T471" s="572"/>
      <c r="U471" s="572"/>
      <c r="V471" s="132">
        <f t="shared" si="216"/>
        <v>0</v>
      </c>
      <c r="W471" s="133" t="str">
        <f t="shared" si="211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77" t="s">
        <v>212</v>
      </c>
      <c r="D472" s="108">
        <v>5.03</v>
      </c>
      <c r="E472" s="108"/>
      <c r="F472" s="127"/>
      <c r="G472" s="108"/>
      <c r="H472" s="581">
        <f t="shared" si="213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4"/>
        <v/>
      </c>
      <c r="N472" s="130">
        <f t="shared" si="215"/>
        <v>0</v>
      </c>
      <c r="O472" s="572"/>
      <c r="P472" s="572"/>
      <c r="Q472" s="572"/>
      <c r="R472" s="572"/>
      <c r="S472" s="572"/>
      <c r="T472" s="572"/>
      <c r="U472" s="572"/>
      <c r="V472" s="132">
        <f t="shared" si="216"/>
        <v>0</v>
      </c>
      <c r="W472" s="133" t="str">
        <f t="shared" si="211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77" t="s">
        <v>203</v>
      </c>
      <c r="D473" s="108">
        <v>5.03</v>
      </c>
      <c r="E473" s="108"/>
      <c r="F473" s="127"/>
      <c r="G473" s="108"/>
      <c r="H473" s="581">
        <f t="shared" si="213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4"/>
        <v/>
      </c>
      <c r="N473" s="130">
        <f t="shared" si="215"/>
        <v>0</v>
      </c>
      <c r="O473" s="572"/>
      <c r="P473" s="572"/>
      <c r="Q473" s="572"/>
      <c r="R473" s="572"/>
      <c r="S473" s="572"/>
      <c r="T473" s="572"/>
      <c r="U473" s="572"/>
      <c r="V473" s="132">
        <f t="shared" si="216"/>
        <v>0</v>
      </c>
      <c r="W473" s="133" t="str">
        <f t="shared" si="211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77" t="s">
        <v>186</v>
      </c>
      <c r="D474" s="108">
        <v>5.03</v>
      </c>
      <c r="E474" s="108"/>
      <c r="F474" s="127"/>
      <c r="G474" s="108"/>
      <c r="H474" s="581">
        <f t="shared" si="213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4"/>
        <v/>
      </c>
      <c r="N474" s="130">
        <f t="shared" si="215"/>
        <v>0</v>
      </c>
      <c r="O474" s="572"/>
      <c r="P474" s="572"/>
      <c r="Q474" s="572"/>
      <c r="R474" s="572"/>
      <c r="S474" s="572"/>
      <c r="T474" s="572"/>
      <c r="U474" s="572"/>
      <c r="V474" s="132">
        <f t="shared" si="216"/>
        <v>0</v>
      </c>
      <c r="W474" s="133" t="str">
        <f t="shared" si="211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77" t="s">
        <v>228</v>
      </c>
      <c r="D475" s="108">
        <v>5.03</v>
      </c>
      <c r="E475" s="108"/>
      <c r="F475" s="127"/>
      <c r="G475" s="108"/>
      <c r="H475" s="581">
        <f t="shared" si="213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4"/>
        <v/>
      </c>
      <c r="N475" s="130">
        <f t="shared" si="215"/>
        <v>0</v>
      </c>
      <c r="O475" s="572"/>
      <c r="P475" s="572"/>
      <c r="Q475" s="572"/>
      <c r="R475" s="572"/>
      <c r="S475" s="572"/>
      <c r="T475" s="572"/>
      <c r="U475" s="572"/>
      <c r="V475" s="132">
        <f t="shared" si="216"/>
        <v>0</v>
      </c>
      <c r="W475" s="133" t="str">
        <f t="shared" si="211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77" t="s">
        <v>199</v>
      </c>
      <c r="D476" s="108">
        <v>5.03</v>
      </c>
      <c r="E476" s="108"/>
      <c r="F476" s="127"/>
      <c r="G476" s="108"/>
      <c r="H476" s="581">
        <f t="shared" si="213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4"/>
        <v/>
      </c>
      <c r="N476" s="130">
        <f t="shared" si="215"/>
        <v>0</v>
      </c>
      <c r="O476" s="572"/>
      <c r="P476" s="572"/>
      <c r="Q476" s="572"/>
      <c r="R476" s="572"/>
      <c r="S476" s="572"/>
      <c r="T476" s="572"/>
      <c r="U476" s="572"/>
      <c r="V476" s="132">
        <f t="shared" si="216"/>
        <v>0</v>
      </c>
      <c r="W476" s="133" t="str">
        <f t="shared" si="211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08"/>
      <c r="H477" s="581">
        <f t="shared" si="213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4"/>
        <v>0</v>
      </c>
      <c r="N477" s="130">
        <f t="shared" si="215"/>
        <v>0</v>
      </c>
      <c r="O477" s="572"/>
      <c r="P477" s="572"/>
      <c r="Q477" s="572"/>
      <c r="R477" s="572"/>
      <c r="S477" s="572"/>
      <c r="T477" s="572"/>
      <c r="U477" s="572"/>
      <c r="V477" s="132">
        <f t="shared" si="216"/>
        <v>0</v>
      </c>
      <c r="W477" s="133" t="str">
        <f t="shared" si="211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08"/>
      <c r="H478" s="581">
        <f t="shared" si="213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4"/>
        <v>0</v>
      </c>
      <c r="N478" s="130">
        <f t="shared" si="215"/>
        <v>0</v>
      </c>
      <c r="O478" s="572"/>
      <c r="P478" s="572"/>
      <c r="Q478" s="572"/>
      <c r="R478" s="572"/>
      <c r="S478" s="572"/>
      <c r="T478" s="572"/>
      <c r="U478" s="572"/>
      <c r="V478" s="132">
        <f t="shared" si="216"/>
        <v>0</v>
      </c>
      <c r="W478" s="133" t="str">
        <f t="shared" si="211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579" t="s">
        <v>202</v>
      </c>
      <c r="D479" s="143"/>
      <c r="E479" s="143"/>
      <c r="F479" s="144"/>
      <c r="G479" s="143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1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08"/>
      <c r="H480" s="581">
        <f t="shared" ref="H480:H489" si="217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8">IF(ISERROR(I480-K480),"",I480-K480)</f>
        <v>0</v>
      </c>
      <c r="N480" s="130">
        <f t="shared" ref="N480:N484" si="219">SUM(O480:U480)</f>
        <v>0</v>
      </c>
      <c r="O480" s="572"/>
      <c r="P480" s="572"/>
      <c r="Q480" s="572"/>
      <c r="R480" s="572"/>
      <c r="S480" s="572"/>
      <c r="T480" s="572"/>
      <c r="U480" s="572"/>
      <c r="V480" s="132">
        <f t="shared" ref="V480:V484" si="220">SUM(X480:AA480)</f>
        <v>0</v>
      </c>
      <c r="W480" s="133" t="str">
        <f t="shared" si="211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08"/>
      <c r="H481" s="581">
        <f t="shared" si="217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8"/>
        <v>0</v>
      </c>
      <c r="N481" s="130">
        <f t="shared" si="219"/>
        <v>0</v>
      </c>
      <c r="O481" s="572"/>
      <c r="P481" s="572"/>
      <c r="Q481" s="572"/>
      <c r="R481" s="572"/>
      <c r="S481" s="572"/>
      <c r="T481" s="572"/>
      <c r="U481" s="572"/>
      <c r="V481" s="132">
        <f t="shared" si="220"/>
        <v>0</v>
      </c>
      <c r="W481" s="133" t="str">
        <f t="shared" si="211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08"/>
      <c r="H482" s="581">
        <f t="shared" si="217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8"/>
        <v>0</v>
      </c>
      <c r="N482" s="130">
        <f t="shared" si="219"/>
        <v>0</v>
      </c>
      <c r="O482" s="572"/>
      <c r="P482" s="572"/>
      <c r="Q482" s="572"/>
      <c r="R482" s="572"/>
      <c r="S482" s="572"/>
      <c r="T482" s="572"/>
      <c r="U482" s="572"/>
      <c r="V482" s="132">
        <f t="shared" si="220"/>
        <v>0</v>
      </c>
      <c r="W482" s="133" t="str">
        <f t="shared" si="211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08"/>
      <c r="H483" s="581">
        <f t="shared" si="217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8"/>
        <v>0</v>
      </c>
      <c r="N483" s="130">
        <f t="shared" si="219"/>
        <v>0</v>
      </c>
      <c r="O483" s="572"/>
      <c r="P483" s="572"/>
      <c r="Q483" s="572"/>
      <c r="R483" s="572"/>
      <c r="S483" s="572"/>
      <c r="T483" s="572"/>
      <c r="U483" s="572"/>
      <c r="V483" s="132">
        <f t="shared" si="220"/>
        <v>0</v>
      </c>
      <c r="W483" s="133" t="str">
        <f t="shared" si="211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08"/>
      <c r="H484" s="581">
        <f t="shared" si="217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8"/>
        <v>0</v>
      </c>
      <c r="N484" s="130">
        <f t="shared" si="219"/>
        <v>0</v>
      </c>
      <c r="O484" s="572"/>
      <c r="P484" s="572"/>
      <c r="Q484" s="572"/>
      <c r="R484" s="572"/>
      <c r="S484" s="572"/>
      <c r="T484" s="572"/>
      <c r="U484" s="572"/>
      <c r="V484" s="132">
        <f t="shared" si="220"/>
        <v>0</v>
      </c>
      <c r="W484" s="133" t="str">
        <f t="shared" si="211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08"/>
      <c r="H485" s="581">
        <f t="shared" si="217"/>
        <v>0</v>
      </c>
      <c r="I485" s="129"/>
      <c r="J485" s="130"/>
      <c r="K485" s="131"/>
      <c r="L485" s="129">
        <v>13.5</v>
      </c>
      <c r="M485" s="109"/>
      <c r="N485" s="130"/>
      <c r="O485" s="572"/>
      <c r="P485" s="572"/>
      <c r="Q485" s="572"/>
      <c r="R485" s="572"/>
      <c r="S485" s="572"/>
      <c r="T485" s="572"/>
      <c r="U485" s="57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08"/>
      <c r="H486" s="581">
        <f t="shared" si="217"/>
        <v>0</v>
      </c>
      <c r="I486" s="129"/>
      <c r="J486" s="130"/>
      <c r="K486" s="131"/>
      <c r="L486" s="129">
        <v>13.5</v>
      </c>
      <c r="M486" s="109"/>
      <c r="N486" s="130"/>
      <c r="O486" s="572"/>
      <c r="P486" s="572"/>
      <c r="Q486" s="572"/>
      <c r="R486" s="572"/>
      <c r="S486" s="572"/>
      <c r="T486" s="572"/>
      <c r="U486" s="57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08"/>
      <c r="H487" s="581">
        <f t="shared" si="217"/>
        <v>0</v>
      </c>
      <c r="I487" s="129"/>
      <c r="J487" s="130"/>
      <c r="K487" s="131"/>
      <c r="L487" s="129">
        <v>13.5</v>
      </c>
      <c r="M487" s="109"/>
      <c r="N487" s="130"/>
      <c r="O487" s="572"/>
      <c r="P487" s="572"/>
      <c r="Q487" s="572"/>
      <c r="R487" s="572"/>
      <c r="S487" s="572"/>
      <c r="T487" s="572"/>
      <c r="U487" s="57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08"/>
      <c r="H488" s="581">
        <f t="shared" si="217"/>
        <v>0</v>
      </c>
      <c r="I488" s="129"/>
      <c r="J488" s="130"/>
      <c r="K488" s="131"/>
      <c r="L488" s="129">
        <v>13.5</v>
      </c>
      <c r="M488" s="109"/>
      <c r="N488" s="130"/>
      <c r="O488" s="572"/>
      <c r="P488" s="572"/>
      <c r="Q488" s="572"/>
      <c r="R488" s="572"/>
      <c r="S488" s="572"/>
      <c r="T488" s="572"/>
      <c r="U488" s="57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08"/>
      <c r="H489" s="581">
        <f t="shared" si="217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1">IF(ISERROR(I489-K489),"",I489-K489)</f>
        <v>0</v>
      </c>
      <c r="N489" s="130">
        <f t="shared" ref="N489" si="222">SUM(O489:U489)</f>
        <v>0</v>
      </c>
      <c r="O489" s="572"/>
      <c r="P489" s="572"/>
      <c r="Q489" s="572"/>
      <c r="R489" s="572"/>
      <c r="S489" s="572"/>
      <c r="T489" s="572"/>
      <c r="U489" s="572"/>
      <c r="V489" s="132">
        <f t="shared" ref="V489" si="223">SUM(X489:AA489)</f>
        <v>0</v>
      </c>
      <c r="W489" s="133" t="str">
        <f t="shared" ref="W489:W494" si="224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579" t="s">
        <v>202</v>
      </c>
      <c r="D490" s="143"/>
      <c r="E490" s="143"/>
      <c r="F490" s="144"/>
      <c r="G490" s="143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4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71"/>
      <c r="D491" s="108">
        <v>3.65</v>
      </c>
      <c r="E491" s="108"/>
      <c r="F491" s="153"/>
      <c r="G491" s="108"/>
      <c r="H491" s="581">
        <f t="shared" ref="H491:H505" si="225">D491*G491</f>
        <v>0</v>
      </c>
      <c r="I491" s="129"/>
      <c r="J491" s="130" t="str">
        <f t="array" ref="J491">IF(ISERROR(G491/I491),"",G491/I491)</f>
        <v/>
      </c>
      <c r="K491" s="581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572"/>
      <c r="P491" s="572"/>
      <c r="Q491" s="572"/>
      <c r="R491" s="572"/>
      <c r="S491" s="572"/>
      <c r="T491" s="572"/>
      <c r="U491" s="572"/>
      <c r="V491" s="132">
        <f t="shared" ref="V491:V494" si="228">SUM(X491:AA491)</f>
        <v>0</v>
      </c>
      <c r="W491" s="133" t="str">
        <f t="shared" si="224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71"/>
      <c r="D492" s="108">
        <v>6.58</v>
      </c>
      <c r="E492" s="108"/>
      <c r="F492" s="127"/>
      <c r="G492" s="108"/>
      <c r="H492" s="581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572"/>
      <c r="P492" s="572"/>
      <c r="Q492" s="572"/>
      <c r="R492" s="572"/>
      <c r="S492" s="572"/>
      <c r="T492" s="572"/>
      <c r="U492" s="572"/>
      <c r="V492" s="132">
        <f t="shared" si="228"/>
        <v>0</v>
      </c>
      <c r="W492" s="133" t="str">
        <f t="shared" si="224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71"/>
      <c r="D493" s="108">
        <v>7.8</v>
      </c>
      <c r="E493" s="108"/>
      <c r="F493" s="127"/>
      <c r="G493" s="108"/>
      <c r="H493" s="581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572"/>
      <c r="P493" s="572"/>
      <c r="Q493" s="572"/>
      <c r="R493" s="572"/>
      <c r="S493" s="572"/>
      <c r="T493" s="572"/>
      <c r="U493" s="572"/>
      <c r="V493" s="132">
        <f t="shared" si="228"/>
        <v>0</v>
      </c>
      <c r="W493" s="133" t="str">
        <f t="shared" si="224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71"/>
      <c r="D494" s="108">
        <v>4.4000000000000004</v>
      </c>
      <c r="E494" s="108"/>
      <c r="F494" s="127"/>
      <c r="G494" s="108"/>
      <c r="H494" s="581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572"/>
      <c r="P494" s="572"/>
      <c r="Q494" s="572"/>
      <c r="R494" s="572"/>
      <c r="S494" s="572"/>
      <c r="T494" s="572"/>
      <c r="U494" s="572"/>
      <c r="V494" s="132">
        <f t="shared" si="228"/>
        <v>0</v>
      </c>
      <c r="W494" s="133" t="str">
        <f t="shared" si="224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08"/>
      <c r="H495" s="581">
        <f t="shared" si="225"/>
        <v>0</v>
      </c>
      <c r="I495" s="129"/>
      <c r="J495" s="130"/>
      <c r="K495" s="131"/>
      <c r="L495" s="129"/>
      <c r="M495" s="109"/>
      <c r="N495" s="130"/>
      <c r="O495" s="572"/>
      <c r="P495" s="572"/>
      <c r="Q495" s="572"/>
      <c r="R495" s="572"/>
      <c r="S495" s="572"/>
      <c r="T495" s="572"/>
      <c r="U495" s="57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71"/>
      <c r="D496" s="108"/>
      <c r="E496" s="108"/>
      <c r="F496" s="127"/>
      <c r="G496" s="108"/>
      <c r="H496" s="581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572"/>
      <c r="P496" s="572"/>
      <c r="Q496" s="572"/>
      <c r="R496" s="572"/>
      <c r="S496" s="572"/>
      <c r="T496" s="572"/>
      <c r="U496" s="57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71" t="s">
        <v>239</v>
      </c>
      <c r="C497" s="571" t="s">
        <v>179</v>
      </c>
      <c r="D497" s="108">
        <v>6.04</v>
      </c>
      <c r="E497" s="108"/>
      <c r="F497" s="127"/>
      <c r="G497" s="108"/>
      <c r="H497" s="581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9">IF(ISERROR(I497-K497),"",I497-K497)</f>
        <v>0</v>
      </c>
      <c r="N497" s="130">
        <f t="shared" ref="N497:N498" si="230">SUM(O497:U497)</f>
        <v>0</v>
      </c>
      <c r="O497" s="572"/>
      <c r="P497" s="572"/>
      <c r="Q497" s="572"/>
      <c r="R497" s="572"/>
      <c r="S497" s="572"/>
      <c r="T497" s="572"/>
      <c r="U497" s="572"/>
      <c r="V497" s="132">
        <f t="shared" ref="V497:V498" si="231">SUM(X497:AA497)</f>
        <v>0</v>
      </c>
      <c r="W497" s="133" t="str">
        <f t="shared" ref="W497:W498" si="232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71" t="s">
        <v>239</v>
      </c>
      <c r="C498" s="571" t="s">
        <v>186</v>
      </c>
      <c r="D498" s="108">
        <v>6.04</v>
      </c>
      <c r="E498" s="108"/>
      <c r="F498" s="127"/>
      <c r="G498" s="108"/>
      <c r="H498" s="581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572"/>
      <c r="P498" s="572"/>
      <c r="Q498" s="572"/>
      <c r="R498" s="572"/>
      <c r="S498" s="572"/>
      <c r="T498" s="572"/>
      <c r="U498" s="572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71" t="s">
        <v>443</v>
      </c>
      <c r="C499" s="571" t="s">
        <v>179</v>
      </c>
      <c r="D499" s="108"/>
      <c r="E499" s="108"/>
      <c r="F499" s="127"/>
      <c r="G499" s="108"/>
      <c r="H499" s="581">
        <f t="shared" si="225"/>
        <v>0</v>
      </c>
      <c r="I499" s="129"/>
      <c r="J499" s="130"/>
      <c r="K499" s="131"/>
      <c r="L499" s="129"/>
      <c r="M499" s="109"/>
      <c r="N499" s="130"/>
      <c r="O499" s="572"/>
      <c r="P499" s="572"/>
      <c r="Q499" s="572"/>
      <c r="R499" s="572"/>
      <c r="S499" s="572"/>
      <c r="T499" s="572"/>
      <c r="U499" s="57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71" t="s">
        <v>443</v>
      </c>
      <c r="C500" s="571" t="s">
        <v>186</v>
      </c>
      <c r="D500" s="108"/>
      <c r="E500" s="108"/>
      <c r="F500" s="127"/>
      <c r="G500" s="108"/>
      <c r="H500" s="581">
        <f t="shared" si="225"/>
        <v>0</v>
      </c>
      <c r="I500" s="129"/>
      <c r="J500" s="130"/>
      <c r="K500" s="131"/>
      <c r="L500" s="129"/>
      <c r="M500" s="109"/>
      <c r="N500" s="130"/>
      <c r="O500" s="572"/>
      <c r="P500" s="572"/>
      <c r="Q500" s="572"/>
      <c r="R500" s="572"/>
      <c r="S500" s="572"/>
      <c r="T500" s="572"/>
      <c r="U500" s="57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73" t="s">
        <v>240</v>
      </c>
      <c r="C501" s="126"/>
      <c r="D501" s="108">
        <v>7.3</v>
      </c>
      <c r="E501" s="108"/>
      <c r="F501" s="127"/>
      <c r="G501" s="108"/>
      <c r="H501" s="581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3">IF(ISERROR(I501-K501),"",I501-K501)</f>
        <v>0</v>
      </c>
      <c r="N501" s="130">
        <f t="shared" ref="N501" si="234">SUM(O501:U501)</f>
        <v>0</v>
      </c>
      <c r="O501" s="572"/>
      <c r="P501" s="572"/>
      <c r="Q501" s="572"/>
      <c r="R501" s="572"/>
      <c r="S501" s="572"/>
      <c r="T501" s="572"/>
      <c r="U501" s="572"/>
      <c r="V501" s="132">
        <f t="shared" ref="V501" si="235">SUM(X501:AA501)</f>
        <v>0</v>
      </c>
      <c r="W501" s="133" t="str">
        <f t="shared" ref="W501" si="236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73" t="s">
        <v>241</v>
      </c>
      <c r="C502" s="126"/>
      <c r="D502" s="108">
        <f>78*120/1000</f>
        <v>9.36</v>
      </c>
      <c r="E502" s="108"/>
      <c r="F502" s="127"/>
      <c r="G502" s="108"/>
      <c r="H502" s="581">
        <f t="shared" si="225"/>
        <v>0</v>
      </c>
      <c r="I502" s="129"/>
      <c r="J502" s="130"/>
      <c r="K502" s="131"/>
      <c r="L502" s="129"/>
      <c r="M502" s="109"/>
      <c r="N502" s="130"/>
      <c r="O502" s="572"/>
      <c r="P502" s="572"/>
      <c r="Q502" s="572"/>
      <c r="R502" s="572"/>
      <c r="S502" s="572"/>
      <c r="T502" s="572"/>
      <c r="U502" s="57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73" t="s">
        <v>242</v>
      </c>
      <c r="C503" s="126"/>
      <c r="D503" s="108">
        <v>4.5</v>
      </c>
      <c r="E503" s="108"/>
      <c r="F503" s="127"/>
      <c r="G503" s="108"/>
      <c r="H503" s="581">
        <f t="shared" si="225"/>
        <v>0</v>
      </c>
      <c r="I503" s="129"/>
      <c r="J503" s="130"/>
      <c r="K503" s="131"/>
      <c r="L503" s="129"/>
      <c r="M503" s="109"/>
      <c r="N503" s="130"/>
      <c r="O503" s="572"/>
      <c r="P503" s="572"/>
      <c r="Q503" s="572"/>
      <c r="R503" s="572"/>
      <c r="S503" s="572"/>
      <c r="T503" s="572"/>
      <c r="U503" s="57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73" t="s">
        <v>243</v>
      </c>
      <c r="C504" s="126"/>
      <c r="D504" s="108">
        <v>4.5</v>
      </c>
      <c r="E504" s="108"/>
      <c r="F504" s="127"/>
      <c r="G504" s="108"/>
      <c r="H504" s="581">
        <f t="shared" si="225"/>
        <v>0</v>
      </c>
      <c r="I504" s="129"/>
      <c r="J504" s="130"/>
      <c r="K504" s="131"/>
      <c r="L504" s="129"/>
      <c r="M504" s="109"/>
      <c r="N504" s="130"/>
      <c r="O504" s="572"/>
      <c r="P504" s="572"/>
      <c r="Q504" s="572"/>
      <c r="R504" s="572"/>
      <c r="S504" s="572"/>
      <c r="T504" s="572"/>
      <c r="U504" s="57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73"/>
      <c r="C505" s="126"/>
      <c r="D505" s="108"/>
      <c r="E505" s="108"/>
      <c r="F505" s="127"/>
      <c r="G505" s="108"/>
      <c r="H505" s="581">
        <f t="shared" si="225"/>
        <v>0</v>
      </c>
      <c r="I505" s="129"/>
      <c r="J505" s="130"/>
      <c r="K505" s="131"/>
      <c r="L505" s="129"/>
      <c r="M505" s="109"/>
      <c r="N505" s="130"/>
      <c r="O505" s="572"/>
      <c r="P505" s="572"/>
      <c r="Q505" s="572"/>
      <c r="R505" s="572"/>
      <c r="S505" s="572"/>
      <c r="T505" s="572"/>
      <c r="U505" s="57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579" t="s">
        <v>202</v>
      </c>
      <c r="D506" s="143"/>
      <c r="E506" s="143"/>
      <c r="F506" s="144"/>
      <c r="G506" s="143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7">SUM(M491:M501)</f>
        <v>0</v>
      </c>
      <c r="N506" s="146">
        <f t="shared" si="237"/>
        <v>0</v>
      </c>
      <c r="O506" s="148">
        <f t="shared" si="237"/>
        <v>0</v>
      </c>
      <c r="P506" s="148">
        <f t="shared" si="237"/>
        <v>0</v>
      </c>
      <c r="Q506" s="148">
        <f t="shared" si="237"/>
        <v>0</v>
      </c>
      <c r="R506" s="148">
        <f t="shared" si="237"/>
        <v>0</v>
      </c>
      <c r="S506" s="148">
        <f t="shared" si="237"/>
        <v>0</v>
      </c>
      <c r="T506" s="148">
        <f t="shared" si="237"/>
        <v>0</v>
      </c>
      <c r="U506" s="148">
        <f t="shared" si="237"/>
        <v>0</v>
      </c>
      <c r="V506" s="149">
        <f t="shared" si="237"/>
        <v>0</v>
      </c>
      <c r="W506" s="133">
        <f t="shared" si="237"/>
        <v>0</v>
      </c>
      <c r="X506" s="149">
        <f t="shared" si="237"/>
        <v>0</v>
      </c>
      <c r="Y506" s="149">
        <f t="shared" si="237"/>
        <v>0</v>
      </c>
      <c r="Z506" s="149">
        <f t="shared" si="237"/>
        <v>0</v>
      </c>
      <c r="AA506" s="149">
        <f t="shared" si="237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553">
        <f>SUM(G370,G428,G463,G479,G490,G506)</f>
        <v>973</v>
      </c>
      <c r="H507" s="154">
        <f>SUM(H370,H428,H463,H479,H490,H506)</f>
        <v>4894.1900000000005</v>
      </c>
      <c r="I507" s="154">
        <f>SUM(I370,I428,I463,I479,I490,I506)</f>
        <v>83.5</v>
      </c>
      <c r="J507" s="155">
        <f t="array" ref="J507">IF(ISERROR(G507/I507),"",G507/I507)</f>
        <v>11.652694610778443</v>
      </c>
      <c r="K507" s="154">
        <f>SUM(K370,K428,K463,K479,K490,K506)</f>
        <v>104.62365591397848</v>
      </c>
      <c r="L507" s="155">
        <f>IF(ISERROR(G507/K507),"",G507/K507)</f>
        <v>9.3000000000000007</v>
      </c>
      <c r="M507" s="154">
        <f t="shared" ref="M507:V507" si="238">SUM(M370,M428,M463,M479,M490,M506)</f>
        <v>-21.123655913978482</v>
      </c>
      <c r="N507" s="154">
        <f t="shared" si="238"/>
        <v>0</v>
      </c>
      <c r="O507" s="154">
        <f t="shared" si="238"/>
        <v>0</v>
      </c>
      <c r="P507" s="154">
        <f t="shared" si="238"/>
        <v>0</v>
      </c>
      <c r="Q507" s="154">
        <f t="shared" si="238"/>
        <v>0</v>
      </c>
      <c r="R507" s="154">
        <f t="shared" si="238"/>
        <v>0</v>
      </c>
      <c r="S507" s="154">
        <f t="shared" si="238"/>
        <v>0</v>
      </c>
      <c r="T507" s="154">
        <f t="shared" si="238"/>
        <v>0</v>
      </c>
      <c r="U507" s="154">
        <f t="shared" si="238"/>
        <v>0</v>
      </c>
      <c r="V507" s="154">
        <f t="shared" si="238"/>
        <v>0</v>
      </c>
      <c r="W507" s="156">
        <f t="shared" ref="W507" si="239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578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578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578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578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578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578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578">
        <f>G507</f>
        <v>973</v>
      </c>
      <c r="C514" s="638" t="s">
        <v>269</v>
      </c>
      <c r="D514" s="639"/>
      <c r="E514" s="631">
        <f>H507</f>
        <v>4894.1900000000005</v>
      </c>
      <c r="F514" s="631"/>
      <c r="G514" s="631" t="s">
        <v>270</v>
      </c>
      <c r="H514" s="631"/>
      <c r="I514" s="640">
        <f>L507</f>
        <v>9.3000000000000007</v>
      </c>
      <c r="J514" s="640"/>
      <c r="K514" s="628" t="s">
        <v>271</v>
      </c>
      <c r="L514" s="628"/>
      <c r="M514" s="640">
        <f>J507</f>
        <v>11.652694610778443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578">
        <f>I507+C513</f>
        <v>84.5</v>
      </c>
      <c r="C515" s="641" t="s">
        <v>251</v>
      </c>
      <c r="D515" s="642"/>
      <c r="E515" s="643">
        <f>K507+I513</f>
        <v>115.62365591397848</v>
      </c>
      <c r="F515" s="643"/>
      <c r="G515" s="631" t="s">
        <v>274</v>
      </c>
      <c r="H515" s="631"/>
      <c r="I515" s="640">
        <f>B515-E515</f>
        <v>-31.123655913978482</v>
      </c>
      <c r="J515" s="640"/>
      <c r="K515" s="628" t="s">
        <v>275</v>
      </c>
      <c r="L515" s="628"/>
      <c r="M515" s="632">
        <f>IF(ISERROR(I515/E515),"",I515/E515)</f>
        <v>-0.26918069375988091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578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580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2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13099</v>
      </c>
      <c r="D519" s="627"/>
      <c r="E519" s="673" t="s">
        <v>269</v>
      </c>
      <c r="F519" s="673"/>
      <c r="G519" s="643">
        <f>SUM(E171,E342,E514)</f>
        <v>66327.460000000006</v>
      </c>
      <c r="H519" s="643"/>
      <c r="I519" s="631" t="s">
        <v>270</v>
      </c>
      <c r="J519" s="673"/>
      <c r="K519" s="626">
        <f>IF(ISERROR(C519/G520),"",C519/G520)</f>
        <v>16.175130580290752</v>
      </c>
      <c r="L519" s="627"/>
      <c r="M519" s="631" t="s">
        <v>271</v>
      </c>
      <c r="N519" s="631"/>
      <c r="O519" s="668">
        <f t="array" ref="O519">IF(ISERROR(C519/C520),"",C519/C520)</f>
        <v>18.148189198924882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721.78</v>
      </c>
      <c r="D520" s="627"/>
      <c r="E520" s="631" t="s">
        <v>251</v>
      </c>
      <c r="F520" s="631"/>
      <c r="G520" s="643">
        <f>SUM(E172,E343,E515)</f>
        <v>809.8234468636075</v>
      </c>
      <c r="H520" s="643"/>
      <c r="I520" s="641" t="s">
        <v>274</v>
      </c>
      <c r="J520" s="642"/>
      <c r="K520" s="638">
        <f>C520-G520</f>
        <v>-88.043446863607528</v>
      </c>
      <c r="L520" s="639"/>
      <c r="M520" s="638" t="s">
        <v>275</v>
      </c>
      <c r="N520" s="639"/>
      <c r="O520" s="671">
        <f>IF(ISERROR(K520/C520),"",K520/C520)</f>
        <v>-0.12198100094711344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580"/>
      <c r="H522" s="168"/>
      <c r="I522" s="580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4754</v>
      </c>
      <c r="D524" s="642"/>
      <c r="E524" s="681">
        <f>IF(ISERROR(C524/C530),"",C524/C530)</f>
        <v>0.36292846782197113</v>
      </c>
      <c r="F524" s="682"/>
      <c r="G524" s="676"/>
      <c r="H524" s="677"/>
      <c r="I524" s="683" t="s">
        <v>301</v>
      </c>
      <c r="J524" s="684"/>
      <c r="K524" s="638">
        <f t="shared" ref="K524:K529" si="240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41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4656</v>
      </c>
      <c r="D525" s="642"/>
      <c r="E525" s="681">
        <f>IF(ISERROR(C525/C530),"",C525/C530)</f>
        <v>0.35544698068554853</v>
      </c>
      <c r="F525" s="682"/>
      <c r="G525" s="676"/>
      <c r="H525" s="677"/>
      <c r="I525" s="683" t="s">
        <v>302</v>
      </c>
      <c r="J525" s="684"/>
      <c r="K525" s="638">
        <f t="shared" si="240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41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1594</v>
      </c>
      <c r="D526" s="642"/>
      <c r="E526" s="681">
        <f>IF(ISERROR(C526/C530),"",C526/C530)</f>
        <v>0.12168867852507825</v>
      </c>
      <c r="F526" s="682"/>
      <c r="G526" s="676"/>
      <c r="H526" s="677"/>
      <c r="I526" s="683" t="s">
        <v>303</v>
      </c>
      <c r="J526" s="684"/>
      <c r="K526" s="638">
        <f t="shared" si="240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41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1818</v>
      </c>
      <c r="D527" s="642"/>
      <c r="E527" s="681">
        <f>IF(ISERROR(C527/C530),"",C527/C530)</f>
        <v>0.13878922055118711</v>
      </c>
      <c r="F527" s="682"/>
      <c r="G527" s="676"/>
      <c r="H527" s="677"/>
      <c r="I527" s="683" t="s">
        <v>304</v>
      </c>
      <c r="J527" s="684"/>
      <c r="K527" s="638">
        <f t="shared" si="240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41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82</v>
      </c>
      <c r="D528" s="642"/>
      <c r="E528" s="681">
        <f>IF(ISERROR(C528/C530),"",C528/C530)</f>
        <v>6.260019848843423E-3</v>
      </c>
      <c r="F528" s="682"/>
      <c r="G528" s="676"/>
      <c r="H528" s="677"/>
      <c r="I528" s="683" t="s">
        <v>306</v>
      </c>
      <c r="J528" s="684"/>
      <c r="K528" s="638">
        <f t="shared" si="240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41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195</v>
      </c>
      <c r="D529" s="642"/>
      <c r="E529" s="681">
        <f>IF(ISERROR(C529/C530),"",C529/C530)</f>
        <v>1.4886632567371555E-2</v>
      </c>
      <c r="F529" s="682"/>
      <c r="G529" s="676"/>
      <c r="H529" s="677"/>
      <c r="I529" s="683" t="s">
        <v>307</v>
      </c>
      <c r="J529" s="684"/>
      <c r="K529" s="638">
        <f t="shared" si="240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41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13099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5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7" customHeight="1">
      <c r="A532" s="683" t="s">
        <v>308</v>
      </c>
      <c r="B532" s="637"/>
      <c r="C532" s="571" t="s">
        <v>309</v>
      </c>
      <c r="D532" s="571" t="s">
        <v>310</v>
      </c>
      <c r="E532" s="571" t="s">
        <v>311</v>
      </c>
      <c r="F532" s="571" t="s">
        <v>312</v>
      </c>
      <c r="G532" s="571" t="s">
        <v>549</v>
      </c>
      <c r="H532" s="129" t="s">
        <v>314</v>
      </c>
      <c r="I532" s="129" t="s">
        <v>315</v>
      </c>
      <c r="J532" s="129" t="s">
        <v>316</v>
      </c>
      <c r="K532" s="57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81" t="s">
        <v>322</v>
      </c>
      <c r="Q532" s="129" t="s">
        <v>323</v>
      </c>
      <c r="R532" s="109" t="s">
        <v>324</v>
      </c>
      <c r="S532" s="571" t="s">
        <v>325</v>
      </c>
      <c r="T532" s="57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+'14'!C533</f>
        <v>46</v>
      </c>
      <c r="E533" s="106"/>
      <c r="F533" s="106"/>
      <c r="G533" s="106"/>
      <c r="H533" s="106"/>
      <c r="I533" s="106"/>
      <c r="J533" s="106">
        <f>C533-H533-I533</f>
        <v>46</v>
      </c>
      <c r="K533" s="106">
        <v>1</v>
      </c>
      <c r="L533" s="106"/>
      <c r="M533" s="106"/>
      <c r="N533" s="106"/>
      <c r="O533" s="106"/>
      <c r="P533" s="108"/>
      <c r="Q533" s="106">
        <f>J533-K533-L533</f>
        <v>45</v>
      </c>
      <c r="R533" s="109">
        <f>Q533*11-M533-N533</f>
        <v>495</v>
      </c>
      <c r="S533" s="574">
        <f t="array" ref="S533">IF(ISERROR(Q533/J533),"",Q533/J533)</f>
        <v>0.97826086956521741</v>
      </c>
      <c r="T533" s="574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38</v>
      </c>
      <c r="D534" s="106">
        <f>+'14'!C534</f>
        <v>38</v>
      </c>
      <c r="E534" s="110"/>
      <c r="F534" s="110"/>
      <c r="G534" s="106"/>
      <c r="H534" s="106"/>
      <c r="I534" s="106"/>
      <c r="J534" s="106">
        <f>C534-H534-I534</f>
        <v>38</v>
      </c>
      <c r="K534" s="106"/>
      <c r="L534" s="106"/>
      <c r="M534" s="106"/>
      <c r="N534" s="106"/>
      <c r="O534" s="110"/>
      <c r="P534" s="111"/>
      <c r="Q534" s="106">
        <f>J534-K534-L534</f>
        <v>38</v>
      </c>
      <c r="R534" s="109">
        <f>Q534*11-M534-N534</f>
        <v>418</v>
      </c>
      <c r="S534" s="574">
        <f t="array" ref="S534">IF(ISERROR(Q534/J534),"",Q534/J534)</f>
        <v>1</v>
      </c>
      <c r="T534" s="574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+'14'!C535</f>
        <v>10</v>
      </c>
      <c r="E535" s="110"/>
      <c r="F535" s="110"/>
      <c r="G535" s="106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74">
        <f t="array" ref="S535">IF(ISERROR(Q535/J535),"",Q535/J535)</f>
        <v>1</v>
      </c>
      <c r="T535" s="574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94</v>
      </c>
      <c r="D536" s="112">
        <f t="shared" ref="D536:N536" si="242">SUM(D533:D535)</f>
        <v>94</v>
      </c>
      <c r="E536" s="112">
        <f t="shared" si="242"/>
        <v>0</v>
      </c>
      <c r="F536" s="112">
        <f t="shared" si="242"/>
        <v>0</v>
      </c>
      <c r="G536" s="112">
        <f t="shared" si="242"/>
        <v>0</v>
      </c>
      <c r="H536" s="112">
        <f t="shared" si="242"/>
        <v>0</v>
      </c>
      <c r="I536" s="112">
        <f t="shared" si="242"/>
        <v>0</v>
      </c>
      <c r="J536" s="112">
        <f t="shared" si="242"/>
        <v>94</v>
      </c>
      <c r="K536" s="112">
        <f t="shared" si="242"/>
        <v>1</v>
      </c>
      <c r="L536" s="112">
        <f t="shared" si="242"/>
        <v>0</v>
      </c>
      <c r="M536" s="112">
        <f t="shared" si="242"/>
        <v>0</v>
      </c>
      <c r="N536" s="112">
        <f t="shared" si="242"/>
        <v>0</v>
      </c>
      <c r="O536" s="112">
        <f>SUM(O533:O535)</f>
        <v>0</v>
      </c>
      <c r="P536" s="112">
        <f>SUM(P533:P535)</f>
        <v>0</v>
      </c>
      <c r="Q536" s="112">
        <f>SUM(Q533:Q535)</f>
        <v>93</v>
      </c>
      <c r="R536" s="114">
        <f>SUM(R533:R535)</f>
        <v>1023</v>
      </c>
      <c r="S536" s="115">
        <f t="array" ref="S536">IF(ISERROR(Q536/J536),"",Q536/J536)</f>
        <v>0.98936170212765961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8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8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tabSelected="1"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E221" sqref="E22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594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customHeight="1">
      <c r="A7" s="299">
        <v>30100030</v>
      </c>
      <c r="B7" s="583" t="s">
        <v>178</v>
      </c>
      <c r="C7" s="126" t="s">
        <v>179</v>
      </c>
      <c r="D7" s="108">
        <v>5.03</v>
      </c>
      <c r="E7" s="108"/>
      <c r="F7" s="127">
        <v>42748</v>
      </c>
      <c r="G7" s="128">
        <f>92+108</f>
        <v>200</v>
      </c>
      <c r="H7" s="584">
        <f t="shared" ref="H7:H27" si="0">D7*G7</f>
        <v>1006</v>
      </c>
      <c r="I7" s="129">
        <v>5.5</v>
      </c>
      <c r="J7" s="130">
        <f t="array" ref="J7">IF(ISERROR(G7/I7),"",G7/I7)</f>
        <v>36.363636363636367</v>
      </c>
      <c r="K7" s="131">
        <f t="array" ref="K7">IF(ISERROR(G7/L7),"",G7/L7)</f>
        <v>12.5</v>
      </c>
      <c r="L7" s="129">
        <v>16</v>
      </c>
      <c r="M7" s="109">
        <f t="shared" ref="M7:M27" si="1">IF(ISERROR(I7-K7),"",I7-K7)</f>
        <v>-7</v>
      </c>
      <c r="N7" s="130">
        <f>SUM(O7:U7)</f>
        <v>0</v>
      </c>
      <c r="O7" s="592"/>
      <c r="P7" s="592"/>
      <c r="Q7" s="592"/>
      <c r="R7" s="592"/>
      <c r="S7" s="592"/>
      <c r="T7" s="592"/>
      <c r="U7" s="59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8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592"/>
      <c r="Q8" s="592"/>
      <c r="R8" s="592"/>
      <c r="S8" s="592"/>
      <c r="T8" s="592"/>
      <c r="U8" s="59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8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592"/>
      <c r="P9" s="592"/>
      <c r="Q9" s="592"/>
      <c r="R9" s="592"/>
      <c r="S9" s="592"/>
      <c r="T9" s="592"/>
      <c r="U9" s="59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8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592"/>
      <c r="P10" s="592"/>
      <c r="Q10" s="592"/>
      <c r="R10" s="592"/>
      <c r="S10" s="592"/>
      <c r="T10" s="592"/>
      <c r="U10" s="592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8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592"/>
      <c r="P11" s="592"/>
      <c r="Q11" s="592"/>
      <c r="R11" s="592"/>
      <c r="S11" s="592"/>
      <c r="T11" s="592"/>
      <c r="U11" s="59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58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592"/>
      <c r="P12" s="592"/>
      <c r="Q12" s="592"/>
      <c r="R12" s="592"/>
      <c r="S12" s="592"/>
      <c r="T12" s="592"/>
      <c r="U12" s="59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8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592"/>
      <c r="P13" s="592"/>
      <c r="Q13" s="592"/>
      <c r="R13" s="592"/>
      <c r="S13" s="592"/>
      <c r="T13" s="592"/>
      <c r="U13" s="59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8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592"/>
      <c r="P14" s="592"/>
      <c r="Q14" s="592"/>
      <c r="R14" s="592"/>
      <c r="S14" s="592"/>
      <c r="T14" s="592"/>
      <c r="U14" s="59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 t="s">
        <v>554</v>
      </c>
      <c r="G15" s="128">
        <f>100*2+60+100*4+1</f>
        <v>661</v>
      </c>
      <c r="H15" s="584">
        <f t="shared" si="0"/>
        <v>3331.44</v>
      </c>
      <c r="I15" s="584">
        <f>11*5</f>
        <v>55</v>
      </c>
      <c r="J15" s="130">
        <f t="array" ref="J15">IF(ISERROR(G15/I15),"",G15/I15)</f>
        <v>12.018181818181818</v>
      </c>
      <c r="K15" s="131">
        <f t="array" ref="K15">IF(ISERROR(G15/L15),"",G15/L15)</f>
        <v>38.882352941176471</v>
      </c>
      <c r="L15" s="129">
        <v>17</v>
      </c>
      <c r="M15" s="109">
        <f t="shared" si="1"/>
        <v>16.117647058823529</v>
      </c>
      <c r="N15" s="130">
        <f t="shared" si="4"/>
        <v>0</v>
      </c>
      <c r="O15" s="592"/>
      <c r="P15" s="592"/>
      <c r="Q15" s="592"/>
      <c r="R15" s="592"/>
      <c r="S15" s="592"/>
      <c r="T15" s="592"/>
      <c r="U15" s="59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84">
        <f t="shared" si="0"/>
        <v>0</v>
      </c>
      <c r="I16" s="58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592"/>
      <c r="P16" s="592"/>
      <c r="Q16" s="592"/>
      <c r="R16" s="592"/>
      <c r="S16" s="592"/>
      <c r="T16" s="592"/>
      <c r="U16" s="59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8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592"/>
      <c r="P17" s="592"/>
      <c r="Q17" s="592"/>
      <c r="R17" s="592"/>
      <c r="S17" s="592"/>
      <c r="T17" s="592"/>
      <c r="U17" s="59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8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592"/>
      <c r="P18" s="592"/>
      <c r="Q18" s="592"/>
      <c r="R18" s="592"/>
      <c r="S18" s="592"/>
      <c r="T18" s="592"/>
      <c r="U18" s="59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42747</v>
      </c>
      <c r="G19" s="128">
        <v>90</v>
      </c>
      <c r="H19" s="584">
        <f t="shared" si="0"/>
        <v>455.4</v>
      </c>
      <c r="I19" s="129">
        <v>5</v>
      </c>
      <c r="J19" s="129">
        <f t="array" ref="J19">IF(ISERROR(G19/I19),"",G19/I19)</f>
        <v>18</v>
      </c>
      <c r="K19" s="131">
        <f t="array" ref="K19">IF(ISERROR(G19/L19),"",G19/L19)</f>
        <v>4.7368421052631575</v>
      </c>
      <c r="L19" s="129">
        <v>19</v>
      </c>
      <c r="M19" s="109">
        <f t="shared" si="1"/>
        <v>0.26315789473684248</v>
      </c>
      <c r="N19" s="129">
        <f t="shared" si="4"/>
        <v>0</v>
      </c>
      <c r="O19" s="592"/>
      <c r="P19" s="592"/>
      <c r="Q19" s="592"/>
      <c r="R19" s="592"/>
      <c r="S19" s="592"/>
      <c r="T19" s="592"/>
      <c r="U19" s="592"/>
      <c r="V19" s="132">
        <f t="shared" ref="V19:V21" si="5">SUM(X19:AA19)</f>
        <v>0</v>
      </c>
      <c r="W19" s="58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42749</v>
      </c>
      <c r="G20" s="128">
        <v>100</v>
      </c>
      <c r="H20" s="584">
        <f t="shared" si="0"/>
        <v>509</v>
      </c>
      <c r="I20" s="129">
        <v>5</v>
      </c>
      <c r="J20" s="130">
        <f t="array" ref="J20">IF(ISERROR(G20/I20),"",G20/I20)</f>
        <v>20</v>
      </c>
      <c r="K20" s="131">
        <f t="array" ref="K20">IF(ISERROR(G20/L20),"",G20/L20)</f>
        <v>4.3478260869565215</v>
      </c>
      <c r="L20" s="129">
        <v>23</v>
      </c>
      <c r="M20" s="109">
        <f t="shared" si="1"/>
        <v>0.65217391304347849</v>
      </c>
      <c r="N20" s="130">
        <f t="shared" si="4"/>
        <v>0</v>
      </c>
      <c r="O20" s="592"/>
      <c r="P20" s="592"/>
      <c r="Q20" s="592"/>
      <c r="R20" s="592"/>
      <c r="S20" s="592"/>
      <c r="T20" s="592"/>
      <c r="U20" s="592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58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592"/>
      <c r="P21" s="592"/>
      <c r="Q21" s="592"/>
      <c r="R21" s="592"/>
      <c r="S21" s="592"/>
      <c r="T21" s="592"/>
      <c r="U21" s="59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590" t="s">
        <v>190</v>
      </c>
      <c r="D22" s="108">
        <v>4.8</v>
      </c>
      <c r="E22" s="108"/>
      <c r="F22" s="127"/>
      <c r="G22" s="128"/>
      <c r="H22" s="58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592"/>
      <c r="P22" s="592"/>
      <c r="Q22" s="592"/>
      <c r="R22" s="592"/>
      <c r="S22" s="592"/>
      <c r="T22" s="592"/>
      <c r="U22" s="59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590" t="s">
        <v>187</v>
      </c>
      <c r="D23" s="108">
        <v>4.8</v>
      </c>
      <c r="E23" s="108"/>
      <c r="F23" s="127"/>
      <c r="G23" s="128"/>
      <c r="H23" s="58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592"/>
      <c r="P23" s="592"/>
      <c r="Q23" s="592"/>
      <c r="R23" s="592"/>
      <c r="S23" s="592"/>
      <c r="T23" s="592"/>
      <c r="U23" s="59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590" t="s">
        <v>179</v>
      </c>
      <c r="D24" s="108">
        <v>4.8</v>
      </c>
      <c r="E24" s="108"/>
      <c r="F24" s="127"/>
      <c r="G24" s="128"/>
      <c r="H24" s="58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592"/>
      <c r="P24" s="592"/>
      <c r="Q24" s="592"/>
      <c r="R24" s="592"/>
      <c r="S24" s="592"/>
      <c r="T24" s="592"/>
      <c r="U24" s="59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590" t="s">
        <v>199</v>
      </c>
      <c r="D25" s="108">
        <v>4.8</v>
      </c>
      <c r="E25" s="108"/>
      <c r="F25" s="127"/>
      <c r="G25" s="128"/>
      <c r="H25" s="58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592"/>
      <c r="P25" s="592"/>
      <c r="Q25" s="592"/>
      <c r="R25" s="592"/>
      <c r="S25" s="592"/>
      <c r="T25" s="592"/>
      <c r="U25" s="59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8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592"/>
      <c r="P26" s="592"/>
      <c r="Q26" s="592"/>
      <c r="R26" s="592"/>
      <c r="S26" s="592"/>
      <c r="T26" s="592"/>
      <c r="U26" s="59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39">
        <v>42738</v>
      </c>
      <c r="G27" s="128">
        <v>1</v>
      </c>
      <c r="H27" s="584">
        <f t="shared" si="0"/>
        <v>4.99</v>
      </c>
      <c r="I27" s="129">
        <v>0.04</v>
      </c>
      <c r="J27" s="130">
        <f t="array" ref="J27">IF(ISERROR(G27/I27),"",G27/I27)</f>
        <v>25</v>
      </c>
      <c r="K27" s="131">
        <f t="array" ref="K27">IF(ISERROR(G27/L27),"",G27/L27)</f>
        <v>4.2553191489361701E-2</v>
      </c>
      <c r="L27" s="129">
        <v>23.5</v>
      </c>
      <c r="M27" s="109">
        <f t="shared" si="1"/>
        <v>-2.5531914893617003E-3</v>
      </c>
      <c r="N27" s="130">
        <f t="shared" si="7"/>
        <v>0</v>
      </c>
      <c r="O27" s="592"/>
      <c r="P27" s="592"/>
      <c r="Q27" s="592"/>
      <c r="R27" s="592"/>
      <c r="S27" s="592"/>
      <c r="T27" s="592"/>
      <c r="U27" s="592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593" t="s">
        <v>202</v>
      </c>
      <c r="D28" s="143"/>
      <c r="E28" s="143"/>
      <c r="F28" s="144"/>
      <c r="G28" s="145">
        <f>SUM(G7:G27)</f>
        <v>1052</v>
      </c>
      <c r="H28" s="146">
        <f>SUM(H7:H27)</f>
        <v>5306.83</v>
      </c>
      <c r="I28" s="146">
        <f>SUM(I7:I27)</f>
        <v>70.540000000000006</v>
      </c>
      <c r="J28" s="130">
        <f t="array" ref="J28">IF(ISERROR(G28/I28),"",G28/I28)</f>
        <v>14.913524241565067</v>
      </c>
      <c r="K28" s="146">
        <f>SUM(K7:K27)</f>
        <v>60.509574324885513</v>
      </c>
      <c r="L28" s="147"/>
      <c r="M28" s="146">
        <f t="shared" ref="M28:V28" si="10">SUM(M7:M27)</f>
        <v>10.030425675114488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583" t="s">
        <v>206</v>
      </c>
      <c r="C29" s="126" t="s">
        <v>199</v>
      </c>
      <c r="D29" s="108">
        <v>5.03</v>
      </c>
      <c r="E29" s="108"/>
      <c r="F29" s="127" t="s">
        <v>553</v>
      </c>
      <c r="G29" s="128">
        <v>2</v>
      </c>
      <c r="H29" s="584">
        <f t="shared" ref="H29:H85" si="11">D29*G29</f>
        <v>10.06</v>
      </c>
      <c r="I29" s="129">
        <v>0.04</v>
      </c>
      <c r="J29" s="130">
        <f t="array" ref="J29">IF(ISERROR(G29/I29),"",G29/I29)</f>
        <v>50</v>
      </c>
      <c r="K29" s="131">
        <f t="array" ref="K29">IF(ISERROR(G29/L29),"",G29/L29)</f>
        <v>3.8461538461538464E-2</v>
      </c>
      <c r="L29" s="129">
        <v>52</v>
      </c>
      <c r="M29" s="109">
        <f t="shared" ref="M29:M33" si="12">IF(ISERROR(I29-K29),"",I29-K29)</f>
        <v>1.5384615384615372E-3</v>
      </c>
      <c r="N29" s="130">
        <f t="shared" ref="N29:N33" si="13">SUM(O29:U29)</f>
        <v>0</v>
      </c>
      <c r="O29" s="588"/>
      <c r="P29" s="588"/>
      <c r="Q29" s="588"/>
      <c r="R29" s="588"/>
      <c r="S29" s="588"/>
      <c r="T29" s="588"/>
      <c r="U29" s="588"/>
      <c r="V29" s="132">
        <f t="shared" ref="V29:V33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583" t="s">
        <v>425</v>
      </c>
      <c r="C30" s="187" t="s">
        <v>427</v>
      </c>
      <c r="D30" s="108">
        <v>5.03</v>
      </c>
      <c r="E30" s="108"/>
      <c r="F30" s="127">
        <v>42739</v>
      </c>
      <c r="G30" s="128">
        <v>1</v>
      </c>
      <c r="H30" s="584">
        <f t="shared" si="11"/>
        <v>5.03</v>
      </c>
      <c r="I30" s="129">
        <v>0.02</v>
      </c>
      <c r="J30" s="130">
        <f t="array" ref="J30">IF(ISERROR(G30/I30),"",G30/I30)</f>
        <v>50</v>
      </c>
      <c r="K30" s="131">
        <f t="array" ref="K30">IF(ISERROR(G30/L30),"",G30/L30)</f>
        <v>1.9230769230769232E-2</v>
      </c>
      <c r="L30" s="129">
        <v>52</v>
      </c>
      <c r="M30" s="109">
        <f t="shared" ref="M30:M36" si="15">IF(ISERROR(I30-K30),"",I30-K30)</f>
        <v>7.6923076923076858E-4</v>
      </c>
      <c r="N30" s="130"/>
      <c r="O30" s="588"/>
      <c r="P30" s="588"/>
      <c r="Q30" s="588"/>
      <c r="R30" s="588"/>
      <c r="S30" s="588"/>
      <c r="T30" s="588"/>
      <c r="U30" s="58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583" t="s">
        <v>206</v>
      </c>
      <c r="C31" s="126" t="s">
        <v>186</v>
      </c>
      <c r="D31" s="108">
        <v>5.03</v>
      </c>
      <c r="E31" s="108"/>
      <c r="F31" s="127">
        <v>42739</v>
      </c>
      <c r="G31" s="128">
        <v>1</v>
      </c>
      <c r="H31" s="584">
        <f t="shared" si="11"/>
        <v>5.03</v>
      </c>
      <c r="I31" s="129">
        <v>0.02</v>
      </c>
      <c r="J31" s="130">
        <f t="array" ref="J31">IF(ISERROR(G31/I31),"",G31/I31)</f>
        <v>50</v>
      </c>
      <c r="K31" s="131">
        <f t="array" ref="K31">IF(ISERROR(G31/L31),"",G31/L31)</f>
        <v>1.9230769230769232E-2</v>
      </c>
      <c r="L31" s="129">
        <v>52</v>
      </c>
      <c r="M31" s="109">
        <f t="shared" si="15"/>
        <v>7.6923076923076858E-4</v>
      </c>
      <c r="N31" s="130">
        <f t="shared" ref="N31:N35" si="16">SUM(O31:U31)</f>
        <v>0</v>
      </c>
      <c r="O31" s="588"/>
      <c r="P31" s="588"/>
      <c r="Q31" s="588"/>
      <c r="R31" s="588"/>
      <c r="S31" s="588"/>
      <c r="T31" s="588"/>
      <c r="U31" s="588"/>
      <c r="V31" s="132">
        <f t="shared" ref="V31:V35" si="17">SUM(X31:AA31)</f>
        <v>0</v>
      </c>
      <c r="W31" s="133">
        <f t="shared" ref="W31:W36" si="18">IF(ISERROR(V31/G31),"",V31/G31)</f>
        <v>0</v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583" t="s">
        <v>206</v>
      </c>
      <c r="C32" s="126" t="s">
        <v>203</v>
      </c>
      <c r="D32" s="108">
        <v>5.03</v>
      </c>
      <c r="E32" s="108"/>
      <c r="F32" s="127">
        <v>42749</v>
      </c>
      <c r="G32" s="128">
        <f>31+108</f>
        <v>139</v>
      </c>
      <c r="H32" s="584">
        <f t="shared" si="11"/>
        <v>699.17000000000007</v>
      </c>
      <c r="I32" s="129">
        <f>2.5*2</f>
        <v>5</v>
      </c>
      <c r="J32" s="130">
        <f t="array" ref="J32">IF(ISERROR(G32/I32),"",G32/I32)</f>
        <v>27.8</v>
      </c>
      <c r="K32" s="131">
        <f t="array" ref="K32">IF(ISERROR(G32/L32),"",G32/L32)</f>
        <v>2.6730769230769229</v>
      </c>
      <c r="L32" s="129">
        <v>52</v>
      </c>
      <c r="M32" s="109">
        <f t="shared" si="15"/>
        <v>2.3269230769230771</v>
      </c>
      <c r="N32" s="130">
        <f t="shared" si="16"/>
        <v>0</v>
      </c>
      <c r="O32" s="588"/>
      <c r="P32" s="588"/>
      <c r="Q32" s="588"/>
      <c r="R32" s="588"/>
      <c r="S32" s="588"/>
      <c r="T32" s="588"/>
      <c r="U32" s="588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583" t="s">
        <v>206</v>
      </c>
      <c r="C33" s="126" t="s">
        <v>207</v>
      </c>
      <c r="D33" s="108">
        <v>5.03</v>
      </c>
      <c r="E33" s="108"/>
      <c r="F33" s="127"/>
      <c r="G33" s="128"/>
      <c r="H33" s="58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88"/>
      <c r="P33" s="588"/>
      <c r="Q33" s="588"/>
      <c r="R33" s="588"/>
      <c r="S33" s="588"/>
      <c r="T33" s="588"/>
      <c r="U33" s="58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583" t="s">
        <v>414</v>
      </c>
      <c r="C34" s="187" t="s">
        <v>415</v>
      </c>
      <c r="D34" s="108">
        <v>5.03</v>
      </c>
      <c r="E34" s="108"/>
      <c r="F34" s="127"/>
      <c r="G34" s="128"/>
      <c r="H34" s="584">
        <f t="shared" si="11"/>
        <v>0</v>
      </c>
      <c r="I34" s="129"/>
      <c r="J34" s="130"/>
      <c r="K34" s="131"/>
      <c r="L34" s="129">
        <v>52</v>
      </c>
      <c r="M34" s="109"/>
      <c r="N34" s="130"/>
      <c r="O34" s="588"/>
      <c r="P34" s="588"/>
      <c r="Q34" s="588"/>
      <c r="R34" s="588"/>
      <c r="S34" s="588"/>
      <c r="T34" s="588"/>
      <c r="U34" s="588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583" t="s">
        <v>414</v>
      </c>
      <c r="C35" s="187" t="s">
        <v>416</v>
      </c>
      <c r="D35" s="108">
        <v>5.03</v>
      </c>
      <c r="E35" s="108"/>
      <c r="F35" s="127">
        <v>42749</v>
      </c>
      <c r="G35" s="128">
        <f>83+108</f>
        <v>191</v>
      </c>
      <c r="H35" s="584">
        <f t="shared" si="11"/>
        <v>960.73</v>
      </c>
      <c r="I35" s="129">
        <f>2*2</f>
        <v>4</v>
      </c>
      <c r="J35" s="130">
        <f t="array" ref="J35">IF(ISERROR(G35/I35),"",G35/I35)</f>
        <v>47.75</v>
      </c>
      <c r="K35" s="131">
        <f t="array" ref="K35">IF(ISERROR(G35/L35),"",G35/L35)</f>
        <v>3.6730769230769229</v>
      </c>
      <c r="L35" s="129">
        <v>52</v>
      </c>
      <c r="M35" s="109">
        <f t="shared" si="15"/>
        <v>0.32692307692307709</v>
      </c>
      <c r="N35" s="130"/>
      <c r="O35" s="588"/>
      <c r="P35" s="588"/>
      <c r="Q35" s="588"/>
      <c r="R35" s="588"/>
      <c r="S35" s="588"/>
      <c r="T35" s="588"/>
      <c r="U35" s="58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583" t="s">
        <v>414</v>
      </c>
      <c r="C36" s="187" t="s">
        <v>61</v>
      </c>
      <c r="D36" s="108">
        <v>5.03</v>
      </c>
      <c r="E36" s="108"/>
      <c r="F36" s="127">
        <v>42749</v>
      </c>
      <c r="G36" s="128">
        <f>108+79</f>
        <v>187</v>
      </c>
      <c r="H36" s="584">
        <f t="shared" si="11"/>
        <v>940.61</v>
      </c>
      <c r="I36" s="129">
        <f>3*2</f>
        <v>6</v>
      </c>
      <c r="J36" s="130">
        <f t="array" ref="J36">IF(ISERROR(G36/I36),"",G36/I36)</f>
        <v>31.166666666666668</v>
      </c>
      <c r="K36" s="131">
        <f t="array" ref="K36">IF(ISERROR(G36/L36),"",G36/L36)</f>
        <v>3.5961538461538463</v>
      </c>
      <c r="L36" s="129">
        <v>52</v>
      </c>
      <c r="M36" s="109">
        <f t="shared" si="15"/>
        <v>2.4038461538461537</v>
      </c>
      <c r="N36" s="130"/>
      <c r="O36" s="588"/>
      <c r="P36" s="588"/>
      <c r="Q36" s="588"/>
      <c r="R36" s="588"/>
      <c r="S36" s="588"/>
      <c r="T36" s="588"/>
      <c r="U36" s="58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583" t="s">
        <v>208</v>
      </c>
      <c r="C37" s="126" t="s">
        <v>179</v>
      </c>
      <c r="D37" s="108">
        <v>5.08</v>
      </c>
      <c r="E37" s="108"/>
      <c r="F37" s="127"/>
      <c r="G37" s="128"/>
      <c r="H37" s="58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7" si="19">IF(ISERROR(I37-K37),"",I37-K37)</f>
        <v>0</v>
      </c>
      <c r="N37" s="130">
        <f t="shared" ref="N37:N52" si="20">SUM(O37:U37)</f>
        <v>0</v>
      </c>
      <c r="O37" s="588"/>
      <c r="P37" s="588"/>
      <c r="Q37" s="588"/>
      <c r="R37" s="588"/>
      <c r="S37" s="588"/>
      <c r="T37" s="588"/>
      <c r="U37" s="58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583" t="s">
        <v>208</v>
      </c>
      <c r="C38" s="126" t="s">
        <v>204</v>
      </c>
      <c r="D38" s="108">
        <v>5.08</v>
      </c>
      <c r="E38" s="108"/>
      <c r="F38" s="127">
        <v>42746</v>
      </c>
      <c r="G38" s="128">
        <v>1</v>
      </c>
      <c r="H38" s="584">
        <f t="shared" si="11"/>
        <v>5.08</v>
      </c>
      <c r="I38" s="129">
        <v>0.05</v>
      </c>
      <c r="J38" s="130">
        <f t="array" ref="J38">IF(ISERROR(G38/I38),"",G38/I38)</f>
        <v>20</v>
      </c>
      <c r="K38" s="131">
        <f t="array" ref="K38">IF(ISERROR(G38/L38),"",G38/L38)</f>
        <v>4.7619047619047616E-2</v>
      </c>
      <c r="L38" s="129">
        <v>21</v>
      </c>
      <c r="M38" s="109">
        <f t="shared" si="19"/>
        <v>2.3809523809523864E-3</v>
      </c>
      <c r="N38" s="130">
        <f t="shared" si="20"/>
        <v>0</v>
      </c>
      <c r="O38" s="588"/>
      <c r="P38" s="588"/>
      <c r="Q38" s="588"/>
      <c r="R38" s="588"/>
      <c r="S38" s="588"/>
      <c r="T38" s="588"/>
      <c r="U38" s="588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583" t="s">
        <v>208</v>
      </c>
      <c r="C39" s="126" t="s">
        <v>205</v>
      </c>
      <c r="D39" s="108">
        <v>5.08</v>
      </c>
      <c r="E39" s="108"/>
      <c r="F39" s="127"/>
      <c r="G39" s="128"/>
      <c r="H39" s="58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88"/>
      <c r="P39" s="588"/>
      <c r="Q39" s="588"/>
      <c r="R39" s="588"/>
      <c r="S39" s="588"/>
      <c r="T39" s="588"/>
      <c r="U39" s="58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583" t="s">
        <v>208</v>
      </c>
      <c r="C40" s="126" t="s">
        <v>186</v>
      </c>
      <c r="D40" s="108">
        <v>5.08</v>
      </c>
      <c r="E40" s="108"/>
      <c r="F40" s="127"/>
      <c r="G40" s="128"/>
      <c r="H40" s="584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88"/>
      <c r="P40" s="588"/>
      <c r="Q40" s="588"/>
      <c r="R40" s="588"/>
      <c r="S40" s="588"/>
      <c r="T40" s="588"/>
      <c r="U40" s="58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583" t="s">
        <v>208</v>
      </c>
      <c r="C41" s="126" t="s">
        <v>203</v>
      </c>
      <c r="D41" s="108">
        <v>5.08</v>
      </c>
      <c r="E41" s="108"/>
      <c r="F41" s="127"/>
      <c r="G41" s="128"/>
      <c r="H41" s="58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88"/>
      <c r="P41" s="588"/>
      <c r="Q41" s="588"/>
      <c r="R41" s="588"/>
      <c r="S41" s="588"/>
      <c r="T41" s="588"/>
      <c r="U41" s="58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583" t="s">
        <v>208</v>
      </c>
      <c r="C42" s="126" t="s">
        <v>199</v>
      </c>
      <c r="D42" s="108">
        <v>5.08</v>
      </c>
      <c r="E42" s="108"/>
      <c r="F42" s="127"/>
      <c r="G42" s="128"/>
      <c r="H42" s="58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592"/>
      <c r="P42" s="592"/>
      <c r="Q42" s="592"/>
      <c r="R42" s="592"/>
      <c r="S42" s="592"/>
      <c r="T42" s="592"/>
      <c r="U42" s="592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583" t="s">
        <v>208</v>
      </c>
      <c r="C43" s="126" t="s">
        <v>187</v>
      </c>
      <c r="D43" s="108">
        <v>5.08</v>
      </c>
      <c r="E43" s="108"/>
      <c r="F43" s="127"/>
      <c r="G43" s="128"/>
      <c r="H43" s="58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88"/>
      <c r="P43" s="588"/>
      <c r="Q43" s="588"/>
      <c r="R43" s="588"/>
      <c r="S43" s="588"/>
      <c r="T43" s="588"/>
      <c r="U43" s="58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583" t="s">
        <v>208</v>
      </c>
      <c r="C44" s="126" t="s">
        <v>207</v>
      </c>
      <c r="D44" s="108">
        <v>5.08</v>
      </c>
      <c r="E44" s="108"/>
      <c r="F44" s="127"/>
      <c r="G44" s="128"/>
      <c r="H44" s="58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592"/>
      <c r="P44" s="592"/>
      <c r="Q44" s="592"/>
      <c r="R44" s="592"/>
      <c r="S44" s="592"/>
      <c r="T44" s="592"/>
      <c r="U44" s="592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583" t="s">
        <v>209</v>
      </c>
      <c r="C45" s="126" t="s">
        <v>194</v>
      </c>
      <c r="D45" s="108">
        <v>5.03</v>
      </c>
      <c r="E45" s="108"/>
      <c r="F45" s="127">
        <v>42746</v>
      </c>
      <c r="G45" s="128">
        <v>1</v>
      </c>
      <c r="H45" s="584">
        <f t="shared" si="11"/>
        <v>5.03</v>
      </c>
      <c r="I45" s="129">
        <v>0.02</v>
      </c>
      <c r="J45" s="130">
        <f t="array" ref="J45">IF(ISERROR(G45/I45),"",G45/I45)</f>
        <v>50</v>
      </c>
      <c r="K45" s="131">
        <f t="array" ref="K45">IF(ISERROR(G45/L45),"",G45/L45)</f>
        <v>1.7857142857142856E-2</v>
      </c>
      <c r="L45" s="129">
        <v>56</v>
      </c>
      <c r="M45" s="109">
        <f t="shared" si="19"/>
        <v>2.1428571428571443E-3</v>
      </c>
      <c r="N45" s="130">
        <f t="shared" si="20"/>
        <v>0</v>
      </c>
      <c r="O45" s="588"/>
      <c r="P45" s="588"/>
      <c r="Q45" s="588"/>
      <c r="R45" s="588"/>
      <c r="S45" s="588"/>
      <c r="T45" s="588"/>
      <c r="U45" s="588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583" t="s">
        <v>209</v>
      </c>
      <c r="C46" s="126" t="s">
        <v>179</v>
      </c>
      <c r="D46" s="108">
        <v>5.03</v>
      </c>
      <c r="E46" s="108"/>
      <c r="F46" s="127">
        <v>42746</v>
      </c>
      <c r="G46" s="128">
        <v>1</v>
      </c>
      <c r="H46" s="584">
        <f t="shared" si="11"/>
        <v>5.03</v>
      </c>
      <c r="I46" s="129">
        <v>0.02</v>
      </c>
      <c r="J46" s="130">
        <f t="array" ref="J46">IF(ISERROR(G46/I46),"",G46/I46)</f>
        <v>50</v>
      </c>
      <c r="K46" s="131">
        <f t="array" ref="K46">IF(ISERROR(G46/L46),"",G46/L46)</f>
        <v>1.7857142857142856E-2</v>
      </c>
      <c r="L46" s="129">
        <v>56</v>
      </c>
      <c r="M46" s="109">
        <f t="shared" si="19"/>
        <v>2.1428571428571443E-3</v>
      </c>
      <c r="N46" s="130">
        <f t="shared" si="20"/>
        <v>0</v>
      </c>
      <c r="O46" s="588"/>
      <c r="P46" s="588"/>
      <c r="Q46" s="588"/>
      <c r="R46" s="588"/>
      <c r="S46" s="588"/>
      <c r="T46" s="588"/>
      <c r="U46" s="588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583" t="s">
        <v>209</v>
      </c>
      <c r="C47" s="126" t="s">
        <v>195</v>
      </c>
      <c r="D47" s="108">
        <v>5.03</v>
      </c>
      <c r="E47" s="108"/>
      <c r="F47" s="127"/>
      <c r="G47" s="128"/>
      <c r="H47" s="58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88"/>
      <c r="P47" s="588"/>
      <c r="Q47" s="588"/>
      <c r="R47" s="588"/>
      <c r="S47" s="588"/>
      <c r="T47" s="588"/>
      <c r="U47" s="58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583" t="s">
        <v>209</v>
      </c>
      <c r="C48" s="126" t="s">
        <v>204</v>
      </c>
      <c r="D48" s="108">
        <v>5.03</v>
      </c>
      <c r="E48" s="108"/>
      <c r="F48" s="127"/>
      <c r="G48" s="128"/>
      <c r="H48" s="58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88"/>
      <c r="P48" s="588"/>
      <c r="Q48" s="588"/>
      <c r="R48" s="588"/>
      <c r="S48" s="588"/>
      <c r="T48" s="588"/>
      <c r="U48" s="58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583" t="s">
        <v>382</v>
      </c>
      <c r="C49" s="187" t="s">
        <v>383</v>
      </c>
      <c r="D49" s="108">
        <v>5.03</v>
      </c>
      <c r="E49" s="108"/>
      <c r="F49" s="127"/>
      <c r="G49" s="128"/>
      <c r="H49" s="58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88"/>
      <c r="P49" s="588"/>
      <c r="Q49" s="588"/>
      <c r="R49" s="588"/>
      <c r="S49" s="588"/>
      <c r="T49" s="588"/>
      <c r="U49" s="588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583" t="s">
        <v>382</v>
      </c>
      <c r="C50" s="187" t="s">
        <v>384</v>
      </c>
      <c r="D50" s="108">
        <v>5.03</v>
      </c>
      <c r="E50" s="108"/>
      <c r="F50" s="127">
        <v>42750</v>
      </c>
      <c r="G50" s="128">
        <f>40+90*5</f>
        <v>490</v>
      </c>
      <c r="H50" s="584">
        <f t="shared" si="11"/>
        <v>2464.7000000000003</v>
      </c>
      <c r="I50" s="129">
        <v>8.5</v>
      </c>
      <c r="J50" s="130">
        <f t="array" ref="J50">IF(ISERROR(G50/I50),"",G50/I50)</f>
        <v>57.647058823529413</v>
      </c>
      <c r="K50" s="131">
        <f t="array" ref="K50">IF(ISERROR(G50/L50),"",G50/L50)</f>
        <v>9.0740740740740744</v>
      </c>
      <c r="L50" s="129">
        <v>54</v>
      </c>
      <c r="M50" s="109">
        <f t="shared" si="19"/>
        <v>-0.5740740740740744</v>
      </c>
      <c r="N50" s="130">
        <f t="shared" si="20"/>
        <v>0</v>
      </c>
      <c r="O50" s="588"/>
      <c r="P50" s="588"/>
      <c r="Q50" s="588"/>
      <c r="R50" s="588"/>
      <c r="S50" s="588"/>
      <c r="T50" s="588"/>
      <c r="U50" s="58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583" t="s">
        <v>382</v>
      </c>
      <c r="C51" s="187" t="s">
        <v>389</v>
      </c>
      <c r="D51" s="108">
        <v>5.03</v>
      </c>
      <c r="E51" s="108"/>
      <c r="F51" s="127"/>
      <c r="G51" s="128"/>
      <c r="H51" s="58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88"/>
      <c r="P51" s="588"/>
      <c r="Q51" s="588"/>
      <c r="R51" s="588"/>
      <c r="S51" s="588"/>
      <c r="T51" s="588"/>
      <c r="U51" s="588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583" t="s">
        <v>382</v>
      </c>
      <c r="C52" s="187" t="s">
        <v>391</v>
      </c>
      <c r="D52" s="108">
        <v>5.03</v>
      </c>
      <c r="E52" s="108"/>
      <c r="F52" s="127">
        <v>42750</v>
      </c>
      <c r="G52" s="128">
        <v>90</v>
      </c>
      <c r="H52" s="584">
        <f t="shared" si="11"/>
        <v>452.70000000000005</v>
      </c>
      <c r="I52" s="129">
        <v>1.5</v>
      </c>
      <c r="J52" s="130">
        <f t="array" ref="J52">IF(ISERROR(G52/I52),"",G52/I52)</f>
        <v>60</v>
      </c>
      <c r="K52" s="131">
        <f t="array" ref="K52">IF(ISERROR(G52/L52),"",G52/L52)</f>
        <v>1.6666666666666667</v>
      </c>
      <c r="L52" s="129">
        <v>54</v>
      </c>
      <c r="M52" s="109">
        <f t="shared" si="19"/>
        <v>-0.16666666666666674</v>
      </c>
      <c r="N52" s="130">
        <f t="shared" si="20"/>
        <v>0</v>
      </c>
      <c r="O52" s="588"/>
      <c r="P52" s="588"/>
      <c r="Q52" s="588"/>
      <c r="R52" s="588"/>
      <c r="S52" s="588"/>
      <c r="T52" s="588"/>
      <c r="U52" s="58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583" t="s">
        <v>418</v>
      </c>
      <c r="C53" s="187" t="s">
        <v>364</v>
      </c>
      <c r="D53" s="108">
        <v>5.03</v>
      </c>
      <c r="E53" s="108"/>
      <c r="F53" s="127"/>
      <c r="G53" s="128"/>
      <c r="H53" s="58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88"/>
      <c r="P53" s="588"/>
      <c r="Q53" s="588"/>
      <c r="R53" s="588"/>
      <c r="S53" s="588"/>
      <c r="T53" s="588"/>
      <c r="U53" s="58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583" t="s">
        <v>418</v>
      </c>
      <c r="C54" s="187" t="s">
        <v>365</v>
      </c>
      <c r="D54" s="108">
        <v>5.03</v>
      </c>
      <c r="E54" s="108"/>
      <c r="F54" s="127"/>
      <c r="G54" s="128"/>
      <c r="H54" s="58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88"/>
      <c r="P54" s="588"/>
      <c r="Q54" s="588"/>
      <c r="R54" s="588"/>
      <c r="S54" s="588"/>
      <c r="T54" s="588"/>
      <c r="U54" s="58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583" t="s">
        <v>418</v>
      </c>
      <c r="C55" s="187" t="s">
        <v>366</v>
      </c>
      <c r="D55" s="108">
        <v>5.03</v>
      </c>
      <c r="E55" s="108"/>
      <c r="F55" s="127"/>
      <c r="G55" s="128"/>
      <c r="H55" s="58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88"/>
      <c r="P55" s="588"/>
      <c r="Q55" s="588"/>
      <c r="R55" s="588"/>
      <c r="S55" s="588"/>
      <c r="T55" s="588"/>
      <c r="U55" s="58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583" t="s">
        <v>418</v>
      </c>
      <c r="C56" s="187" t="s">
        <v>367</v>
      </c>
      <c r="D56" s="108">
        <v>5.03</v>
      </c>
      <c r="E56" s="108"/>
      <c r="F56" s="127"/>
      <c r="G56" s="128"/>
      <c r="H56" s="58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88"/>
      <c r="P56" s="588"/>
      <c r="Q56" s="588"/>
      <c r="R56" s="588"/>
      <c r="S56" s="588"/>
      <c r="T56" s="588"/>
      <c r="U56" s="588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42740</v>
      </c>
      <c r="G57" s="128">
        <v>1</v>
      </c>
      <c r="H57" s="584">
        <f t="shared" si="11"/>
        <v>5.03</v>
      </c>
      <c r="I57" s="129">
        <v>0.03</v>
      </c>
      <c r="J57" s="130">
        <f t="array" ref="J57">IF(ISERROR(G57/I57),"",G57/I57)</f>
        <v>33.333333333333336</v>
      </c>
      <c r="K57" s="131">
        <f t="array" ref="K57">IF(ISERROR(G57/L57),"",G57/L57)</f>
        <v>2.5000000000000001E-2</v>
      </c>
      <c r="L57" s="129">
        <v>40</v>
      </c>
      <c r="M57" s="109">
        <f t="shared" si="19"/>
        <v>4.9999999999999975E-3</v>
      </c>
      <c r="N57" s="130">
        <f t="shared" ref="N57:N66" si="23">SUM(O57:U57)</f>
        <v>0</v>
      </c>
      <c r="O57" s="592"/>
      <c r="P57" s="592"/>
      <c r="Q57" s="592"/>
      <c r="R57" s="592"/>
      <c r="S57" s="592"/>
      <c r="T57" s="592"/>
      <c r="U57" s="592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>
        <v>42751</v>
      </c>
      <c r="G58" s="128">
        <f>108*3+72</f>
        <v>396</v>
      </c>
      <c r="H58" s="584">
        <f t="shared" si="11"/>
        <v>1991.88</v>
      </c>
      <c r="I58" s="129">
        <f>3.5+5.5*2</f>
        <v>14.5</v>
      </c>
      <c r="J58" s="130">
        <f t="array" ref="J58">IF(ISERROR(G58/I58),"",G58/I58)</f>
        <v>27.310344827586206</v>
      </c>
      <c r="K58" s="131">
        <f t="array" ref="K58">IF(ISERROR(G58/L58),"",G58/L58)</f>
        <v>9.9</v>
      </c>
      <c r="L58" s="129">
        <v>40</v>
      </c>
      <c r="M58" s="109">
        <f t="shared" si="19"/>
        <v>4.5999999999999996</v>
      </c>
      <c r="N58" s="130">
        <f t="shared" si="23"/>
        <v>0</v>
      </c>
      <c r="O58" s="592"/>
      <c r="P58" s="592"/>
      <c r="Q58" s="592"/>
      <c r="R58" s="592"/>
      <c r="S58" s="592"/>
      <c r="T58" s="592"/>
      <c r="U58" s="592"/>
      <c r="V58" s="132">
        <f t="shared" si="24"/>
        <v>0</v>
      </c>
      <c r="W58" s="133">
        <f t="shared" si="25"/>
        <v>0</v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8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592"/>
      <c r="P59" s="592"/>
      <c r="Q59" s="592"/>
      <c r="R59" s="592"/>
      <c r="S59" s="592"/>
      <c r="T59" s="592"/>
      <c r="U59" s="592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8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592"/>
      <c r="P60" s="592"/>
      <c r="Q60" s="592"/>
      <c r="R60" s="592"/>
      <c r="S60" s="592"/>
      <c r="T60" s="592"/>
      <c r="U60" s="592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8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592"/>
      <c r="P61" s="592"/>
      <c r="Q61" s="592"/>
      <c r="R61" s="592"/>
      <c r="S61" s="592"/>
      <c r="T61" s="592"/>
      <c r="U61" s="592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8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592"/>
      <c r="P62" s="592"/>
      <c r="Q62" s="592"/>
      <c r="R62" s="592"/>
      <c r="S62" s="592"/>
      <c r="T62" s="592"/>
      <c r="U62" s="592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8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592"/>
      <c r="P63" s="592"/>
      <c r="Q63" s="592"/>
      <c r="R63" s="592"/>
      <c r="S63" s="592"/>
      <c r="T63" s="592"/>
      <c r="U63" s="592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58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592"/>
      <c r="P64" s="592"/>
      <c r="Q64" s="592"/>
      <c r="R64" s="592"/>
      <c r="S64" s="592"/>
      <c r="T64" s="592"/>
      <c r="U64" s="592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8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592"/>
      <c r="P65" s="592"/>
      <c r="Q65" s="592"/>
      <c r="R65" s="592"/>
      <c r="S65" s="592"/>
      <c r="T65" s="592"/>
      <c r="U65" s="592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8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592"/>
      <c r="P66" s="592"/>
      <c r="Q66" s="592"/>
      <c r="R66" s="592"/>
      <c r="S66" s="592"/>
      <c r="T66" s="592"/>
      <c r="U66" s="592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>
        <v>42744</v>
      </c>
      <c r="G67" s="128">
        <v>1</v>
      </c>
      <c r="H67" s="584">
        <f t="shared" si="11"/>
        <v>5.03</v>
      </c>
      <c r="I67" s="129">
        <v>0.02</v>
      </c>
      <c r="J67" s="130">
        <f t="array" ref="J67">IF(ISERROR(G67/I67),"",G67/I67)</f>
        <v>50</v>
      </c>
      <c r="K67" s="131">
        <f t="array" ref="K67">IF(ISERROR(G67/L67),"",G67/L67)</f>
        <v>0.02</v>
      </c>
      <c r="L67" s="129">
        <v>50</v>
      </c>
      <c r="M67" s="109">
        <f t="shared" si="19"/>
        <v>0</v>
      </c>
      <c r="N67" s="130"/>
      <c r="O67" s="592"/>
      <c r="P67" s="592"/>
      <c r="Q67" s="592"/>
      <c r="R67" s="592"/>
      <c r="S67" s="592"/>
      <c r="T67" s="592"/>
      <c r="U67" s="59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8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592"/>
      <c r="P68" s="592"/>
      <c r="Q68" s="592"/>
      <c r="R68" s="592"/>
      <c r="S68" s="592"/>
      <c r="T68" s="592"/>
      <c r="U68" s="59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8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592"/>
      <c r="P69" s="592"/>
      <c r="Q69" s="592"/>
      <c r="R69" s="592"/>
      <c r="S69" s="592"/>
      <c r="T69" s="592"/>
      <c r="U69" s="592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8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592"/>
      <c r="P70" s="592"/>
      <c r="Q70" s="592"/>
      <c r="R70" s="592"/>
      <c r="S70" s="592"/>
      <c r="T70" s="592"/>
      <c r="U70" s="592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84">
        <f t="shared" si="11"/>
        <v>0</v>
      </c>
      <c r="I71" s="129"/>
      <c r="J71" s="130"/>
      <c r="K71" s="131"/>
      <c r="L71" s="129"/>
      <c r="M71" s="109"/>
      <c r="N71" s="130"/>
      <c r="O71" s="592"/>
      <c r="P71" s="592"/>
      <c r="Q71" s="592"/>
      <c r="R71" s="592"/>
      <c r="S71" s="592"/>
      <c r="T71" s="592"/>
      <c r="U71" s="59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8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592"/>
      <c r="P72" s="592"/>
      <c r="Q72" s="592"/>
      <c r="R72" s="592"/>
      <c r="S72" s="592"/>
      <c r="T72" s="592"/>
      <c r="U72" s="592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8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592"/>
      <c r="P73" s="592"/>
      <c r="Q73" s="592"/>
      <c r="R73" s="592"/>
      <c r="S73" s="592"/>
      <c r="T73" s="592"/>
      <c r="U73" s="592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8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592"/>
      <c r="P74" s="592"/>
      <c r="Q74" s="592"/>
      <c r="R74" s="592"/>
      <c r="S74" s="592"/>
      <c r="T74" s="592"/>
      <c r="U74" s="592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8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592"/>
      <c r="P75" s="592"/>
      <c r="Q75" s="592"/>
      <c r="R75" s="592"/>
      <c r="S75" s="592"/>
      <c r="T75" s="592"/>
      <c r="U75" s="592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8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592"/>
      <c r="P76" s="592"/>
      <c r="Q76" s="592"/>
      <c r="R76" s="592"/>
      <c r="S76" s="592"/>
      <c r="T76" s="592"/>
      <c r="U76" s="59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8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592"/>
      <c r="P77" s="592"/>
      <c r="Q77" s="592"/>
      <c r="R77" s="592"/>
      <c r="S77" s="592"/>
      <c r="T77" s="592"/>
      <c r="U77" s="59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8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592"/>
      <c r="P78" s="592"/>
      <c r="Q78" s="592"/>
      <c r="R78" s="592"/>
      <c r="S78" s="592"/>
      <c r="T78" s="592"/>
      <c r="U78" s="59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8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592"/>
      <c r="P79" s="592"/>
      <c r="Q79" s="592"/>
      <c r="R79" s="592"/>
      <c r="S79" s="592"/>
      <c r="T79" s="592"/>
      <c r="U79" s="59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8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592"/>
      <c r="P80" s="592"/>
      <c r="Q80" s="592"/>
      <c r="R80" s="592"/>
      <c r="S80" s="592"/>
      <c r="T80" s="592"/>
      <c r="U80" s="59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8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592"/>
      <c r="P81" s="592"/>
      <c r="Q81" s="592"/>
      <c r="R81" s="592"/>
      <c r="S81" s="592"/>
      <c r="T81" s="592"/>
      <c r="U81" s="59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8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592"/>
      <c r="P82" s="592"/>
      <c r="Q82" s="592"/>
      <c r="R82" s="592"/>
      <c r="S82" s="592"/>
      <c r="T82" s="592"/>
      <c r="U82" s="59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8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592"/>
      <c r="P83" s="592"/>
      <c r="Q83" s="592"/>
      <c r="R83" s="592"/>
      <c r="S83" s="592"/>
      <c r="T83" s="592"/>
      <c r="U83" s="59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8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592"/>
      <c r="P84" s="592"/>
      <c r="Q84" s="592"/>
      <c r="R84" s="592"/>
      <c r="S84" s="592"/>
      <c r="T84" s="592"/>
      <c r="U84" s="59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8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592"/>
      <c r="P85" s="592"/>
      <c r="Q85" s="592"/>
      <c r="R85" s="592"/>
      <c r="S85" s="592"/>
      <c r="T85" s="592"/>
      <c r="U85" s="592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593" t="s">
        <v>202</v>
      </c>
      <c r="D86" s="143"/>
      <c r="E86" s="143"/>
      <c r="F86" s="144"/>
      <c r="G86" s="145">
        <f>SUM(G29:G85)</f>
        <v>1502</v>
      </c>
      <c r="H86" s="146">
        <f>SUM(H29:H85)</f>
        <v>7555.1100000000006</v>
      </c>
      <c r="I86" s="146">
        <f>SUM(I29:I85)</f>
        <v>39.720000000000006</v>
      </c>
      <c r="J86" s="130">
        <f t="array" ref="J86">IF(ISERROR(G86/I86),"",G86/I86)</f>
        <v>37.814702920443096</v>
      </c>
      <c r="K86" s="146">
        <f>SUM(K29:K85)</f>
        <v>30.788304843304847</v>
      </c>
      <c r="L86" s="147"/>
      <c r="M86" s="150">
        <f t="shared" ref="M86:V86" si="34">SUM(M29:M85)</f>
        <v>8.9316951566951559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583" t="s">
        <v>217</v>
      </c>
      <c r="C87" s="126" t="s">
        <v>179</v>
      </c>
      <c r="D87" s="108">
        <v>5.03</v>
      </c>
      <c r="E87" s="108"/>
      <c r="F87" s="127"/>
      <c r="G87" s="128"/>
      <c r="H87" s="58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592"/>
      <c r="P87" s="592"/>
      <c r="Q87" s="592"/>
      <c r="R87" s="592"/>
      <c r="S87" s="592"/>
      <c r="T87" s="592"/>
      <c r="U87" s="592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583" t="s">
        <v>217</v>
      </c>
      <c r="C88" s="126" t="s">
        <v>186</v>
      </c>
      <c r="D88" s="108">
        <v>5.03</v>
      </c>
      <c r="E88" s="108"/>
      <c r="F88" s="127"/>
      <c r="G88" s="128"/>
      <c r="H88" s="58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592"/>
      <c r="P88" s="592"/>
      <c r="Q88" s="592"/>
      <c r="R88" s="592"/>
      <c r="S88" s="592"/>
      <c r="T88" s="592"/>
      <c r="U88" s="592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583" t="s">
        <v>217</v>
      </c>
      <c r="C89" s="126" t="s">
        <v>204</v>
      </c>
      <c r="D89" s="108">
        <v>5.03</v>
      </c>
      <c r="E89" s="108"/>
      <c r="F89" s="127"/>
      <c r="G89" s="128"/>
      <c r="H89" s="58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592"/>
      <c r="P89" s="592"/>
      <c r="Q89" s="592"/>
      <c r="R89" s="592"/>
      <c r="S89" s="592"/>
      <c r="T89" s="592"/>
      <c r="U89" s="592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8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592"/>
      <c r="P90" s="592"/>
      <c r="Q90" s="592"/>
      <c r="R90" s="592"/>
      <c r="S90" s="592"/>
      <c r="T90" s="592"/>
      <c r="U90" s="592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8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592"/>
      <c r="P91" s="592"/>
      <c r="Q91" s="592"/>
      <c r="R91" s="592"/>
      <c r="S91" s="592"/>
      <c r="T91" s="592"/>
      <c r="U91" s="592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8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592"/>
      <c r="P92" s="592"/>
      <c r="Q92" s="592"/>
      <c r="R92" s="592"/>
      <c r="S92" s="592"/>
      <c r="T92" s="592"/>
      <c r="U92" s="592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8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592"/>
      <c r="P93" s="592"/>
      <c r="Q93" s="592"/>
      <c r="R93" s="592"/>
      <c r="S93" s="592"/>
      <c r="T93" s="592"/>
      <c r="U93" s="592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84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592"/>
      <c r="P94" s="592"/>
      <c r="Q94" s="592"/>
      <c r="R94" s="592"/>
      <c r="S94" s="592"/>
      <c r="T94" s="592"/>
      <c r="U94" s="59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8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592"/>
      <c r="P95" s="592"/>
      <c r="Q95" s="592"/>
      <c r="R95" s="592"/>
      <c r="S95" s="592"/>
      <c r="T95" s="592"/>
      <c r="U95" s="592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8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592"/>
      <c r="P96" s="592"/>
      <c r="Q96" s="592"/>
      <c r="R96" s="592"/>
      <c r="S96" s="592"/>
      <c r="T96" s="592"/>
      <c r="U96" s="592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8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592"/>
      <c r="P97" s="592"/>
      <c r="Q97" s="592"/>
      <c r="R97" s="592"/>
      <c r="S97" s="592"/>
      <c r="T97" s="592"/>
      <c r="U97" s="592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8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592"/>
      <c r="P98" s="592"/>
      <c r="Q98" s="592"/>
      <c r="R98" s="592"/>
      <c r="S98" s="592"/>
      <c r="T98" s="592"/>
      <c r="U98" s="592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8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592"/>
      <c r="P99" s="592"/>
      <c r="Q99" s="592"/>
      <c r="R99" s="592"/>
      <c r="S99" s="592"/>
      <c r="T99" s="592"/>
      <c r="U99" s="592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8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592"/>
      <c r="P100" s="592"/>
      <c r="Q100" s="592"/>
      <c r="R100" s="592"/>
      <c r="S100" s="592"/>
      <c r="T100" s="592"/>
      <c r="U100" s="592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8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592"/>
      <c r="P101" s="592"/>
      <c r="Q101" s="592"/>
      <c r="R101" s="592"/>
      <c r="S101" s="592"/>
      <c r="T101" s="592"/>
      <c r="U101" s="592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8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592"/>
      <c r="P102" s="592"/>
      <c r="Q102" s="592"/>
      <c r="R102" s="592"/>
      <c r="S102" s="592"/>
      <c r="T102" s="592"/>
      <c r="U102" s="592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58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8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592"/>
      <c r="P103" s="592"/>
      <c r="Q103" s="592"/>
      <c r="R103" s="592"/>
      <c r="S103" s="592"/>
      <c r="T103" s="592"/>
      <c r="U103" s="592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58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8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592"/>
      <c r="P104" s="592"/>
      <c r="Q104" s="592"/>
      <c r="R104" s="592"/>
      <c r="S104" s="592"/>
      <c r="T104" s="592"/>
      <c r="U104" s="592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58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8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592"/>
      <c r="P105" s="592"/>
      <c r="Q105" s="592"/>
      <c r="R105" s="592"/>
      <c r="S105" s="592"/>
      <c r="T105" s="592"/>
      <c r="U105" s="592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58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8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592"/>
      <c r="P106" s="592"/>
      <c r="Q106" s="592"/>
      <c r="R106" s="592"/>
      <c r="S106" s="592"/>
      <c r="T106" s="592"/>
      <c r="U106" s="592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25" customHeight="1">
      <c r="A107" s="299">
        <v>30400026</v>
      </c>
      <c r="B107" s="583" t="s">
        <v>393</v>
      </c>
      <c r="C107" s="187" t="s">
        <v>395</v>
      </c>
      <c r="D107" s="108">
        <v>5</v>
      </c>
      <c r="E107" s="108"/>
      <c r="F107" s="127">
        <v>42751</v>
      </c>
      <c r="G107" s="128">
        <f>90*5+35+58</f>
        <v>543</v>
      </c>
      <c r="H107" s="584">
        <f t="shared" si="36"/>
        <v>2715</v>
      </c>
      <c r="I107" s="129">
        <f>5.5+9*4</f>
        <v>41.5</v>
      </c>
      <c r="J107" s="130">
        <f t="array" ref="J107">IF(ISERROR(G107/I107),"",G107/I107)</f>
        <v>13.08433734939759</v>
      </c>
      <c r="K107" s="131">
        <f t="array" ref="K107">IF(ISERROR(G107/L107),"",G107/L107)</f>
        <v>108.6</v>
      </c>
      <c r="L107" s="129">
        <v>5</v>
      </c>
      <c r="M107" s="109">
        <f t="shared" si="37"/>
        <v>-67.099999999999994</v>
      </c>
      <c r="N107" s="130">
        <f t="shared" si="40"/>
        <v>0</v>
      </c>
      <c r="O107" s="592"/>
      <c r="P107" s="592"/>
      <c r="Q107" s="592"/>
      <c r="R107" s="592"/>
      <c r="S107" s="592"/>
      <c r="T107" s="592"/>
      <c r="U107" s="59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583" t="s">
        <v>393</v>
      </c>
      <c r="C108" s="187" t="s">
        <v>402</v>
      </c>
      <c r="D108" s="108">
        <v>5</v>
      </c>
      <c r="E108" s="108"/>
      <c r="F108" s="127"/>
      <c r="G108" s="128"/>
      <c r="H108" s="584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592"/>
      <c r="P108" s="592"/>
      <c r="Q108" s="592"/>
      <c r="R108" s="592"/>
      <c r="S108" s="592"/>
      <c r="T108" s="592"/>
      <c r="U108" s="59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583" t="s">
        <v>404</v>
      </c>
      <c r="C109" s="187" t="s">
        <v>405</v>
      </c>
      <c r="D109" s="108">
        <v>5</v>
      </c>
      <c r="E109" s="108"/>
      <c r="F109" s="127"/>
      <c r="G109" s="128"/>
      <c r="H109" s="584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592"/>
      <c r="P109" s="592"/>
      <c r="Q109" s="592"/>
      <c r="R109" s="592"/>
      <c r="S109" s="592"/>
      <c r="T109" s="592"/>
      <c r="U109" s="59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583" t="s">
        <v>492</v>
      </c>
      <c r="C110" s="187" t="s">
        <v>372</v>
      </c>
      <c r="D110" s="108">
        <v>5</v>
      </c>
      <c r="E110" s="108"/>
      <c r="F110" s="127"/>
      <c r="G110" s="128"/>
      <c r="H110" s="584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592"/>
      <c r="P110" s="592"/>
      <c r="Q110" s="592"/>
      <c r="R110" s="592"/>
      <c r="S110" s="592"/>
      <c r="T110" s="592"/>
      <c r="U110" s="59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583" t="s">
        <v>343</v>
      </c>
      <c r="C111" s="126" t="s">
        <v>345</v>
      </c>
      <c r="D111" s="108">
        <v>5</v>
      </c>
      <c r="E111" s="108"/>
      <c r="F111" s="127"/>
      <c r="G111" s="128"/>
      <c r="H111" s="584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592"/>
      <c r="P111" s="592"/>
      <c r="Q111" s="592"/>
      <c r="R111" s="592"/>
      <c r="S111" s="592"/>
      <c r="T111" s="592"/>
      <c r="U111" s="59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583" t="s">
        <v>343</v>
      </c>
      <c r="C112" s="126" t="s">
        <v>347</v>
      </c>
      <c r="D112" s="108">
        <v>5</v>
      </c>
      <c r="E112" s="108"/>
      <c r="F112" s="127">
        <v>42743</v>
      </c>
      <c r="G112" s="128">
        <v>11</v>
      </c>
      <c r="H112" s="584">
        <f t="shared" si="36"/>
        <v>55</v>
      </c>
      <c r="I112" s="129">
        <v>2.2000000000000002</v>
      </c>
      <c r="J112" s="130">
        <f t="array" ref="J112">IF(ISERROR(G112/I112),"",G112/I112)</f>
        <v>5</v>
      </c>
      <c r="K112" s="131">
        <f t="array" ref="K112">IF(ISERROR(G112/L112),"",G112/L112)</f>
        <v>2.2000000000000002</v>
      </c>
      <c r="L112" s="129">
        <v>5</v>
      </c>
      <c r="M112" s="109">
        <f t="shared" si="37"/>
        <v>0</v>
      </c>
      <c r="N112" s="130">
        <f t="shared" si="40"/>
        <v>0</v>
      </c>
      <c r="O112" s="592"/>
      <c r="P112" s="592"/>
      <c r="Q112" s="592"/>
      <c r="R112" s="592"/>
      <c r="S112" s="592"/>
      <c r="T112" s="592"/>
      <c r="U112" s="59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8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592"/>
      <c r="P113" s="592"/>
      <c r="Q113" s="592"/>
      <c r="R113" s="592"/>
      <c r="S113" s="592"/>
      <c r="T113" s="592"/>
      <c r="U113" s="592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58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592"/>
      <c r="P114" s="592"/>
      <c r="Q114" s="592"/>
      <c r="R114" s="592"/>
      <c r="S114" s="592"/>
      <c r="T114" s="592"/>
      <c r="U114" s="592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84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592"/>
      <c r="P115" s="592"/>
      <c r="Q115" s="592"/>
      <c r="R115" s="592"/>
      <c r="S115" s="592"/>
      <c r="T115" s="592"/>
      <c r="U115" s="59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84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592"/>
      <c r="P116" s="592"/>
      <c r="Q116" s="592"/>
      <c r="R116" s="592"/>
      <c r="S116" s="592"/>
      <c r="T116" s="592"/>
      <c r="U116" s="59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8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592"/>
      <c r="P117" s="592"/>
      <c r="Q117" s="592"/>
      <c r="R117" s="592"/>
      <c r="S117" s="592"/>
      <c r="T117" s="592"/>
      <c r="U117" s="59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8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592"/>
      <c r="P118" s="592"/>
      <c r="Q118" s="592"/>
      <c r="R118" s="592"/>
      <c r="S118" s="592"/>
      <c r="T118" s="592"/>
      <c r="U118" s="592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8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592"/>
      <c r="P119" s="592"/>
      <c r="Q119" s="592"/>
      <c r="R119" s="592"/>
      <c r="S119" s="592"/>
      <c r="T119" s="592"/>
      <c r="U119" s="592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84">
        <f t="shared" si="36"/>
        <v>0</v>
      </c>
      <c r="I120" s="129"/>
      <c r="J120" s="130" t="str">
        <f t="array" ref="J120">IF(ISERROR(G120/I120),"",G120/I120)</f>
        <v/>
      </c>
      <c r="K120" s="58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592"/>
      <c r="P120" s="592"/>
      <c r="Q120" s="592"/>
      <c r="R120" s="592"/>
      <c r="S120" s="592"/>
      <c r="T120" s="592"/>
      <c r="U120" s="592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593" t="s">
        <v>202</v>
      </c>
      <c r="D121" s="143"/>
      <c r="E121" s="143"/>
      <c r="F121" s="144"/>
      <c r="G121" s="145">
        <f>SUM(G87:G120)</f>
        <v>554</v>
      </c>
      <c r="H121" s="146">
        <f>SUM(H87:H120)</f>
        <v>2770</v>
      </c>
      <c r="I121" s="146">
        <f>SUM(I87:I120)</f>
        <v>43.7</v>
      </c>
      <c r="J121" s="130">
        <f t="array" ref="J121">IF(ISERROR(G121/I121),"",G121/I121)</f>
        <v>12.677345537757436</v>
      </c>
      <c r="K121" s="146">
        <f>SUM(K87:K120)</f>
        <v>110.8</v>
      </c>
      <c r="L121" s="147"/>
      <c r="M121" s="150">
        <f t="shared" ref="M121:V121" si="50">SUM(M87:M120)</f>
        <v>-67.099999999999994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42751</v>
      </c>
      <c r="G122" s="128">
        <f>90*4+75+90-90</f>
        <v>435</v>
      </c>
      <c r="H122" s="584">
        <f t="shared" ref="H122:H136" si="51">D122*G122</f>
        <v>2188.0500000000002</v>
      </c>
      <c r="I122" s="129">
        <f>11*2</f>
        <v>22</v>
      </c>
      <c r="J122" s="130">
        <f t="array" ref="J122">IF(ISERROR(G122/I122),"",G122/I122)</f>
        <v>19.772727272727273</v>
      </c>
      <c r="K122" s="131">
        <f t="array" ref="K122">IF(ISERROR(G122/L122),"",G122/L122)</f>
        <v>17.399999999999999</v>
      </c>
      <c r="L122" s="129">
        <v>25</v>
      </c>
      <c r="M122" s="109">
        <f t="shared" ref="M122:M136" si="52">IF(ISERROR(I122-K122),"",I122-K122)</f>
        <v>4.6000000000000014</v>
      </c>
      <c r="N122" s="130">
        <f t="shared" ref="N122:N136" si="53">SUM(O122:U122)</f>
        <v>0</v>
      </c>
      <c r="O122" s="592"/>
      <c r="P122" s="592"/>
      <c r="Q122" s="592"/>
      <c r="R122" s="592"/>
      <c r="S122" s="592"/>
      <c r="T122" s="592"/>
      <c r="U122" s="592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8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592"/>
      <c r="P123" s="592"/>
      <c r="Q123" s="592"/>
      <c r="R123" s="592"/>
      <c r="S123" s="592"/>
      <c r="T123" s="592"/>
      <c r="U123" s="592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8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592"/>
      <c r="P124" s="592"/>
      <c r="Q124" s="592"/>
      <c r="R124" s="592"/>
      <c r="S124" s="592"/>
      <c r="T124" s="592"/>
      <c r="U124" s="592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8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592"/>
      <c r="P125" s="592"/>
      <c r="Q125" s="592"/>
      <c r="R125" s="592"/>
      <c r="S125" s="592"/>
      <c r="T125" s="592"/>
      <c r="U125" s="592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89" t="s">
        <v>203</v>
      </c>
      <c r="D126" s="108">
        <v>5.03</v>
      </c>
      <c r="E126" s="108"/>
      <c r="F126" s="127"/>
      <c r="G126" s="128"/>
      <c r="H126" s="584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592"/>
      <c r="P126" s="592"/>
      <c r="Q126" s="592"/>
      <c r="R126" s="592"/>
      <c r="S126" s="592"/>
      <c r="T126" s="592"/>
      <c r="U126" s="592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84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592"/>
      <c r="P127" s="592"/>
      <c r="Q127" s="592"/>
      <c r="R127" s="592"/>
      <c r="S127" s="592"/>
      <c r="T127" s="592"/>
      <c r="U127" s="592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8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592"/>
      <c r="P128" s="592"/>
      <c r="Q128" s="592"/>
      <c r="R128" s="592"/>
      <c r="S128" s="592"/>
      <c r="T128" s="592"/>
      <c r="U128" s="592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89" t="s">
        <v>228</v>
      </c>
      <c r="D129" s="108">
        <v>5.03</v>
      </c>
      <c r="E129" s="108"/>
      <c r="F129" s="127"/>
      <c r="G129" s="128"/>
      <c r="H129" s="58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592"/>
      <c r="P129" s="592"/>
      <c r="Q129" s="592"/>
      <c r="R129" s="592"/>
      <c r="S129" s="592"/>
      <c r="T129" s="592"/>
      <c r="U129" s="592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89" t="s">
        <v>212</v>
      </c>
      <c r="D130" s="108">
        <v>5.03</v>
      </c>
      <c r="E130" s="108"/>
      <c r="F130" s="127"/>
      <c r="G130" s="128"/>
      <c r="H130" s="58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592"/>
      <c r="P130" s="592"/>
      <c r="Q130" s="592"/>
      <c r="R130" s="592"/>
      <c r="S130" s="592"/>
      <c r="T130" s="592"/>
      <c r="U130" s="592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89" t="s">
        <v>203</v>
      </c>
      <c r="D131" s="108">
        <v>5.03</v>
      </c>
      <c r="E131" s="108"/>
      <c r="F131" s="127"/>
      <c r="G131" s="128"/>
      <c r="H131" s="58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592"/>
      <c r="P131" s="592"/>
      <c r="Q131" s="592"/>
      <c r="R131" s="592"/>
      <c r="S131" s="592"/>
      <c r="T131" s="592"/>
      <c r="U131" s="592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89" t="s">
        <v>186</v>
      </c>
      <c r="D132" s="108">
        <v>5.03</v>
      </c>
      <c r="E132" s="108"/>
      <c r="F132" s="127"/>
      <c r="G132" s="128"/>
      <c r="H132" s="58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592"/>
      <c r="P132" s="592"/>
      <c r="Q132" s="592"/>
      <c r="R132" s="592"/>
      <c r="S132" s="592"/>
      <c r="T132" s="592"/>
      <c r="U132" s="592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89" t="s">
        <v>228</v>
      </c>
      <c r="D133" s="108">
        <v>5.03</v>
      </c>
      <c r="E133" s="108"/>
      <c r="F133" s="127"/>
      <c r="G133" s="128"/>
      <c r="H133" s="58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592"/>
      <c r="P133" s="592"/>
      <c r="Q133" s="592"/>
      <c r="R133" s="592"/>
      <c r="S133" s="592"/>
      <c r="T133" s="592"/>
      <c r="U133" s="592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89" t="s">
        <v>199</v>
      </c>
      <c r="D134" s="108">
        <v>5.03</v>
      </c>
      <c r="E134" s="108"/>
      <c r="F134" s="127"/>
      <c r="G134" s="128"/>
      <c r="H134" s="58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592"/>
      <c r="P134" s="592"/>
      <c r="Q134" s="592"/>
      <c r="R134" s="592"/>
      <c r="S134" s="592"/>
      <c r="T134" s="592"/>
      <c r="U134" s="592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42748</v>
      </c>
      <c r="G135" s="128">
        <f>90*10+90</f>
        <v>990</v>
      </c>
      <c r="H135" s="584">
        <f t="shared" si="51"/>
        <v>5009.3999999999996</v>
      </c>
      <c r="I135" s="129">
        <v>33</v>
      </c>
      <c r="J135" s="130">
        <f t="array" ref="J135">IF(ISERROR(G135/I135),"",G135/I135)</f>
        <v>30</v>
      </c>
      <c r="K135" s="131">
        <f t="array" ref="K135">IF(ISERROR(G135/L135),"",G135/L135)</f>
        <v>39.6</v>
      </c>
      <c r="L135" s="129">
        <v>25</v>
      </c>
      <c r="M135" s="109">
        <f t="shared" si="52"/>
        <v>-6.6000000000000014</v>
      </c>
      <c r="N135" s="130">
        <f t="shared" si="53"/>
        <v>0</v>
      </c>
      <c r="O135" s="592"/>
      <c r="P135" s="592"/>
      <c r="Q135" s="592"/>
      <c r="R135" s="592"/>
      <c r="S135" s="592"/>
      <c r="T135" s="592"/>
      <c r="U135" s="592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58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592"/>
      <c r="P136" s="592"/>
      <c r="Q136" s="592"/>
      <c r="R136" s="592"/>
      <c r="S136" s="592"/>
      <c r="T136" s="592"/>
      <c r="U136" s="592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593" t="s">
        <v>202</v>
      </c>
      <c r="D137" s="143"/>
      <c r="E137" s="143"/>
      <c r="F137" s="144"/>
      <c r="G137" s="145">
        <f>SUM(G122:G136)</f>
        <v>1425</v>
      </c>
      <c r="H137" s="146">
        <f>SUM(H122:H136)</f>
        <v>7197.45</v>
      </c>
      <c r="I137" s="146">
        <f>SUM(I122:I136)</f>
        <v>55</v>
      </c>
      <c r="J137" s="130">
        <f t="array" ref="J137">IF(ISERROR(G137/I137),"",G137/I137)</f>
        <v>25.90909090909091</v>
      </c>
      <c r="K137" s="146">
        <f>SUM(K122:K136)</f>
        <v>57</v>
      </c>
      <c r="L137" s="147"/>
      <c r="M137" s="150">
        <f>SUM(M122:M136)</f>
        <v>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584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56">IF(ISERROR(I138-K138),"",I138-K138)</f>
        <v>0</v>
      </c>
      <c r="N138" s="130">
        <f t="shared" ref="N138:N147" si="57">SUM(O138:U138)</f>
        <v>0</v>
      </c>
      <c r="O138" s="592"/>
      <c r="P138" s="592"/>
      <c r="Q138" s="592"/>
      <c r="R138" s="592"/>
      <c r="S138" s="592"/>
      <c r="T138" s="592"/>
      <c r="U138" s="592"/>
      <c r="V138" s="132">
        <f t="shared" ref="V138:V147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8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592"/>
      <c r="P139" s="592"/>
      <c r="Q139" s="592"/>
      <c r="R139" s="592"/>
      <c r="S139" s="592"/>
      <c r="T139" s="592"/>
      <c r="U139" s="592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8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592"/>
      <c r="P140" s="592"/>
      <c r="Q140" s="592"/>
      <c r="R140" s="592"/>
      <c r="S140" s="592"/>
      <c r="T140" s="592"/>
      <c r="U140" s="592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8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592"/>
      <c r="P141" s="592"/>
      <c r="Q141" s="592"/>
      <c r="R141" s="592"/>
      <c r="S141" s="592"/>
      <c r="T141" s="592"/>
      <c r="U141" s="592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8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592"/>
      <c r="P142" s="592"/>
      <c r="Q142" s="592"/>
      <c r="R142" s="592"/>
      <c r="S142" s="592"/>
      <c r="T142" s="592"/>
      <c r="U142" s="592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58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592"/>
      <c r="P143" s="592"/>
      <c r="Q143" s="592"/>
      <c r="R143" s="592"/>
      <c r="S143" s="592"/>
      <c r="T143" s="592"/>
      <c r="U143" s="59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42743</v>
      </c>
      <c r="G144" s="128">
        <v>1</v>
      </c>
      <c r="H144" s="584">
        <f t="shared" si="55"/>
        <v>5.04</v>
      </c>
      <c r="I144" s="129">
        <v>7.0000000000000007E-2</v>
      </c>
      <c r="J144" s="130">
        <f t="array" ref="J144">IF(ISERROR(G144/I144),"",G144/I144)</f>
        <v>14.285714285714285</v>
      </c>
      <c r="K144" s="131">
        <f t="array" ref="K144">IF(ISERROR(G144/L144),"",G144/L144)</f>
        <v>7.407407407407407E-2</v>
      </c>
      <c r="L144" s="129">
        <v>13.5</v>
      </c>
      <c r="M144" s="109">
        <f t="shared" ref="M144" si="59">IF(ISERROR(I144-K144),"",I144-K144)</f>
        <v>-4.0740740740740633E-3</v>
      </c>
      <c r="N144" s="130"/>
      <c r="O144" s="592"/>
      <c r="P144" s="592"/>
      <c r="Q144" s="592"/>
      <c r="R144" s="592"/>
      <c r="S144" s="592"/>
      <c r="T144" s="592"/>
      <c r="U144" s="59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584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592"/>
      <c r="P145" s="592"/>
      <c r="Q145" s="592"/>
      <c r="R145" s="592"/>
      <c r="S145" s="592"/>
      <c r="T145" s="592"/>
      <c r="U145" s="59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f>90*6+24</f>
        <v>564</v>
      </c>
      <c r="H146" s="584">
        <f t="shared" si="55"/>
        <v>2842.56</v>
      </c>
      <c r="I146" s="129">
        <f>11*4</f>
        <v>44</v>
      </c>
      <c r="J146" s="130">
        <f t="array" ref="J146">IF(ISERROR(G146/I146),"",G146/I146)</f>
        <v>12.818181818181818</v>
      </c>
      <c r="K146" s="131">
        <f t="array" ref="K146">IF(ISERROR(G146/L146),"",G146/L146)</f>
        <v>41.777777777777779</v>
      </c>
      <c r="L146" s="129">
        <v>13.5</v>
      </c>
      <c r="M146" s="109">
        <f t="shared" ref="M146" si="60">IF(ISERROR(I146-K146),"",I146-K146)</f>
        <v>2.2222222222222214</v>
      </c>
      <c r="N146" s="130"/>
      <c r="O146" s="592"/>
      <c r="P146" s="592"/>
      <c r="Q146" s="592"/>
      <c r="R146" s="592"/>
      <c r="S146" s="592"/>
      <c r="T146" s="592"/>
      <c r="U146" s="59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584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:M156" si="61">IF(ISERROR(I147-K147),"",I147-K147)</f>
        <v>0</v>
      </c>
      <c r="N147" s="130">
        <f t="shared" ref="N147:N156" si="62">SUM(O147:U147)</f>
        <v>0</v>
      </c>
      <c r="O147" s="592"/>
      <c r="P147" s="592"/>
      <c r="Q147" s="592"/>
      <c r="R147" s="592"/>
      <c r="S147" s="592"/>
      <c r="T147" s="592"/>
      <c r="U147" s="592"/>
      <c r="V147" s="132">
        <f t="shared" ref="V147:V156" si="63">SUM(X147:AA147)</f>
        <v>0</v>
      </c>
      <c r="W147" s="133" t="str">
        <f t="shared" ref="W147:W164" si="64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593" t="s">
        <v>202</v>
      </c>
      <c r="D148" s="143"/>
      <c r="E148" s="143"/>
      <c r="F148" s="144"/>
      <c r="G148" s="145">
        <f>SUM(G138:G147)</f>
        <v>565</v>
      </c>
      <c r="H148" s="146">
        <f>SUM(H138:H147)</f>
        <v>2847.6</v>
      </c>
      <c r="I148" s="146">
        <f>SUM(I138:I147)</f>
        <v>44.07</v>
      </c>
      <c r="J148" s="130">
        <f t="array" ref="J148">IF(ISERROR(G148/I148),"",G148/I148)</f>
        <v>12.820512820512821</v>
      </c>
      <c r="K148" s="146">
        <f>SUM(K138:K147)</f>
        <v>41.851851851851855</v>
      </c>
      <c r="L148" s="147"/>
      <c r="M148" s="150">
        <f>SUM(M138:M147)</f>
        <v>2.2181481481481473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4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590"/>
      <c r="D149" s="108">
        <v>3.65</v>
      </c>
      <c r="E149" s="108"/>
      <c r="F149" s="153"/>
      <c r="G149" s="128"/>
      <c r="H149" s="584">
        <f t="shared" ref="H149:H162" si="65">D149*G149</f>
        <v>0</v>
      </c>
      <c r="I149" s="129"/>
      <c r="J149" s="130" t="str">
        <f t="array" ref="J149">IF(ISERROR(G149/I149),"",G149/I149)</f>
        <v/>
      </c>
      <c r="K149" s="584">
        <f t="array" ref="K149">IF(ISERROR(G149/L149),"",G149/L149)</f>
        <v>0</v>
      </c>
      <c r="L149" s="129">
        <v>5</v>
      </c>
      <c r="M149" s="109">
        <f t="shared" ref="M149:M152" si="66">IF(ISERROR(I149-K149),"",I149-K149)</f>
        <v>0</v>
      </c>
      <c r="N149" s="130">
        <f t="shared" ref="N149:N152" si="67">SUM(O149:U149)</f>
        <v>0</v>
      </c>
      <c r="O149" s="592"/>
      <c r="P149" s="592"/>
      <c r="Q149" s="592"/>
      <c r="R149" s="592"/>
      <c r="S149" s="592"/>
      <c r="T149" s="592"/>
      <c r="U149" s="592"/>
      <c r="V149" s="132">
        <f t="shared" ref="V149:V152" si="68">SUM(X149:AA149)</f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590"/>
      <c r="D150" s="108">
        <v>6.58</v>
      </c>
      <c r="E150" s="108"/>
      <c r="F150" s="127"/>
      <c r="G150" s="128"/>
      <c r="H150" s="584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6"/>
        <v>0</v>
      </c>
      <c r="N150" s="130">
        <f t="shared" si="67"/>
        <v>0</v>
      </c>
      <c r="O150" s="592"/>
      <c r="P150" s="592"/>
      <c r="Q150" s="592"/>
      <c r="R150" s="592"/>
      <c r="S150" s="592"/>
      <c r="T150" s="592"/>
      <c r="U150" s="592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590"/>
      <c r="D151" s="108">
        <v>7.8</v>
      </c>
      <c r="E151" s="108"/>
      <c r="F151" s="127"/>
      <c r="G151" s="128"/>
      <c r="H151" s="584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6"/>
        <v>0</v>
      </c>
      <c r="N151" s="130">
        <f t="shared" si="67"/>
        <v>0</v>
      </c>
      <c r="O151" s="592"/>
      <c r="P151" s="592"/>
      <c r="Q151" s="592"/>
      <c r="R151" s="592"/>
      <c r="S151" s="592"/>
      <c r="T151" s="592"/>
      <c r="U151" s="592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590"/>
      <c r="D152" s="108">
        <v>4.4000000000000004</v>
      </c>
      <c r="E152" s="108"/>
      <c r="F152" s="127"/>
      <c r="G152" s="128"/>
      <c r="H152" s="584">
        <f t="shared" si="65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6"/>
        <v>0</v>
      </c>
      <c r="N152" s="130">
        <f t="shared" si="67"/>
        <v>0</v>
      </c>
      <c r="O152" s="592"/>
      <c r="P152" s="592"/>
      <c r="Q152" s="592"/>
      <c r="R152" s="592"/>
      <c r="S152" s="592"/>
      <c r="T152" s="592"/>
      <c r="U152" s="592"/>
      <c r="V152" s="132">
        <f t="shared" si="68"/>
        <v>0</v>
      </c>
      <c r="W152" s="133" t="str">
        <f t="shared" si="64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584">
        <f t="shared" si="65"/>
        <v>0</v>
      </c>
      <c r="I153" s="129"/>
      <c r="J153" s="130"/>
      <c r="K153" s="131"/>
      <c r="L153" s="129">
        <v>6</v>
      </c>
      <c r="M153" s="109"/>
      <c r="N153" s="130"/>
      <c r="O153" s="592"/>
      <c r="P153" s="592"/>
      <c r="Q153" s="592"/>
      <c r="R153" s="592"/>
      <c r="S153" s="592"/>
      <c r="T153" s="592"/>
      <c r="U153" s="59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590" t="s">
        <v>239</v>
      </c>
      <c r="C154" s="590" t="s">
        <v>179</v>
      </c>
      <c r="D154" s="108">
        <v>6.04</v>
      </c>
      <c r="E154" s="108"/>
      <c r="F154" s="127"/>
      <c r="G154" s="128"/>
      <c r="H154" s="584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9">IF(ISERROR(I154-K154),"",I154-K154)</f>
        <v>0</v>
      </c>
      <c r="N154" s="130">
        <f t="shared" ref="N154:N155" si="70">SUM(O154:U154)</f>
        <v>0</v>
      </c>
      <c r="O154" s="592"/>
      <c r="P154" s="592"/>
      <c r="Q154" s="592"/>
      <c r="R154" s="592"/>
      <c r="S154" s="592"/>
      <c r="T154" s="592"/>
      <c r="U154" s="592"/>
      <c r="V154" s="132">
        <f t="shared" ref="V154:V155" si="71">SUM(X154:AA154)</f>
        <v>0</v>
      </c>
      <c r="W154" s="133" t="str">
        <f t="shared" ref="W154:W155" si="72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590" t="s">
        <v>239</v>
      </c>
      <c r="C155" s="590" t="s">
        <v>186</v>
      </c>
      <c r="D155" s="108">
        <v>6.04</v>
      </c>
      <c r="E155" s="108"/>
      <c r="F155" s="127"/>
      <c r="G155" s="128"/>
      <c r="H155" s="584">
        <f t="shared" si="65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9"/>
        <v>0</v>
      </c>
      <c r="N155" s="130">
        <f t="shared" si="70"/>
        <v>0</v>
      </c>
      <c r="O155" s="592"/>
      <c r="P155" s="592"/>
      <c r="Q155" s="592"/>
      <c r="R155" s="592"/>
      <c r="S155" s="592"/>
      <c r="T155" s="592"/>
      <c r="U155" s="592"/>
      <c r="V155" s="132">
        <f t="shared" si="71"/>
        <v>0</v>
      </c>
      <c r="W155" s="133" t="str">
        <f t="shared" si="72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590" t="s">
        <v>443</v>
      </c>
      <c r="C156" s="590" t="s">
        <v>179</v>
      </c>
      <c r="D156" s="108">
        <v>6</v>
      </c>
      <c r="E156" s="108"/>
      <c r="F156" s="127"/>
      <c r="G156" s="128"/>
      <c r="H156" s="584">
        <f t="shared" si="65"/>
        <v>0</v>
      </c>
      <c r="I156" s="129"/>
      <c r="J156" s="130"/>
      <c r="K156" s="131"/>
      <c r="L156" s="129"/>
      <c r="M156" s="109"/>
      <c r="N156" s="130"/>
      <c r="O156" s="592"/>
      <c r="P156" s="592"/>
      <c r="Q156" s="592"/>
      <c r="R156" s="592"/>
      <c r="S156" s="592"/>
      <c r="T156" s="592"/>
      <c r="U156" s="592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590" t="s">
        <v>443</v>
      </c>
      <c r="C157" s="590" t="s">
        <v>60</v>
      </c>
      <c r="D157" s="108">
        <v>6</v>
      </c>
      <c r="E157" s="108"/>
      <c r="F157" s="127">
        <v>42746</v>
      </c>
      <c r="G157" s="128">
        <v>22</v>
      </c>
      <c r="H157" s="584">
        <f t="shared" si="65"/>
        <v>132</v>
      </c>
      <c r="I157" s="129">
        <f>2.5*5</f>
        <v>12.5</v>
      </c>
      <c r="J157" s="130">
        <f t="array" ref="J157">IF(ISERROR(G157/I157),"",G157/I157)</f>
        <v>1.76</v>
      </c>
      <c r="K157" s="131">
        <f t="array" ref="K157">IF(ISERROR(G157/L157),"",G157/L157)</f>
        <v>3.6666666666666665</v>
      </c>
      <c r="L157" s="129">
        <v>6</v>
      </c>
      <c r="M157" s="109">
        <f t="shared" ref="M157" si="73">IF(ISERROR(I157-K157),"",I157-K157)</f>
        <v>8.8333333333333339</v>
      </c>
      <c r="N157" s="130"/>
      <c r="O157" s="592"/>
      <c r="P157" s="592"/>
      <c r="Q157" s="592"/>
      <c r="R157" s="592"/>
      <c r="S157" s="592"/>
      <c r="T157" s="592"/>
      <c r="U157" s="59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583" t="s">
        <v>240</v>
      </c>
      <c r="C158" s="126"/>
      <c r="D158" s="108">
        <v>7.3</v>
      </c>
      <c r="E158" s="108"/>
      <c r="F158" s="127"/>
      <c r="G158" s="128"/>
      <c r="H158" s="584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4">IF(ISERROR(I158-K158),"",I158-K158)</f>
        <v/>
      </c>
      <c r="N158" s="130">
        <f t="shared" ref="N158:N159" si="75">SUM(O158:U158)</f>
        <v>0</v>
      </c>
      <c r="O158" s="592"/>
      <c r="P158" s="592"/>
      <c r="Q158" s="592"/>
      <c r="R158" s="592"/>
      <c r="S158" s="592"/>
      <c r="T158" s="592"/>
      <c r="U158" s="592"/>
      <c r="V158" s="132">
        <f t="shared" ref="V158:V159" si="76">SUM(X158:AA158)</f>
        <v>0</v>
      </c>
      <c r="W158" s="133" t="str">
        <f t="shared" ref="W158:W159" si="77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583" t="s">
        <v>241</v>
      </c>
      <c r="C159" s="126"/>
      <c r="D159" s="108">
        <f>78*120/1000</f>
        <v>9.36</v>
      </c>
      <c r="E159" s="108"/>
      <c r="F159" s="127"/>
      <c r="G159" s="128"/>
      <c r="H159" s="584">
        <f t="shared" si="65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5"/>
        <v>0</v>
      </c>
      <c r="O159" s="592"/>
      <c r="P159" s="592"/>
      <c r="Q159" s="592"/>
      <c r="R159" s="592"/>
      <c r="S159" s="592"/>
      <c r="T159" s="592"/>
      <c r="U159" s="592"/>
      <c r="V159" s="132">
        <f t="shared" si="76"/>
        <v>0</v>
      </c>
      <c r="W159" s="133" t="str">
        <f t="shared" si="77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583" t="s">
        <v>242</v>
      </c>
      <c r="C160" s="126"/>
      <c r="D160" s="108">
        <v>4.5</v>
      </c>
      <c r="E160" s="108"/>
      <c r="F160" s="127"/>
      <c r="G160" s="128"/>
      <c r="H160" s="584">
        <f t="shared" si="65"/>
        <v>0</v>
      </c>
      <c r="I160" s="129"/>
      <c r="J160" s="130"/>
      <c r="K160" s="131"/>
      <c r="L160" s="129"/>
      <c r="M160" s="109"/>
      <c r="N160" s="130"/>
      <c r="O160" s="592"/>
      <c r="P160" s="592"/>
      <c r="Q160" s="592"/>
      <c r="R160" s="592"/>
      <c r="S160" s="592"/>
      <c r="T160" s="592"/>
      <c r="U160" s="59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583" t="s">
        <v>243</v>
      </c>
      <c r="C161" s="126"/>
      <c r="D161" s="108">
        <v>4.5</v>
      </c>
      <c r="E161" s="108"/>
      <c r="F161" s="127"/>
      <c r="G161" s="128"/>
      <c r="H161" s="584">
        <f t="shared" si="65"/>
        <v>0</v>
      </c>
      <c r="I161" s="129"/>
      <c r="J161" s="130"/>
      <c r="K161" s="131"/>
      <c r="L161" s="129"/>
      <c r="M161" s="109"/>
      <c r="N161" s="130"/>
      <c r="O161" s="592"/>
      <c r="P161" s="592"/>
      <c r="Q161" s="592"/>
      <c r="R161" s="592"/>
      <c r="S161" s="592"/>
      <c r="T161" s="592"/>
      <c r="U161" s="59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584">
        <f t="shared" si="65"/>
        <v>0</v>
      </c>
      <c r="I162" s="129"/>
      <c r="J162" s="130"/>
      <c r="K162" s="131"/>
      <c r="L162" s="129"/>
      <c r="M162" s="109"/>
      <c r="N162" s="130"/>
      <c r="O162" s="592"/>
      <c r="P162" s="592"/>
      <c r="Q162" s="592"/>
      <c r="R162" s="592"/>
      <c r="S162" s="592"/>
      <c r="T162" s="592"/>
      <c r="U162" s="592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593" t="s">
        <v>202</v>
      </c>
      <c r="D163" s="143"/>
      <c r="E163" s="143"/>
      <c r="F163" s="144"/>
      <c r="G163" s="145">
        <f>SUM(G149:G161)</f>
        <v>22</v>
      </c>
      <c r="H163" s="146">
        <f>SUM(H149:H159)</f>
        <v>132</v>
      </c>
      <c r="I163" s="146">
        <f>SUM(I149:I161)</f>
        <v>12.5</v>
      </c>
      <c r="J163" s="130">
        <f t="array" ref="J163">IF(ISERROR(G163/I163),"",G163/I163)</f>
        <v>1.76</v>
      </c>
      <c r="K163" s="146">
        <f>SUM(K149:K159)</f>
        <v>3.6666666666666665</v>
      </c>
      <c r="L163" s="147"/>
      <c r="M163" s="150">
        <f t="shared" ref="M163:V163" si="78">SUM(M149:M159)</f>
        <v>8.8333333333333339</v>
      </c>
      <c r="N163" s="146">
        <f t="shared" si="78"/>
        <v>0</v>
      </c>
      <c r="O163" s="148">
        <f t="shared" si="78"/>
        <v>0</v>
      </c>
      <c r="P163" s="148">
        <f t="shared" si="78"/>
        <v>0</v>
      </c>
      <c r="Q163" s="148">
        <f t="shared" si="78"/>
        <v>0</v>
      </c>
      <c r="R163" s="148">
        <f t="shared" si="78"/>
        <v>0</v>
      </c>
      <c r="S163" s="148">
        <f t="shared" si="78"/>
        <v>0</v>
      </c>
      <c r="T163" s="148">
        <f t="shared" si="78"/>
        <v>0</v>
      </c>
      <c r="U163" s="148">
        <f t="shared" si="78"/>
        <v>0</v>
      </c>
      <c r="V163" s="149">
        <f t="shared" si="78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5120</v>
      </c>
      <c r="H164" s="154">
        <f>SUM(H28,H86,H121,H137,H148,H163)</f>
        <v>25808.989999999998</v>
      </c>
      <c r="I164" s="154">
        <f>SUM(I28,I86,I121,I137,I148,I163)</f>
        <v>265.53000000000003</v>
      </c>
      <c r="J164" s="155">
        <f t="array" ref="J164">IF(ISERROR(G164/I164),"",G164/I164)</f>
        <v>19.282190336308513</v>
      </c>
      <c r="K164" s="154">
        <f>SUM(K28,K86,K121,K137,K148,K163)</f>
        <v>304.61639768670892</v>
      </c>
      <c r="L164" s="155">
        <f>IF(ISERROR(G164/K164),"",G164/K164)</f>
        <v>16.808024908973561</v>
      </c>
      <c r="M164" s="154">
        <f t="shared" ref="M164:AA164" si="79">SUM(M28,M86,M121,M137,M148,M163)</f>
        <v>-39.086397686708871</v>
      </c>
      <c r="N164" s="154">
        <f t="shared" si="79"/>
        <v>0</v>
      </c>
      <c r="O164" s="154">
        <f t="shared" si="79"/>
        <v>0</v>
      </c>
      <c r="P164" s="154">
        <f t="shared" si="79"/>
        <v>0</v>
      </c>
      <c r="Q164" s="154">
        <f t="shared" si="79"/>
        <v>0</v>
      </c>
      <c r="R164" s="154">
        <f t="shared" si="79"/>
        <v>0</v>
      </c>
      <c r="S164" s="154">
        <f t="shared" si="79"/>
        <v>0</v>
      </c>
      <c r="T164" s="154">
        <f t="shared" si="79"/>
        <v>0</v>
      </c>
      <c r="U164" s="154">
        <f t="shared" si="79"/>
        <v>0</v>
      </c>
      <c r="V164" s="154">
        <f t="shared" si="79"/>
        <v>0</v>
      </c>
      <c r="W164" s="154">
        <f t="shared" si="79"/>
        <v>0</v>
      </c>
      <c r="X164" s="154">
        <f t="shared" si="79"/>
        <v>0</v>
      </c>
      <c r="Y164" s="154">
        <f t="shared" si="79"/>
        <v>0</v>
      </c>
      <c r="Z164" s="154">
        <f t="shared" si="79"/>
        <v>0</v>
      </c>
      <c r="AA164" s="154">
        <f t="shared" si="79"/>
        <v>0</v>
      </c>
    </row>
    <row r="165" spans="1:27" ht="20.100000000000001" customHeight="1">
      <c r="A165" s="623" t="s">
        <v>476</v>
      </c>
      <c r="B165" s="586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586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586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586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586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586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586">
        <f>G164</f>
        <v>5120</v>
      </c>
      <c r="C171" s="638" t="s">
        <v>269</v>
      </c>
      <c r="D171" s="639"/>
      <c r="E171" s="631">
        <f>H164</f>
        <v>25808.989999999998</v>
      </c>
      <c r="F171" s="631"/>
      <c r="G171" s="631" t="s">
        <v>270</v>
      </c>
      <c r="H171" s="631"/>
      <c r="I171" s="640">
        <f>L164</f>
        <v>16.808024908973561</v>
      </c>
      <c r="J171" s="640"/>
      <c r="K171" s="628" t="s">
        <v>271</v>
      </c>
      <c r="L171" s="628"/>
      <c r="M171" s="640">
        <f>J164</f>
        <v>19.282190336308513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586">
        <f>I164+C170</f>
        <v>269.53000000000003</v>
      </c>
      <c r="C172" s="641" t="s">
        <v>251</v>
      </c>
      <c r="D172" s="642"/>
      <c r="E172" s="643">
        <f>K164+I170</f>
        <v>345.61639768670892</v>
      </c>
      <c r="F172" s="643"/>
      <c r="G172" s="631" t="s">
        <v>274</v>
      </c>
      <c r="H172" s="631"/>
      <c r="I172" s="640">
        <f>B172-E172</f>
        <v>-76.086397686708892</v>
      </c>
      <c r="J172" s="640"/>
      <c r="K172" s="628" t="s">
        <v>275</v>
      </c>
      <c r="L172" s="628"/>
      <c r="M172" s="632">
        <f>IF(ISERROR(I172/E172),"",I172/E172)</f>
        <v>-0.22014695539902876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586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555</v>
      </c>
      <c r="H177" s="590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583" t="s">
        <v>178</v>
      </c>
      <c r="C178" s="126" t="s">
        <v>179</v>
      </c>
      <c r="D178" s="108">
        <v>5.03</v>
      </c>
      <c r="E178" s="108"/>
      <c r="F178" s="127"/>
      <c r="G178" s="128"/>
      <c r="H178" s="584">
        <f t="shared" ref="H178:H187" si="80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81">IF(ISERROR(I178-K178),"",I178-K178)</f>
        <v>0</v>
      </c>
      <c r="N178" s="130">
        <f>SUM(O178:U178)</f>
        <v>0</v>
      </c>
      <c r="O178" s="592"/>
      <c r="P178" s="592"/>
      <c r="Q178" s="592"/>
      <c r="R178" s="592"/>
      <c r="S178" s="592"/>
      <c r="T178" s="592"/>
      <c r="U178" s="592"/>
      <c r="V178" s="132">
        <f t="shared" ref="V178:V183" si="82">SUM(X178:AA178)</f>
        <v>0</v>
      </c>
      <c r="W178" s="133" t="str">
        <f t="shared" ref="W178:W183" si="83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584">
        <f t="shared" si="80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1"/>
        <v>0</v>
      </c>
      <c r="N179" s="130">
        <f t="shared" ref="N179:N187" si="84">SUM(O179:U179)</f>
        <v>0</v>
      </c>
      <c r="O179" s="592"/>
      <c r="P179" s="592"/>
      <c r="Q179" s="592"/>
      <c r="R179" s="592"/>
      <c r="S179" s="592"/>
      <c r="T179" s="592"/>
      <c r="U179" s="592"/>
      <c r="V179" s="132">
        <f t="shared" si="82"/>
        <v>0</v>
      </c>
      <c r="W179" s="133" t="str">
        <f t="shared" si="83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584">
        <f t="shared" si="80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1"/>
        <v>0</v>
      </c>
      <c r="N180" s="130">
        <f t="shared" si="84"/>
        <v>0</v>
      </c>
      <c r="O180" s="592"/>
      <c r="P180" s="592"/>
      <c r="Q180" s="592"/>
      <c r="R180" s="592"/>
      <c r="S180" s="592"/>
      <c r="T180" s="592"/>
      <c r="U180" s="592"/>
      <c r="V180" s="132">
        <f t="shared" si="82"/>
        <v>0</v>
      </c>
      <c r="W180" s="133" t="str">
        <f t="shared" si="83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584">
        <f t="shared" si="80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81"/>
        <v>0</v>
      </c>
      <c r="N181" s="130">
        <f t="shared" si="84"/>
        <v>0</v>
      </c>
      <c r="O181" s="592"/>
      <c r="P181" s="592"/>
      <c r="Q181" s="592"/>
      <c r="R181" s="592"/>
      <c r="S181" s="592"/>
      <c r="T181" s="592"/>
      <c r="U181" s="592"/>
      <c r="V181" s="132">
        <f t="shared" si="82"/>
        <v>0</v>
      </c>
      <c r="W181" s="133" t="str">
        <f t="shared" si="83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584">
        <f t="shared" si="80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81"/>
        <v>0</v>
      </c>
      <c r="N182" s="130">
        <f t="shared" si="84"/>
        <v>0</v>
      </c>
      <c r="O182" s="592"/>
      <c r="P182" s="592"/>
      <c r="Q182" s="592"/>
      <c r="R182" s="592"/>
      <c r="S182" s="592"/>
      <c r="T182" s="592"/>
      <c r="U182" s="592"/>
      <c r="V182" s="132">
        <f t="shared" si="82"/>
        <v>0</v>
      </c>
      <c r="W182" s="133" t="str">
        <f t="shared" si="83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584">
        <f t="shared" si="80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81"/>
        <v>0</v>
      </c>
      <c r="N183" s="130">
        <f t="shared" si="84"/>
        <v>0</v>
      </c>
      <c r="O183" s="592"/>
      <c r="P183" s="592"/>
      <c r="Q183" s="592"/>
      <c r="R183" s="592"/>
      <c r="S183" s="592"/>
      <c r="T183" s="592"/>
      <c r="U183" s="592"/>
      <c r="V183" s="132">
        <f t="shared" si="82"/>
        <v>0</v>
      </c>
      <c r="W183" s="133" t="str">
        <f t="shared" si="83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584">
        <f t="shared" si="80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1"/>
        <v>0</v>
      </c>
      <c r="N184" s="130">
        <f t="shared" si="84"/>
        <v>0</v>
      </c>
      <c r="O184" s="592"/>
      <c r="P184" s="592"/>
      <c r="Q184" s="592"/>
      <c r="R184" s="592"/>
      <c r="S184" s="592"/>
      <c r="T184" s="592"/>
      <c r="U184" s="59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584">
        <f t="shared" si="80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81"/>
        <v>0</v>
      </c>
      <c r="N185" s="130">
        <f t="shared" si="84"/>
        <v>0</v>
      </c>
      <c r="O185" s="592"/>
      <c r="P185" s="592"/>
      <c r="Q185" s="592"/>
      <c r="R185" s="592"/>
      <c r="S185" s="592"/>
      <c r="T185" s="592"/>
      <c r="U185" s="592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42751</v>
      </c>
      <c r="G186" s="128">
        <f>100*7+102+81</f>
        <v>883</v>
      </c>
      <c r="H186" s="584">
        <f t="shared" si="80"/>
        <v>4450.32</v>
      </c>
      <c r="I186" s="584">
        <f>11.5*5</f>
        <v>57.5</v>
      </c>
      <c r="J186" s="130">
        <f t="array" ref="J186">IF(ISERROR(G186/I186),"",G186/I186)</f>
        <v>15.356521739130434</v>
      </c>
      <c r="K186" s="131">
        <f t="array" ref="K186">IF(ISERROR(G186/L186),"",G186/L186)</f>
        <v>51.941176470588232</v>
      </c>
      <c r="L186" s="129">
        <v>17</v>
      </c>
      <c r="M186" s="109">
        <f t="shared" si="81"/>
        <v>5.558823529411768</v>
      </c>
      <c r="N186" s="130">
        <f t="shared" si="84"/>
        <v>0</v>
      </c>
      <c r="O186" s="592"/>
      <c r="P186" s="592"/>
      <c r="Q186" s="592"/>
      <c r="R186" s="592"/>
      <c r="S186" s="592"/>
      <c r="T186" s="592"/>
      <c r="U186" s="592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584">
        <f t="shared" si="80"/>
        <v>0</v>
      </c>
      <c r="I187" s="584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81"/>
        <v>0</v>
      </c>
      <c r="N187" s="130">
        <f t="shared" si="84"/>
        <v>0</v>
      </c>
      <c r="O187" s="592"/>
      <c r="P187" s="592"/>
      <c r="Q187" s="592"/>
      <c r="R187" s="592"/>
      <c r="S187" s="592"/>
      <c r="T187" s="592"/>
      <c r="U187" s="592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58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592"/>
      <c r="P188" s="592"/>
      <c r="Q188" s="592"/>
      <c r="R188" s="592"/>
      <c r="S188" s="592"/>
      <c r="T188" s="592"/>
      <c r="U188" s="59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58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592"/>
      <c r="P189" s="592"/>
      <c r="Q189" s="592"/>
      <c r="R189" s="592"/>
      <c r="S189" s="592"/>
      <c r="T189" s="592"/>
      <c r="U189" s="59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42751</v>
      </c>
      <c r="G190" s="128">
        <f>90*3+67+90</f>
        <v>427</v>
      </c>
      <c r="H190" s="584">
        <f t="shared" ref="H190:H198" si="85">D190*G190</f>
        <v>2160.62</v>
      </c>
      <c r="I190" s="129">
        <f>11.5*5</f>
        <v>57.5</v>
      </c>
      <c r="J190" s="130">
        <f t="array" ref="J190">IF(ISERROR(G190/I190),"",G190/I190)</f>
        <v>7.4260869565217389</v>
      </c>
      <c r="K190" s="131">
        <f t="array" ref="K190">IF(ISERROR(G190/L190),"",G190/L190)</f>
        <v>22.473684210526315</v>
      </c>
      <c r="L190" s="129">
        <v>19</v>
      </c>
      <c r="M190" s="109">
        <f t="shared" ref="M190:M198" si="86">IF(ISERROR(I190-K190),"",I190-K190)</f>
        <v>35.026315789473685</v>
      </c>
      <c r="N190" s="130">
        <f t="shared" ref="N190:N192" si="87">SUM(O190:U190)</f>
        <v>0</v>
      </c>
      <c r="O190" s="592"/>
      <c r="P190" s="592"/>
      <c r="Q190" s="592"/>
      <c r="R190" s="592"/>
      <c r="S190" s="592"/>
      <c r="T190" s="592"/>
      <c r="U190" s="592"/>
      <c r="V190" s="132">
        <f t="shared" ref="V190:V192" si="88">SUM(X190:AA190)</f>
        <v>0</v>
      </c>
      <c r="W190" s="133">
        <f t="shared" ref="W190:W192" si="89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584">
        <f t="shared" si="85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6"/>
        <v>0</v>
      </c>
      <c r="N191" s="130">
        <f t="shared" si="87"/>
        <v>0</v>
      </c>
      <c r="O191" s="592"/>
      <c r="P191" s="592"/>
      <c r="Q191" s="592"/>
      <c r="R191" s="592"/>
      <c r="S191" s="592"/>
      <c r="T191" s="592"/>
      <c r="U191" s="592"/>
      <c r="V191" s="132">
        <f t="shared" si="88"/>
        <v>0</v>
      </c>
      <c r="W191" s="133" t="str">
        <f t="shared" si="89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584">
        <f t="shared" si="85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6"/>
        <v>0</v>
      </c>
      <c r="N192" s="130">
        <f t="shared" si="87"/>
        <v>0</v>
      </c>
      <c r="O192" s="592"/>
      <c r="P192" s="592"/>
      <c r="Q192" s="592"/>
      <c r="R192" s="592"/>
      <c r="S192" s="592"/>
      <c r="T192" s="592"/>
      <c r="U192" s="592"/>
      <c r="V192" s="132">
        <f t="shared" si="88"/>
        <v>0</v>
      </c>
      <c r="W192" s="133" t="str">
        <f t="shared" si="89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590" t="s">
        <v>190</v>
      </c>
      <c r="D193" s="108">
        <v>4.8</v>
      </c>
      <c r="E193" s="108"/>
      <c r="F193" s="127"/>
      <c r="G193" s="128"/>
      <c r="H193" s="584">
        <f t="shared" si="85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6"/>
        <v>0</v>
      </c>
      <c r="N193" s="130"/>
      <c r="O193" s="592"/>
      <c r="P193" s="592"/>
      <c r="Q193" s="592"/>
      <c r="R193" s="592"/>
      <c r="S193" s="592"/>
      <c r="T193" s="592"/>
      <c r="U193" s="59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590" t="s">
        <v>187</v>
      </c>
      <c r="D194" s="108">
        <v>4.8</v>
      </c>
      <c r="E194" s="108"/>
      <c r="F194" s="127"/>
      <c r="G194" s="128"/>
      <c r="H194" s="584">
        <f t="shared" si="85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6"/>
        <v>0</v>
      </c>
      <c r="N194" s="130"/>
      <c r="O194" s="592"/>
      <c r="P194" s="592"/>
      <c r="Q194" s="592"/>
      <c r="R194" s="592"/>
      <c r="S194" s="592"/>
      <c r="T194" s="592"/>
      <c r="U194" s="59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590" t="s">
        <v>179</v>
      </c>
      <c r="D195" s="108">
        <v>4.8</v>
      </c>
      <c r="E195" s="108"/>
      <c r="F195" s="127"/>
      <c r="G195" s="128"/>
      <c r="H195" s="584">
        <f t="shared" si="85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6"/>
        <v>0</v>
      </c>
      <c r="N195" s="130"/>
      <c r="O195" s="592"/>
      <c r="P195" s="592"/>
      <c r="Q195" s="592"/>
      <c r="R195" s="592"/>
      <c r="S195" s="592"/>
      <c r="T195" s="592"/>
      <c r="U195" s="59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590" t="s">
        <v>199</v>
      </c>
      <c r="D196" s="108">
        <v>4.8</v>
      </c>
      <c r="E196" s="108"/>
      <c r="F196" s="127"/>
      <c r="G196" s="128"/>
      <c r="H196" s="584">
        <f t="shared" si="85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6"/>
        <v>0</v>
      </c>
      <c r="N196" s="130"/>
      <c r="O196" s="592"/>
      <c r="P196" s="592"/>
      <c r="Q196" s="592"/>
      <c r="R196" s="592"/>
      <c r="S196" s="592"/>
      <c r="T196" s="592"/>
      <c r="U196" s="59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584">
        <f t="shared" si="85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6"/>
        <v>0</v>
      </c>
      <c r="N197" s="130">
        <f t="shared" ref="N197:N198" si="90">SUM(O197:U197)</f>
        <v>0</v>
      </c>
      <c r="O197" s="592"/>
      <c r="P197" s="592"/>
      <c r="Q197" s="592"/>
      <c r="R197" s="592"/>
      <c r="S197" s="592"/>
      <c r="T197" s="592"/>
      <c r="U197" s="592"/>
      <c r="V197" s="132">
        <f t="shared" ref="V197:V198" si="91">SUM(X197:AA197)</f>
        <v>0</v>
      </c>
      <c r="W197" s="133" t="str">
        <f t="shared" ref="W197:W198" si="92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584">
        <f t="shared" si="85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6"/>
        <v>0</v>
      </c>
      <c r="N198" s="130">
        <f t="shared" si="90"/>
        <v>0</v>
      </c>
      <c r="O198" s="592"/>
      <c r="P198" s="592"/>
      <c r="Q198" s="592"/>
      <c r="R198" s="592"/>
      <c r="S198" s="592"/>
      <c r="T198" s="592"/>
      <c r="U198" s="592"/>
      <c r="V198" s="132">
        <f t="shared" si="91"/>
        <v>0</v>
      </c>
      <c r="W198" s="133" t="str">
        <f t="shared" si="92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593" t="s">
        <v>202</v>
      </c>
      <c r="D199" s="143"/>
      <c r="E199" s="143"/>
      <c r="F199" s="144"/>
      <c r="G199" s="145">
        <f>SUM(G178:G198)</f>
        <v>1310</v>
      </c>
      <c r="H199" s="146">
        <f>SUM(H178:H198)</f>
        <v>6610.94</v>
      </c>
      <c r="I199" s="146">
        <f>SUM(I178:I198)</f>
        <v>115</v>
      </c>
      <c r="J199" s="130">
        <f t="array" ref="J199">IF(ISERROR(G199/I199),"",G199/I199)</f>
        <v>11.391304347826088</v>
      </c>
      <c r="K199" s="146">
        <f>SUM(K178:K198)</f>
        <v>74.414860681114547</v>
      </c>
      <c r="L199" s="147"/>
      <c r="M199" s="150">
        <f t="shared" ref="M199:AA199" si="93">SUM(M178:M198)</f>
        <v>40.585139318885453</v>
      </c>
      <c r="N199" s="146">
        <f t="shared" si="93"/>
        <v>0</v>
      </c>
      <c r="O199" s="148">
        <f t="shared" si="93"/>
        <v>0</v>
      </c>
      <c r="P199" s="148">
        <f t="shared" si="93"/>
        <v>0</v>
      </c>
      <c r="Q199" s="148">
        <f t="shared" si="93"/>
        <v>0</v>
      </c>
      <c r="R199" s="148">
        <f t="shared" si="93"/>
        <v>0</v>
      </c>
      <c r="S199" s="148">
        <f t="shared" si="93"/>
        <v>0</v>
      </c>
      <c r="T199" s="148">
        <f t="shared" si="93"/>
        <v>0</v>
      </c>
      <c r="U199" s="148">
        <f t="shared" si="93"/>
        <v>0</v>
      </c>
      <c r="V199" s="149">
        <f t="shared" si="93"/>
        <v>0</v>
      </c>
      <c r="W199" s="133">
        <f t="shared" si="93"/>
        <v>0</v>
      </c>
      <c r="X199" s="149">
        <f t="shared" si="93"/>
        <v>0</v>
      </c>
      <c r="Y199" s="149">
        <f t="shared" si="93"/>
        <v>0</v>
      </c>
      <c r="Z199" s="149">
        <f t="shared" si="93"/>
        <v>0</v>
      </c>
      <c r="AA199" s="149">
        <f t="shared" si="93"/>
        <v>0</v>
      </c>
    </row>
    <row r="200" spans="1:27" ht="20.100000000000001" hidden="1" customHeight="1">
      <c r="A200" s="300">
        <v>30100012</v>
      </c>
      <c r="B200" s="583" t="s">
        <v>206</v>
      </c>
      <c r="C200" s="126" t="s">
        <v>199</v>
      </c>
      <c r="D200" s="108">
        <v>5.03</v>
      </c>
      <c r="E200" s="108"/>
      <c r="F200" s="127"/>
      <c r="G200" s="128"/>
      <c r="H200" s="584">
        <f t="shared" ref="H200:H256" si="94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5">IF(ISERROR(I200-K200),"",I200-K200)</f>
        <v>0</v>
      </c>
      <c r="N200" s="130">
        <f t="shared" ref="N200:N204" si="96">SUM(O200:U200)</f>
        <v>0</v>
      </c>
      <c r="O200" s="588"/>
      <c r="P200" s="588"/>
      <c r="Q200" s="588"/>
      <c r="R200" s="588"/>
      <c r="S200" s="588"/>
      <c r="T200" s="588"/>
      <c r="U200" s="588"/>
      <c r="V200" s="132">
        <f t="shared" ref="V200:V204" si="97">SUM(X200:AA200)</f>
        <v>0</v>
      </c>
      <c r="W200" s="133" t="str">
        <f t="shared" ref="W200:W204" si="98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583" t="s">
        <v>425</v>
      </c>
      <c r="C201" s="187" t="s">
        <v>427</v>
      </c>
      <c r="D201" s="108">
        <v>5.03</v>
      </c>
      <c r="E201" s="108"/>
      <c r="F201" s="127"/>
      <c r="G201" s="128"/>
      <c r="H201" s="584">
        <f t="shared" si="94"/>
        <v>0</v>
      </c>
      <c r="I201" s="129"/>
      <c r="J201" s="130"/>
      <c r="K201" s="131"/>
      <c r="L201" s="129">
        <v>52</v>
      </c>
      <c r="M201" s="109"/>
      <c r="N201" s="130"/>
      <c r="O201" s="588"/>
      <c r="P201" s="588"/>
      <c r="Q201" s="588"/>
      <c r="R201" s="588"/>
      <c r="S201" s="588"/>
      <c r="T201" s="588"/>
      <c r="U201" s="58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583" t="s">
        <v>206</v>
      </c>
      <c r="C202" s="126" t="s">
        <v>186</v>
      </c>
      <c r="D202" s="108">
        <v>5.03</v>
      </c>
      <c r="E202" s="108"/>
      <c r="F202" s="127"/>
      <c r="G202" s="128"/>
      <c r="H202" s="584">
        <f t="shared" si="94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:M206" si="99">IF(ISERROR(I202-K202),"",I202-K202)</f>
        <v>0</v>
      </c>
      <c r="N202" s="130">
        <f t="shared" ref="N202:N206" si="100">SUM(O202:U202)</f>
        <v>0</v>
      </c>
      <c r="O202" s="588"/>
      <c r="P202" s="588"/>
      <c r="Q202" s="588"/>
      <c r="R202" s="588"/>
      <c r="S202" s="588"/>
      <c r="T202" s="588"/>
      <c r="U202" s="588"/>
      <c r="V202" s="132">
        <f t="shared" ref="V202:V206" si="101">SUM(X202:AA202)</f>
        <v>0</v>
      </c>
      <c r="W202" s="133" t="str">
        <f t="shared" ref="W202:W206" si="102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583" t="s">
        <v>206</v>
      </c>
      <c r="C203" s="126" t="s">
        <v>203</v>
      </c>
      <c r="D203" s="108">
        <v>5.03</v>
      </c>
      <c r="E203" s="108"/>
      <c r="F203" s="127"/>
      <c r="G203" s="128"/>
      <c r="H203" s="584">
        <f t="shared" si="94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100"/>
        <v>0</v>
      </c>
      <c r="O203" s="588"/>
      <c r="P203" s="588"/>
      <c r="Q203" s="588"/>
      <c r="R203" s="588"/>
      <c r="S203" s="588"/>
      <c r="T203" s="588"/>
      <c r="U203" s="588"/>
      <c r="V203" s="132">
        <f t="shared" si="101"/>
        <v>0</v>
      </c>
      <c r="W203" s="133" t="str">
        <f t="shared" si="102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583" t="s">
        <v>206</v>
      </c>
      <c r="C204" s="126" t="s">
        <v>207</v>
      </c>
      <c r="D204" s="108">
        <v>5.03</v>
      </c>
      <c r="E204" s="108"/>
      <c r="F204" s="127"/>
      <c r="G204" s="128"/>
      <c r="H204" s="584">
        <f t="shared" si="94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:M208" si="103">IF(ISERROR(I204-K204),"",I204-K204)</f>
        <v>0</v>
      </c>
      <c r="N204" s="130">
        <f t="shared" si="100"/>
        <v>0</v>
      </c>
      <c r="O204" s="588"/>
      <c r="P204" s="588"/>
      <c r="Q204" s="588"/>
      <c r="R204" s="588"/>
      <c r="S204" s="588"/>
      <c r="T204" s="588"/>
      <c r="U204" s="588"/>
      <c r="V204" s="132">
        <f t="shared" si="101"/>
        <v>0</v>
      </c>
      <c r="W204" s="133" t="str">
        <f t="shared" si="102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583" t="s">
        <v>414</v>
      </c>
      <c r="C205" s="187" t="s">
        <v>415</v>
      </c>
      <c r="D205" s="108">
        <v>5.03</v>
      </c>
      <c r="E205" s="108"/>
      <c r="F205" s="127"/>
      <c r="G205" s="128"/>
      <c r="H205" s="584">
        <f t="shared" si="94"/>
        <v>0</v>
      </c>
      <c r="I205" s="129"/>
      <c r="J205" s="130"/>
      <c r="K205" s="131"/>
      <c r="L205" s="129">
        <v>52</v>
      </c>
      <c r="M205" s="109"/>
      <c r="N205" s="130"/>
      <c r="O205" s="588"/>
      <c r="P205" s="588"/>
      <c r="Q205" s="588"/>
      <c r="R205" s="588"/>
      <c r="S205" s="588"/>
      <c r="T205" s="588"/>
      <c r="U205" s="58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583" t="s">
        <v>414</v>
      </c>
      <c r="C206" s="187" t="s">
        <v>416</v>
      </c>
      <c r="D206" s="108">
        <v>5.03</v>
      </c>
      <c r="E206" s="108"/>
      <c r="F206" s="127"/>
      <c r="G206" s="128"/>
      <c r="H206" s="584">
        <f t="shared" si="94"/>
        <v>0</v>
      </c>
      <c r="I206" s="129"/>
      <c r="J206" s="130"/>
      <c r="K206" s="131"/>
      <c r="L206" s="129">
        <v>52</v>
      </c>
      <c r="M206" s="109"/>
      <c r="N206" s="130"/>
      <c r="O206" s="588"/>
      <c r="P206" s="588"/>
      <c r="Q206" s="588"/>
      <c r="R206" s="588"/>
      <c r="S206" s="588"/>
      <c r="T206" s="588"/>
      <c r="U206" s="58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583" t="s">
        <v>414</v>
      </c>
      <c r="C207" s="187" t="s">
        <v>61</v>
      </c>
      <c r="D207" s="108">
        <v>5.03</v>
      </c>
      <c r="E207" s="108"/>
      <c r="F207" s="127"/>
      <c r="G207" s="128"/>
      <c r="H207" s="584">
        <f t="shared" si="94"/>
        <v>0</v>
      </c>
      <c r="I207" s="129"/>
      <c r="J207" s="130"/>
      <c r="K207" s="131"/>
      <c r="L207" s="129">
        <v>52</v>
      </c>
      <c r="M207" s="109"/>
      <c r="N207" s="130"/>
      <c r="O207" s="588"/>
      <c r="P207" s="588"/>
      <c r="Q207" s="588"/>
      <c r="R207" s="588"/>
      <c r="S207" s="588"/>
      <c r="T207" s="588"/>
      <c r="U207" s="58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583" t="s">
        <v>208</v>
      </c>
      <c r="C208" s="126" t="s">
        <v>179</v>
      </c>
      <c r="D208" s="108">
        <v>5.08</v>
      </c>
      <c r="E208" s="108"/>
      <c r="F208" s="127"/>
      <c r="G208" s="128"/>
      <c r="H208" s="584">
        <f t="shared" si="94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4">IF(ISERROR(I208-K208),"",I208-K208)</f>
        <v>0</v>
      </c>
      <c r="N208" s="130">
        <f t="shared" ref="N208:N237" si="105">SUM(O208:U208)</f>
        <v>0</v>
      </c>
      <c r="O208" s="588"/>
      <c r="P208" s="588"/>
      <c r="Q208" s="588"/>
      <c r="R208" s="588"/>
      <c r="S208" s="588"/>
      <c r="T208" s="588"/>
      <c r="U208" s="588"/>
      <c r="V208" s="132">
        <f t="shared" ref="V208:V219" si="106">SUM(X208:AA208)</f>
        <v>0</v>
      </c>
      <c r="W208" s="133" t="str">
        <f t="shared" ref="W208:W219" si="107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583" t="s">
        <v>208</v>
      </c>
      <c r="C209" s="126" t="s">
        <v>204</v>
      </c>
      <c r="D209" s="108">
        <v>5.08</v>
      </c>
      <c r="E209" s="108"/>
      <c r="F209" s="127"/>
      <c r="G209" s="128"/>
      <c r="H209" s="584">
        <f t="shared" si="94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4"/>
        <v>0</v>
      </c>
      <c r="N209" s="130">
        <f t="shared" si="105"/>
        <v>0</v>
      </c>
      <c r="O209" s="588"/>
      <c r="P209" s="588"/>
      <c r="Q209" s="588"/>
      <c r="R209" s="588"/>
      <c r="S209" s="588"/>
      <c r="T209" s="588"/>
      <c r="U209" s="588"/>
      <c r="V209" s="132">
        <f t="shared" si="106"/>
        <v>0</v>
      </c>
      <c r="W209" s="133" t="str">
        <f t="shared" si="107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583" t="s">
        <v>208</v>
      </c>
      <c r="C210" s="126" t="s">
        <v>205</v>
      </c>
      <c r="D210" s="108">
        <v>5.08</v>
      </c>
      <c r="E210" s="108"/>
      <c r="F210" s="127"/>
      <c r="G210" s="128"/>
      <c r="H210" s="584">
        <f t="shared" si="94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4"/>
        <v>0</v>
      </c>
      <c r="N210" s="130">
        <f t="shared" si="105"/>
        <v>0</v>
      </c>
      <c r="O210" s="588"/>
      <c r="P210" s="588"/>
      <c r="Q210" s="588"/>
      <c r="R210" s="588"/>
      <c r="S210" s="588"/>
      <c r="T210" s="588"/>
      <c r="U210" s="588"/>
      <c r="V210" s="132">
        <f t="shared" si="106"/>
        <v>0</v>
      </c>
      <c r="W210" s="133" t="str">
        <f t="shared" si="107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583" t="s">
        <v>208</v>
      </c>
      <c r="C211" s="126" t="s">
        <v>186</v>
      </c>
      <c r="D211" s="108">
        <v>5.08</v>
      </c>
      <c r="E211" s="108"/>
      <c r="F211" s="127">
        <v>42745</v>
      </c>
      <c r="G211" s="527">
        <v>108</v>
      </c>
      <c r="H211" s="584">
        <f t="shared" si="94"/>
        <v>548.64</v>
      </c>
      <c r="I211" s="129">
        <v>5</v>
      </c>
      <c r="J211" s="130">
        <f t="array" ref="J211">IF(ISERROR(G211/I211),"",G211/I211)</f>
        <v>21.6</v>
      </c>
      <c r="K211" s="131">
        <f t="array" ref="K211">IF(ISERROR(G211/L211),"",G211/L211)</f>
        <v>5.1428571428571432</v>
      </c>
      <c r="L211" s="129">
        <v>21</v>
      </c>
      <c r="M211" s="109">
        <f t="shared" si="104"/>
        <v>-0.14285714285714324</v>
      </c>
      <c r="N211" s="130">
        <f t="shared" si="105"/>
        <v>0</v>
      </c>
      <c r="O211" s="588"/>
      <c r="P211" s="588"/>
      <c r="Q211" s="588"/>
      <c r="R211" s="588"/>
      <c r="S211" s="588"/>
      <c r="T211" s="588"/>
      <c r="U211" s="588"/>
      <c r="V211" s="132">
        <f t="shared" si="106"/>
        <v>0</v>
      </c>
      <c r="W211" s="133">
        <f t="shared" si="107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583" t="s">
        <v>208</v>
      </c>
      <c r="C212" s="126" t="s">
        <v>203</v>
      </c>
      <c r="D212" s="108">
        <v>5.08</v>
      </c>
      <c r="E212" s="108"/>
      <c r="F212" s="127"/>
      <c r="G212" s="128"/>
      <c r="H212" s="584">
        <f t="shared" si="94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4"/>
        <v>0</v>
      </c>
      <c r="N212" s="130">
        <f t="shared" si="105"/>
        <v>0</v>
      </c>
      <c r="O212" s="588"/>
      <c r="P212" s="588"/>
      <c r="Q212" s="588"/>
      <c r="R212" s="588"/>
      <c r="S212" s="588"/>
      <c r="T212" s="588"/>
      <c r="U212" s="588"/>
      <c r="V212" s="132">
        <f t="shared" si="106"/>
        <v>0</v>
      </c>
      <c r="W212" s="133" t="str">
        <f t="shared" si="107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583" t="s">
        <v>208</v>
      </c>
      <c r="C213" s="126" t="s">
        <v>199</v>
      </c>
      <c r="D213" s="108">
        <v>5.08</v>
      </c>
      <c r="E213" s="108"/>
      <c r="F213" s="127"/>
      <c r="G213" s="128"/>
      <c r="H213" s="584">
        <f t="shared" si="94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4"/>
        <v>0</v>
      </c>
      <c r="N213" s="130">
        <f t="shared" si="105"/>
        <v>0</v>
      </c>
      <c r="O213" s="592"/>
      <c r="P213" s="592"/>
      <c r="Q213" s="592"/>
      <c r="R213" s="592"/>
      <c r="S213" s="592"/>
      <c r="T213" s="592"/>
      <c r="U213" s="592"/>
      <c r="V213" s="132">
        <f t="shared" si="106"/>
        <v>0</v>
      </c>
      <c r="W213" s="133" t="str">
        <f t="shared" si="107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583" t="s">
        <v>208</v>
      </c>
      <c r="C214" s="126" t="s">
        <v>187</v>
      </c>
      <c r="D214" s="108">
        <v>5.08</v>
      </c>
      <c r="E214" s="108"/>
      <c r="F214" s="127"/>
      <c r="G214" s="128"/>
      <c r="H214" s="584">
        <f t="shared" si="94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4"/>
        <v>0</v>
      </c>
      <c r="N214" s="130">
        <f t="shared" si="105"/>
        <v>0</v>
      </c>
      <c r="O214" s="588"/>
      <c r="P214" s="588"/>
      <c r="Q214" s="588"/>
      <c r="R214" s="588"/>
      <c r="S214" s="588"/>
      <c r="T214" s="588"/>
      <c r="U214" s="588"/>
      <c r="V214" s="132">
        <f t="shared" si="106"/>
        <v>0</v>
      </c>
      <c r="W214" s="133" t="str">
        <f t="shared" si="107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583" t="s">
        <v>208</v>
      </c>
      <c r="C215" s="126" t="s">
        <v>207</v>
      </c>
      <c r="D215" s="108">
        <v>5.08</v>
      </c>
      <c r="E215" s="108"/>
      <c r="F215" s="127"/>
      <c r="G215" s="128"/>
      <c r="H215" s="584">
        <f t="shared" si="94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4"/>
        <v>0</v>
      </c>
      <c r="N215" s="130">
        <f t="shared" si="105"/>
        <v>0</v>
      </c>
      <c r="O215" s="592"/>
      <c r="P215" s="592"/>
      <c r="Q215" s="592"/>
      <c r="R215" s="592"/>
      <c r="S215" s="592"/>
      <c r="T215" s="592"/>
      <c r="U215" s="592"/>
      <c r="V215" s="132">
        <f t="shared" si="106"/>
        <v>0</v>
      </c>
      <c r="W215" s="133" t="str">
        <f t="shared" si="107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583" t="s">
        <v>209</v>
      </c>
      <c r="C216" s="126" t="s">
        <v>194</v>
      </c>
      <c r="D216" s="108">
        <v>5.03</v>
      </c>
      <c r="E216" s="108"/>
      <c r="F216" s="127"/>
      <c r="G216" s="128"/>
      <c r="H216" s="584">
        <f t="shared" si="94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4"/>
        <v>0</v>
      </c>
      <c r="N216" s="130">
        <f t="shared" si="105"/>
        <v>0</v>
      </c>
      <c r="O216" s="588"/>
      <c r="P216" s="588"/>
      <c r="Q216" s="588"/>
      <c r="R216" s="588"/>
      <c r="S216" s="588"/>
      <c r="T216" s="588"/>
      <c r="U216" s="588"/>
      <c r="V216" s="132">
        <f t="shared" si="106"/>
        <v>0</v>
      </c>
      <c r="W216" s="133" t="str">
        <f t="shared" si="107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583" t="s">
        <v>209</v>
      </c>
      <c r="C217" s="126" t="s">
        <v>179</v>
      </c>
      <c r="D217" s="108">
        <v>5.03</v>
      </c>
      <c r="E217" s="108"/>
      <c r="F217" s="127"/>
      <c r="G217" s="128"/>
      <c r="H217" s="584">
        <f t="shared" si="94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4"/>
        <v>0</v>
      </c>
      <c r="N217" s="130">
        <f t="shared" si="105"/>
        <v>0</v>
      </c>
      <c r="O217" s="588"/>
      <c r="P217" s="588"/>
      <c r="Q217" s="588"/>
      <c r="R217" s="588"/>
      <c r="S217" s="588"/>
      <c r="T217" s="588"/>
      <c r="U217" s="588"/>
      <c r="V217" s="132">
        <f t="shared" si="106"/>
        <v>0</v>
      </c>
      <c r="W217" s="133" t="str">
        <f t="shared" si="107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583" t="s">
        <v>209</v>
      </c>
      <c r="C218" s="126" t="s">
        <v>195</v>
      </c>
      <c r="D218" s="108">
        <v>5.03</v>
      </c>
      <c r="E218" s="108"/>
      <c r="F218" s="127"/>
      <c r="G218" s="128"/>
      <c r="H218" s="584">
        <f t="shared" si="94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4"/>
        <v>0</v>
      </c>
      <c r="N218" s="130">
        <f t="shared" si="105"/>
        <v>0</v>
      </c>
      <c r="O218" s="588"/>
      <c r="P218" s="588"/>
      <c r="Q218" s="588"/>
      <c r="R218" s="588"/>
      <c r="S218" s="588"/>
      <c r="T218" s="588"/>
      <c r="U218" s="588"/>
      <c r="V218" s="132">
        <f t="shared" si="106"/>
        <v>0</v>
      </c>
      <c r="W218" s="133" t="str">
        <f t="shared" si="107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583" t="s">
        <v>209</v>
      </c>
      <c r="C219" s="126" t="s">
        <v>204</v>
      </c>
      <c r="D219" s="108">
        <v>5.03</v>
      </c>
      <c r="E219" s="108"/>
      <c r="F219" s="127"/>
      <c r="G219" s="128"/>
      <c r="H219" s="584">
        <f t="shared" si="94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4"/>
        <v>0</v>
      </c>
      <c r="N219" s="130">
        <f t="shared" si="105"/>
        <v>0</v>
      </c>
      <c r="O219" s="588"/>
      <c r="P219" s="588"/>
      <c r="Q219" s="588"/>
      <c r="R219" s="588"/>
      <c r="S219" s="588"/>
      <c r="T219" s="588"/>
      <c r="U219" s="588"/>
      <c r="V219" s="132">
        <f t="shared" si="106"/>
        <v>0</v>
      </c>
      <c r="W219" s="133" t="str">
        <f t="shared" si="107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583" t="s">
        <v>382</v>
      </c>
      <c r="C220" s="187" t="s">
        <v>383</v>
      </c>
      <c r="D220" s="108">
        <v>5.03</v>
      </c>
      <c r="E220" s="108"/>
      <c r="F220" s="127"/>
      <c r="G220" s="128"/>
      <c r="H220" s="584">
        <f t="shared" si="94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4"/>
        <v>0</v>
      </c>
      <c r="N220" s="130">
        <f t="shared" si="105"/>
        <v>0</v>
      </c>
      <c r="O220" s="588"/>
      <c r="P220" s="588"/>
      <c r="Q220" s="588"/>
      <c r="R220" s="588"/>
      <c r="S220" s="588"/>
      <c r="T220" s="588"/>
      <c r="U220" s="588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583" t="s">
        <v>382</v>
      </c>
      <c r="C221" s="187" t="s">
        <v>384</v>
      </c>
      <c r="D221" s="108">
        <v>5.03</v>
      </c>
      <c r="E221" s="108"/>
      <c r="F221" s="127">
        <v>42750</v>
      </c>
      <c r="G221" s="128">
        <f>16+74</f>
        <v>90</v>
      </c>
      <c r="H221" s="584">
        <f t="shared" si="94"/>
        <v>452.70000000000005</v>
      </c>
      <c r="I221" s="129">
        <v>1.5</v>
      </c>
      <c r="J221" s="130">
        <f t="array" ref="J221">IF(ISERROR(G221/I221),"",G221/I221)</f>
        <v>60</v>
      </c>
      <c r="K221" s="131">
        <f t="array" ref="K221">IF(ISERROR(G221/L221),"",G221/L221)</f>
        <v>1.6666666666666667</v>
      </c>
      <c r="L221" s="129">
        <v>54</v>
      </c>
      <c r="M221" s="109">
        <f t="shared" si="104"/>
        <v>-0.16666666666666674</v>
      </c>
      <c r="N221" s="130">
        <f t="shared" si="105"/>
        <v>0</v>
      </c>
      <c r="O221" s="588"/>
      <c r="P221" s="588"/>
      <c r="Q221" s="588"/>
      <c r="R221" s="588"/>
      <c r="S221" s="588"/>
      <c r="T221" s="588"/>
      <c r="U221" s="58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583" t="s">
        <v>382</v>
      </c>
      <c r="C222" s="187" t="s">
        <v>389</v>
      </c>
      <c r="D222" s="108">
        <v>5.03</v>
      </c>
      <c r="E222" s="108"/>
      <c r="F222" s="127"/>
      <c r="G222" s="128"/>
      <c r="H222" s="584">
        <f t="shared" si="94"/>
        <v>0</v>
      </c>
      <c r="I222" s="129"/>
      <c r="J222" s="130" t="str">
        <f t="array" ref="J222">IF(ISERROR(G222/I222),"",G222/I222)</f>
        <v/>
      </c>
      <c r="K222" s="131">
        <f t="array" ref="K222">IF(ISERROR(G222/L222),"",G222/L222)</f>
        <v>0</v>
      </c>
      <c r="L222" s="129">
        <v>54</v>
      </c>
      <c r="M222" s="109">
        <f t="shared" si="104"/>
        <v>0</v>
      </c>
      <c r="N222" s="130">
        <f t="shared" si="105"/>
        <v>0</v>
      </c>
      <c r="O222" s="588"/>
      <c r="P222" s="588"/>
      <c r="Q222" s="588"/>
      <c r="R222" s="588"/>
      <c r="S222" s="588"/>
      <c r="T222" s="588"/>
      <c r="U222" s="588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583" t="s">
        <v>382</v>
      </c>
      <c r="C223" s="187" t="s">
        <v>391</v>
      </c>
      <c r="D223" s="108">
        <v>5.03</v>
      </c>
      <c r="E223" s="108"/>
      <c r="F223" s="127">
        <v>42750</v>
      </c>
      <c r="G223" s="128">
        <f>90*6+47</f>
        <v>587</v>
      </c>
      <c r="H223" s="584">
        <f t="shared" si="94"/>
        <v>2952.61</v>
      </c>
      <c r="I223" s="129">
        <v>11.5</v>
      </c>
      <c r="J223" s="130">
        <f t="array" ref="J223">IF(ISERROR(G223/I223),"",G223/I223)</f>
        <v>51.043478260869563</v>
      </c>
      <c r="K223" s="131">
        <f t="array" ref="K223">IF(ISERROR(G223/L223),"",G223/L223)</f>
        <v>10.87037037037037</v>
      </c>
      <c r="L223" s="129">
        <v>54</v>
      </c>
      <c r="M223" s="109">
        <f t="shared" si="104"/>
        <v>0.62962962962962976</v>
      </c>
      <c r="N223" s="130">
        <f t="shared" si="105"/>
        <v>0</v>
      </c>
      <c r="O223" s="588"/>
      <c r="P223" s="588"/>
      <c r="Q223" s="588"/>
      <c r="R223" s="588"/>
      <c r="S223" s="588"/>
      <c r="T223" s="588"/>
      <c r="U223" s="58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583" t="s">
        <v>418</v>
      </c>
      <c r="C224" s="187" t="s">
        <v>364</v>
      </c>
      <c r="D224" s="108">
        <v>5.03</v>
      </c>
      <c r="E224" s="108"/>
      <c r="F224" s="127"/>
      <c r="G224" s="128"/>
      <c r="H224" s="584">
        <f t="shared" si="94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4"/>
        <v>0</v>
      </c>
      <c r="N224" s="130">
        <f t="shared" si="105"/>
        <v>0</v>
      </c>
      <c r="O224" s="588"/>
      <c r="P224" s="588"/>
      <c r="Q224" s="588"/>
      <c r="R224" s="588"/>
      <c r="S224" s="588"/>
      <c r="T224" s="588"/>
      <c r="U224" s="58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583" t="s">
        <v>418</v>
      </c>
      <c r="C225" s="187" t="s">
        <v>365</v>
      </c>
      <c r="D225" s="108">
        <v>5.03</v>
      </c>
      <c r="E225" s="108"/>
      <c r="F225" s="127"/>
      <c r="G225" s="128"/>
      <c r="H225" s="584">
        <f t="shared" si="94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4"/>
        <v>0</v>
      </c>
      <c r="N225" s="130">
        <f t="shared" si="105"/>
        <v>0</v>
      </c>
      <c r="O225" s="588"/>
      <c r="P225" s="588"/>
      <c r="Q225" s="588"/>
      <c r="R225" s="588"/>
      <c r="S225" s="588"/>
      <c r="T225" s="588"/>
      <c r="U225" s="58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583" t="s">
        <v>418</v>
      </c>
      <c r="C226" s="187" t="s">
        <v>366</v>
      </c>
      <c r="D226" s="108">
        <v>5.03</v>
      </c>
      <c r="E226" s="108"/>
      <c r="F226" s="127"/>
      <c r="G226" s="128"/>
      <c r="H226" s="584">
        <f t="shared" si="94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4"/>
        <v>0</v>
      </c>
      <c r="N226" s="130">
        <f t="shared" si="105"/>
        <v>0</v>
      </c>
      <c r="O226" s="588"/>
      <c r="P226" s="588"/>
      <c r="Q226" s="588"/>
      <c r="R226" s="588"/>
      <c r="S226" s="588"/>
      <c r="T226" s="588"/>
      <c r="U226" s="58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583" t="s">
        <v>418</v>
      </c>
      <c r="C227" s="187" t="s">
        <v>367</v>
      </c>
      <c r="D227" s="108">
        <v>5.03</v>
      </c>
      <c r="E227" s="108"/>
      <c r="F227" s="127"/>
      <c r="G227" s="128"/>
      <c r="H227" s="584">
        <f t="shared" si="94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4"/>
        <v>0</v>
      </c>
      <c r="N227" s="130">
        <f t="shared" si="105"/>
        <v>0</v>
      </c>
      <c r="O227" s="588"/>
      <c r="P227" s="588"/>
      <c r="Q227" s="588"/>
      <c r="R227" s="588"/>
      <c r="S227" s="588"/>
      <c r="T227" s="588"/>
      <c r="U227" s="588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>
        <v>42751</v>
      </c>
      <c r="G228" s="128">
        <f>108*4+91</f>
        <v>523</v>
      </c>
      <c r="H228" s="584">
        <f t="shared" si="94"/>
        <v>2630.69</v>
      </c>
      <c r="I228" s="129">
        <v>9.5</v>
      </c>
      <c r="J228" s="130">
        <f t="array" ref="J228">IF(ISERROR(G228/I228),"",G228/I228)</f>
        <v>55.05263157894737</v>
      </c>
      <c r="K228" s="131">
        <f t="array" ref="K228">IF(ISERROR(G228/L228),"",G228/L228)</f>
        <v>13.074999999999999</v>
      </c>
      <c r="L228" s="129">
        <v>40</v>
      </c>
      <c r="M228" s="109">
        <f t="shared" si="104"/>
        <v>-3.5749999999999993</v>
      </c>
      <c r="N228" s="130">
        <f t="shared" si="105"/>
        <v>0</v>
      </c>
      <c r="O228" s="592"/>
      <c r="P228" s="592"/>
      <c r="Q228" s="592"/>
      <c r="R228" s="592"/>
      <c r="S228" s="592"/>
      <c r="T228" s="592"/>
      <c r="U228" s="592"/>
      <c r="V228" s="132">
        <f t="shared" ref="V228:V237" si="108">SUM(X228:AA228)</f>
        <v>0</v>
      </c>
      <c r="W228" s="133">
        <f t="shared" ref="W228:W237" si="109">IF(ISERROR(V228/G228),"",V228/G228)</f>
        <v>0</v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>
        <v>42751</v>
      </c>
      <c r="G229" s="128">
        <f>121</f>
        <v>121</v>
      </c>
      <c r="H229" s="584">
        <f t="shared" si="94"/>
        <v>608.63</v>
      </c>
      <c r="I229" s="129">
        <v>2</v>
      </c>
      <c r="J229" s="130">
        <f t="array" ref="J229">IF(ISERROR(G229/I229),"",G229/I229)</f>
        <v>60.5</v>
      </c>
      <c r="K229" s="131">
        <f t="array" ref="K229">IF(ISERROR(G229/L229),"",G229/L229)</f>
        <v>3.0249999999999999</v>
      </c>
      <c r="L229" s="129">
        <v>40</v>
      </c>
      <c r="M229" s="109">
        <f t="shared" si="104"/>
        <v>-1.0249999999999999</v>
      </c>
      <c r="N229" s="130">
        <f t="shared" si="105"/>
        <v>0</v>
      </c>
      <c r="O229" s="592"/>
      <c r="P229" s="592"/>
      <c r="Q229" s="592"/>
      <c r="R229" s="592"/>
      <c r="S229" s="592"/>
      <c r="T229" s="592"/>
      <c r="U229" s="592"/>
      <c r="V229" s="132">
        <f t="shared" si="108"/>
        <v>0</v>
      </c>
      <c r="W229" s="133">
        <f t="shared" si="109"/>
        <v>0</v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584">
        <f t="shared" si="94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4"/>
        <v>0</v>
      </c>
      <c r="N230" s="130">
        <f t="shared" si="105"/>
        <v>0</v>
      </c>
      <c r="O230" s="592"/>
      <c r="P230" s="592"/>
      <c r="Q230" s="592"/>
      <c r="R230" s="592"/>
      <c r="S230" s="592"/>
      <c r="T230" s="592"/>
      <c r="U230" s="592"/>
      <c r="V230" s="132">
        <f t="shared" si="108"/>
        <v>0</v>
      </c>
      <c r="W230" s="133" t="str">
        <f t="shared" si="109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584">
        <f t="shared" si="94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4"/>
        <v>0</v>
      </c>
      <c r="N231" s="130">
        <f t="shared" si="105"/>
        <v>0</v>
      </c>
      <c r="O231" s="592"/>
      <c r="P231" s="592"/>
      <c r="Q231" s="592"/>
      <c r="R231" s="592"/>
      <c r="S231" s="592"/>
      <c r="T231" s="592"/>
      <c r="U231" s="592"/>
      <c r="V231" s="132">
        <f t="shared" si="108"/>
        <v>0</v>
      </c>
      <c r="W231" s="133" t="str">
        <f t="shared" si="109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584">
        <f t="shared" si="94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4"/>
        <v>0</v>
      </c>
      <c r="N232" s="130">
        <f t="shared" si="105"/>
        <v>0</v>
      </c>
      <c r="O232" s="592"/>
      <c r="P232" s="592"/>
      <c r="Q232" s="592"/>
      <c r="R232" s="592"/>
      <c r="S232" s="592"/>
      <c r="T232" s="592"/>
      <c r="U232" s="592"/>
      <c r="V232" s="132">
        <f t="shared" si="108"/>
        <v>0</v>
      </c>
      <c r="W232" s="133" t="str">
        <f t="shared" si="109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584">
        <f t="shared" si="94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4"/>
        <v>0</v>
      </c>
      <c r="N233" s="130">
        <f t="shared" si="105"/>
        <v>0</v>
      </c>
      <c r="O233" s="592"/>
      <c r="P233" s="592"/>
      <c r="Q233" s="592"/>
      <c r="R233" s="592"/>
      <c r="S233" s="592"/>
      <c r="T233" s="592"/>
      <c r="U233" s="592"/>
      <c r="V233" s="132">
        <f t="shared" si="108"/>
        <v>0</v>
      </c>
      <c r="W233" s="133" t="str">
        <f t="shared" si="109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584">
        <f t="shared" si="94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4"/>
        <v>0</v>
      </c>
      <c r="N234" s="130">
        <f t="shared" si="105"/>
        <v>0</v>
      </c>
      <c r="O234" s="592"/>
      <c r="P234" s="592"/>
      <c r="Q234" s="592"/>
      <c r="R234" s="592"/>
      <c r="S234" s="592"/>
      <c r="T234" s="592"/>
      <c r="U234" s="592"/>
      <c r="V234" s="132">
        <f t="shared" si="108"/>
        <v>0</v>
      </c>
      <c r="W234" s="133" t="str">
        <f t="shared" si="109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584">
        <f t="shared" si="94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4"/>
        <v>0</v>
      </c>
      <c r="N235" s="130">
        <f t="shared" si="105"/>
        <v>0</v>
      </c>
      <c r="O235" s="592"/>
      <c r="P235" s="592"/>
      <c r="Q235" s="592"/>
      <c r="R235" s="592"/>
      <c r="S235" s="592"/>
      <c r="T235" s="592"/>
      <c r="U235" s="592"/>
      <c r="V235" s="132">
        <f t="shared" si="108"/>
        <v>0</v>
      </c>
      <c r="W235" s="133" t="str">
        <f t="shared" si="109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584">
        <f t="shared" si="94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4"/>
        <v>0</v>
      </c>
      <c r="N236" s="130">
        <f t="shared" si="105"/>
        <v>0</v>
      </c>
      <c r="O236" s="592"/>
      <c r="P236" s="592"/>
      <c r="Q236" s="592"/>
      <c r="R236" s="592"/>
      <c r="S236" s="592"/>
      <c r="T236" s="592"/>
      <c r="U236" s="592"/>
      <c r="V236" s="132">
        <f t="shared" si="108"/>
        <v>0</v>
      </c>
      <c r="W236" s="133" t="str">
        <f t="shared" si="109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584">
        <f t="shared" si="94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4"/>
        <v>0</v>
      </c>
      <c r="N237" s="130">
        <f t="shared" si="105"/>
        <v>0</v>
      </c>
      <c r="O237" s="592"/>
      <c r="P237" s="592"/>
      <c r="Q237" s="592"/>
      <c r="R237" s="592"/>
      <c r="S237" s="592"/>
      <c r="T237" s="592"/>
      <c r="U237" s="592"/>
      <c r="V237" s="132">
        <f t="shared" si="108"/>
        <v>0</v>
      </c>
      <c r="W237" s="133" t="str">
        <f t="shared" si="109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584">
        <f t="shared" si="94"/>
        <v>0</v>
      </c>
      <c r="I238" s="129"/>
      <c r="J238" s="130"/>
      <c r="K238" s="131"/>
      <c r="L238" s="129">
        <v>50</v>
      </c>
      <c r="M238" s="109"/>
      <c r="N238" s="130"/>
      <c r="O238" s="592"/>
      <c r="P238" s="592"/>
      <c r="Q238" s="592"/>
      <c r="R238" s="592"/>
      <c r="S238" s="592"/>
      <c r="T238" s="592"/>
      <c r="U238" s="59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584">
        <f t="shared" si="94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3" si="110">IF(ISERROR(I239-K239),"",I239-K239)</f>
        <v>0</v>
      </c>
      <c r="N239" s="130"/>
      <c r="O239" s="592"/>
      <c r="P239" s="592"/>
      <c r="Q239" s="592"/>
      <c r="R239" s="592"/>
      <c r="S239" s="592"/>
      <c r="T239" s="592"/>
      <c r="U239" s="59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584">
        <f t="shared" si="94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10"/>
        <v>0</v>
      </c>
      <c r="N240" s="130">
        <f t="shared" ref="N240:N241" si="111">SUM(O240:U240)</f>
        <v>0</v>
      </c>
      <c r="O240" s="592"/>
      <c r="P240" s="592"/>
      <c r="Q240" s="592"/>
      <c r="R240" s="592"/>
      <c r="S240" s="592"/>
      <c r="T240" s="592"/>
      <c r="U240" s="592"/>
      <c r="V240" s="132">
        <f t="shared" ref="V240:V241" si="112">SUM(X240:AA240)</f>
        <v>0</v>
      </c>
      <c r="W240" s="133" t="str">
        <f t="shared" ref="W240:W241" si="113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584">
        <f t="shared" si="94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10"/>
        <v>0</v>
      </c>
      <c r="N241" s="130">
        <f t="shared" si="111"/>
        <v>0</v>
      </c>
      <c r="O241" s="592"/>
      <c r="P241" s="592"/>
      <c r="Q241" s="592"/>
      <c r="R241" s="592"/>
      <c r="S241" s="592"/>
      <c r="T241" s="592"/>
      <c r="U241" s="592"/>
      <c r="V241" s="132">
        <f t="shared" si="112"/>
        <v>0</v>
      </c>
      <c r="W241" s="133" t="str">
        <f t="shared" si="113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584">
        <f t="shared" si="94"/>
        <v>0</v>
      </c>
      <c r="I242" s="129"/>
      <c r="J242" s="130"/>
      <c r="K242" s="131"/>
      <c r="L242" s="129"/>
      <c r="M242" s="109">
        <f t="shared" si="110"/>
        <v>0</v>
      </c>
      <c r="N242" s="130"/>
      <c r="O242" s="592"/>
      <c r="P242" s="592"/>
      <c r="Q242" s="592"/>
      <c r="R242" s="592"/>
      <c r="S242" s="592"/>
      <c r="T242" s="592"/>
      <c r="U242" s="59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584">
        <f t="shared" si="94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10"/>
        <v/>
      </c>
      <c r="N243" s="130">
        <f t="shared" ref="N243:N246" si="114">SUM(O243:U243)</f>
        <v>0</v>
      </c>
      <c r="O243" s="592"/>
      <c r="P243" s="592"/>
      <c r="Q243" s="592"/>
      <c r="R243" s="592"/>
      <c r="S243" s="592"/>
      <c r="T243" s="592"/>
      <c r="U243" s="592"/>
      <c r="V243" s="132">
        <f t="shared" ref="V243:V246" si="115">SUM(X243:AA243)</f>
        <v>0</v>
      </c>
      <c r="W243" s="133" t="str">
        <f t="shared" ref="W243:W246" si="116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584">
        <f t="shared" si="94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10"/>
        <v/>
      </c>
      <c r="N244" s="130">
        <f t="shared" si="114"/>
        <v>0</v>
      </c>
      <c r="O244" s="592"/>
      <c r="P244" s="592"/>
      <c r="Q244" s="592"/>
      <c r="R244" s="592"/>
      <c r="S244" s="592"/>
      <c r="T244" s="592"/>
      <c r="U244" s="592"/>
      <c r="V244" s="132">
        <f t="shared" si="115"/>
        <v>0</v>
      </c>
      <c r="W244" s="133" t="str">
        <f t="shared" si="116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584">
        <f t="shared" si="94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10"/>
        <v/>
      </c>
      <c r="N245" s="130">
        <f t="shared" si="114"/>
        <v>0</v>
      </c>
      <c r="O245" s="592"/>
      <c r="P245" s="592"/>
      <c r="Q245" s="592"/>
      <c r="R245" s="592"/>
      <c r="S245" s="592"/>
      <c r="T245" s="592"/>
      <c r="U245" s="592"/>
      <c r="V245" s="132">
        <f t="shared" si="115"/>
        <v>0</v>
      </c>
      <c r="W245" s="133" t="str">
        <f t="shared" si="116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584">
        <f t="shared" si="94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10"/>
        <v/>
      </c>
      <c r="N246" s="130">
        <f t="shared" si="114"/>
        <v>0</v>
      </c>
      <c r="O246" s="592"/>
      <c r="P246" s="592"/>
      <c r="Q246" s="592"/>
      <c r="R246" s="592"/>
      <c r="S246" s="592"/>
      <c r="T246" s="592"/>
      <c r="U246" s="592"/>
      <c r="V246" s="132">
        <f t="shared" si="115"/>
        <v>0</v>
      </c>
      <c r="W246" s="133" t="str">
        <f t="shared" si="116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584">
        <f t="shared" si="94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10"/>
        <v>0</v>
      </c>
      <c r="N247" s="130"/>
      <c r="O247" s="592"/>
      <c r="P247" s="592"/>
      <c r="Q247" s="592"/>
      <c r="R247" s="592"/>
      <c r="S247" s="592"/>
      <c r="T247" s="592"/>
      <c r="U247" s="59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584">
        <f t="shared" si="94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10"/>
        <v>0</v>
      </c>
      <c r="N248" s="130"/>
      <c r="O248" s="592"/>
      <c r="P248" s="592"/>
      <c r="Q248" s="592"/>
      <c r="R248" s="592"/>
      <c r="S248" s="592"/>
      <c r="T248" s="592"/>
      <c r="U248" s="59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584">
        <f t="shared" si="94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10"/>
        <v>0</v>
      </c>
      <c r="N249" s="130"/>
      <c r="O249" s="592"/>
      <c r="P249" s="592"/>
      <c r="Q249" s="592"/>
      <c r="R249" s="592"/>
      <c r="S249" s="592"/>
      <c r="T249" s="592"/>
      <c r="U249" s="59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584">
        <f t="shared" si="94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10"/>
        <v>0</v>
      </c>
      <c r="N250" s="130"/>
      <c r="O250" s="592"/>
      <c r="P250" s="592"/>
      <c r="Q250" s="592"/>
      <c r="R250" s="592"/>
      <c r="S250" s="592"/>
      <c r="T250" s="592"/>
      <c r="U250" s="59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584">
        <f t="shared" si="94"/>
        <v>0</v>
      </c>
      <c r="I251" s="129"/>
      <c r="J251" s="130"/>
      <c r="K251" s="131"/>
      <c r="L251" s="129">
        <v>4</v>
      </c>
      <c r="M251" s="109"/>
      <c r="N251" s="130"/>
      <c r="O251" s="592"/>
      <c r="P251" s="592"/>
      <c r="Q251" s="592"/>
      <c r="R251" s="592"/>
      <c r="S251" s="592"/>
      <c r="T251" s="592"/>
      <c r="U251" s="59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584">
        <f t="shared" si="94"/>
        <v>0</v>
      </c>
      <c r="I252" s="129"/>
      <c r="J252" s="130"/>
      <c r="K252" s="131"/>
      <c r="L252" s="129">
        <v>4</v>
      </c>
      <c r="M252" s="109"/>
      <c r="N252" s="130"/>
      <c r="O252" s="592"/>
      <c r="P252" s="592"/>
      <c r="Q252" s="592"/>
      <c r="R252" s="592"/>
      <c r="S252" s="592"/>
      <c r="T252" s="592"/>
      <c r="U252" s="59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584">
        <f t="shared" si="94"/>
        <v>0</v>
      </c>
      <c r="I253" s="129"/>
      <c r="J253" s="130"/>
      <c r="K253" s="131"/>
      <c r="L253" s="129">
        <v>4</v>
      </c>
      <c r="M253" s="109"/>
      <c r="N253" s="130"/>
      <c r="O253" s="592"/>
      <c r="P253" s="592"/>
      <c r="Q253" s="592"/>
      <c r="R253" s="592"/>
      <c r="S253" s="592"/>
      <c r="T253" s="592"/>
      <c r="U253" s="59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584">
        <f t="shared" si="94"/>
        <v>0</v>
      </c>
      <c r="I254" s="129"/>
      <c r="J254" s="130"/>
      <c r="K254" s="131"/>
      <c r="L254" s="129">
        <v>4</v>
      </c>
      <c r="M254" s="109"/>
      <c r="N254" s="130"/>
      <c r="O254" s="592"/>
      <c r="P254" s="592"/>
      <c r="Q254" s="592"/>
      <c r="R254" s="592"/>
      <c r="S254" s="592"/>
      <c r="T254" s="592"/>
      <c r="U254" s="59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584">
        <f t="shared" si="94"/>
        <v>0</v>
      </c>
      <c r="I255" s="129"/>
      <c r="J255" s="130"/>
      <c r="K255" s="131"/>
      <c r="L255" s="129">
        <v>4</v>
      </c>
      <c r="M255" s="109"/>
      <c r="N255" s="130"/>
      <c r="O255" s="592"/>
      <c r="P255" s="592"/>
      <c r="Q255" s="592"/>
      <c r="R255" s="592"/>
      <c r="S255" s="592"/>
      <c r="T255" s="592"/>
      <c r="U255" s="59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584">
        <f t="shared" si="94"/>
        <v>0</v>
      </c>
      <c r="I256" s="129"/>
      <c r="J256" s="130"/>
      <c r="K256" s="131"/>
      <c r="L256" s="129">
        <v>4</v>
      </c>
      <c r="M256" s="109"/>
      <c r="N256" s="130"/>
      <c r="O256" s="592"/>
      <c r="P256" s="592"/>
      <c r="Q256" s="592"/>
      <c r="R256" s="592"/>
      <c r="S256" s="592"/>
      <c r="T256" s="592"/>
      <c r="U256" s="592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593" t="s">
        <v>202</v>
      </c>
      <c r="D257" s="143"/>
      <c r="E257" s="143"/>
      <c r="F257" s="144"/>
      <c r="G257" s="145">
        <f>SUM(G200:G256)</f>
        <v>1429</v>
      </c>
      <c r="H257" s="146">
        <f>SUM(H200:H256)</f>
        <v>7193.27</v>
      </c>
      <c r="I257" s="146">
        <f>SUM(I200:I256)</f>
        <v>29.5</v>
      </c>
      <c r="J257" s="130">
        <f t="array" ref="J257">IF(ISERROR(G257/I257),"",G257/I257)</f>
        <v>48.440677966101696</v>
      </c>
      <c r="K257" s="146">
        <f>SUM(K200:K256)</f>
        <v>33.779894179894178</v>
      </c>
      <c r="L257" s="147"/>
      <c r="M257" s="150">
        <f t="shared" ref="M257:V257" si="117">SUM(M200:M256)</f>
        <v>-4.2798941798941801</v>
      </c>
      <c r="N257" s="146">
        <f t="shared" si="117"/>
        <v>0</v>
      </c>
      <c r="O257" s="148">
        <f t="shared" si="117"/>
        <v>0</v>
      </c>
      <c r="P257" s="148">
        <f t="shared" si="117"/>
        <v>0</v>
      </c>
      <c r="Q257" s="148">
        <f t="shared" si="117"/>
        <v>0</v>
      </c>
      <c r="R257" s="148">
        <f t="shared" si="117"/>
        <v>0</v>
      </c>
      <c r="S257" s="148">
        <f t="shared" si="117"/>
        <v>0</v>
      </c>
      <c r="T257" s="148">
        <f t="shared" si="117"/>
        <v>0</v>
      </c>
      <c r="U257" s="148">
        <f t="shared" si="117"/>
        <v>0</v>
      </c>
      <c r="V257" s="149">
        <f t="shared" si="117"/>
        <v>0</v>
      </c>
      <c r="W257" s="133">
        <f t="shared" ref="W257:W264" si="118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583" t="s">
        <v>217</v>
      </c>
      <c r="C258" s="126" t="s">
        <v>179</v>
      </c>
      <c r="D258" s="108">
        <v>5.03</v>
      </c>
      <c r="E258" s="108"/>
      <c r="F258" s="127"/>
      <c r="G258" s="128"/>
      <c r="H258" s="584">
        <f t="shared" ref="H258:H291" si="119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20">IF(ISERROR(I258-K258),"",I258-K258)</f>
        <v>0</v>
      </c>
      <c r="N258" s="130">
        <f t="shared" ref="N258:N265" si="121">SUM(O258:U258)</f>
        <v>0</v>
      </c>
      <c r="O258" s="592"/>
      <c r="P258" s="592"/>
      <c r="Q258" s="592"/>
      <c r="R258" s="592"/>
      <c r="S258" s="592"/>
      <c r="T258" s="592"/>
      <c r="U258" s="592"/>
      <c r="V258" s="132">
        <f t="shared" ref="V258:V264" si="122">SUM(X258:AA258)</f>
        <v>0</v>
      </c>
      <c r="W258" s="133" t="str">
        <f t="shared" si="118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583" t="s">
        <v>217</v>
      </c>
      <c r="C259" s="126" t="s">
        <v>186</v>
      </c>
      <c r="D259" s="108">
        <v>5.03</v>
      </c>
      <c r="E259" s="108"/>
      <c r="F259" s="127"/>
      <c r="G259" s="128"/>
      <c r="H259" s="584">
        <f t="shared" si="119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20"/>
        <v>0</v>
      </c>
      <c r="N259" s="130">
        <f t="shared" si="121"/>
        <v>0</v>
      </c>
      <c r="O259" s="592"/>
      <c r="P259" s="592"/>
      <c r="Q259" s="592"/>
      <c r="R259" s="592"/>
      <c r="S259" s="592"/>
      <c r="T259" s="592"/>
      <c r="U259" s="592"/>
      <c r="V259" s="132">
        <f t="shared" si="122"/>
        <v>0</v>
      </c>
      <c r="W259" s="133" t="str">
        <f t="shared" si="118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583" t="s">
        <v>217</v>
      </c>
      <c r="C260" s="126" t="s">
        <v>204</v>
      </c>
      <c r="D260" s="108">
        <v>5.03</v>
      </c>
      <c r="E260" s="108"/>
      <c r="F260" s="127"/>
      <c r="G260" s="128"/>
      <c r="H260" s="584">
        <f t="shared" si="119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20"/>
        <v>0</v>
      </c>
      <c r="N260" s="130">
        <f t="shared" si="121"/>
        <v>0</v>
      </c>
      <c r="O260" s="592"/>
      <c r="P260" s="592"/>
      <c r="Q260" s="592"/>
      <c r="R260" s="592"/>
      <c r="S260" s="592"/>
      <c r="T260" s="592"/>
      <c r="U260" s="592"/>
      <c r="V260" s="132">
        <f t="shared" si="122"/>
        <v>0</v>
      </c>
      <c r="W260" s="133" t="str">
        <f t="shared" si="118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584">
        <f t="shared" si="119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20"/>
        <v>0</v>
      </c>
      <c r="N261" s="130">
        <f t="shared" si="121"/>
        <v>0</v>
      </c>
      <c r="O261" s="592"/>
      <c r="P261" s="592"/>
      <c r="Q261" s="592"/>
      <c r="R261" s="592"/>
      <c r="S261" s="592"/>
      <c r="T261" s="592"/>
      <c r="U261" s="592"/>
      <c r="V261" s="132">
        <f t="shared" si="122"/>
        <v>0</v>
      </c>
      <c r="W261" s="133" t="str">
        <f t="shared" si="118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584">
        <f t="shared" si="119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20"/>
        <v>0</v>
      </c>
      <c r="N262" s="130">
        <f t="shared" si="121"/>
        <v>0</v>
      </c>
      <c r="O262" s="592"/>
      <c r="P262" s="592"/>
      <c r="Q262" s="592"/>
      <c r="R262" s="592"/>
      <c r="S262" s="592"/>
      <c r="T262" s="592"/>
      <c r="U262" s="592"/>
      <c r="V262" s="132">
        <f t="shared" si="122"/>
        <v>0</v>
      </c>
      <c r="W262" s="133" t="str">
        <f t="shared" si="118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584">
        <f t="shared" si="119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20"/>
        <v>0</v>
      </c>
      <c r="N263" s="130">
        <f t="shared" si="121"/>
        <v>0</v>
      </c>
      <c r="O263" s="592"/>
      <c r="P263" s="592"/>
      <c r="Q263" s="592"/>
      <c r="R263" s="592"/>
      <c r="S263" s="592"/>
      <c r="T263" s="592"/>
      <c r="U263" s="592"/>
      <c r="V263" s="132">
        <f t="shared" si="122"/>
        <v>0</v>
      </c>
      <c r="W263" s="133" t="str">
        <f t="shared" si="118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584">
        <f t="shared" si="119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20"/>
        <v>0</v>
      </c>
      <c r="N264" s="130">
        <f t="shared" si="121"/>
        <v>0</v>
      </c>
      <c r="O264" s="592"/>
      <c r="P264" s="592"/>
      <c r="Q264" s="592"/>
      <c r="R264" s="592"/>
      <c r="S264" s="592"/>
      <c r="T264" s="592"/>
      <c r="U264" s="592"/>
      <c r="V264" s="132">
        <f t="shared" si="122"/>
        <v>0</v>
      </c>
      <c r="W264" s="133" t="str">
        <f t="shared" si="118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584">
        <f t="shared" si="119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20"/>
        <v>0</v>
      </c>
      <c r="N265" s="130">
        <f t="shared" si="121"/>
        <v>0</v>
      </c>
      <c r="O265" s="592"/>
      <c r="P265" s="592"/>
      <c r="Q265" s="592"/>
      <c r="R265" s="592"/>
      <c r="S265" s="592"/>
      <c r="T265" s="592"/>
      <c r="U265" s="59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584">
        <f t="shared" si="119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592"/>
      <c r="P266" s="592"/>
      <c r="Q266" s="592"/>
      <c r="R266" s="592"/>
      <c r="S266" s="592"/>
      <c r="T266" s="592"/>
      <c r="U266" s="59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584">
        <f t="shared" si="119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592"/>
      <c r="P267" s="592"/>
      <c r="Q267" s="592"/>
      <c r="R267" s="592"/>
      <c r="S267" s="592"/>
      <c r="T267" s="592"/>
      <c r="U267" s="59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584">
        <f t="shared" si="119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592"/>
      <c r="P268" s="592"/>
      <c r="Q268" s="592"/>
      <c r="R268" s="592"/>
      <c r="S268" s="592"/>
      <c r="T268" s="592"/>
      <c r="U268" s="59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584">
        <f t="shared" si="119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592"/>
      <c r="P269" s="592"/>
      <c r="Q269" s="592"/>
      <c r="R269" s="592"/>
      <c r="S269" s="592"/>
      <c r="T269" s="592"/>
      <c r="U269" s="59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584">
        <f t="shared" si="119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3">IF(ISERROR(I270-K270),"",I270-K270)</f>
        <v>0</v>
      </c>
      <c r="N270" s="130">
        <f t="shared" ref="N270:N285" si="124">SUM(O270:U270)</f>
        <v>0</v>
      </c>
      <c r="O270" s="592"/>
      <c r="P270" s="592"/>
      <c r="Q270" s="592"/>
      <c r="R270" s="592"/>
      <c r="S270" s="592"/>
      <c r="T270" s="592"/>
      <c r="U270" s="592"/>
      <c r="V270" s="132">
        <f t="shared" ref="V270:V273" si="125">SUM(X270:AA270)</f>
        <v>0</v>
      </c>
      <c r="W270" s="133" t="str">
        <f t="shared" ref="W270:W277" si="126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584">
        <f t="shared" si="119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3"/>
        <v/>
      </c>
      <c r="N271" s="130">
        <f t="shared" si="124"/>
        <v>0</v>
      </c>
      <c r="O271" s="592"/>
      <c r="P271" s="592"/>
      <c r="Q271" s="592"/>
      <c r="R271" s="592"/>
      <c r="S271" s="592"/>
      <c r="T271" s="592"/>
      <c r="U271" s="592"/>
      <c r="V271" s="132">
        <f t="shared" si="125"/>
        <v>0</v>
      </c>
      <c r="W271" s="133" t="str">
        <f t="shared" si="126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584">
        <f t="shared" si="119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3"/>
        <v/>
      </c>
      <c r="N272" s="130">
        <f t="shared" si="124"/>
        <v>0</v>
      </c>
      <c r="O272" s="592"/>
      <c r="P272" s="592"/>
      <c r="Q272" s="592"/>
      <c r="R272" s="592"/>
      <c r="S272" s="592"/>
      <c r="T272" s="592"/>
      <c r="U272" s="592"/>
      <c r="V272" s="132">
        <f t="shared" si="125"/>
        <v>0</v>
      </c>
      <c r="W272" s="133" t="str">
        <f t="shared" si="126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584">
        <f t="shared" si="119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3"/>
        <v/>
      </c>
      <c r="N273" s="130">
        <f t="shared" si="124"/>
        <v>0</v>
      </c>
      <c r="O273" s="592"/>
      <c r="P273" s="592"/>
      <c r="Q273" s="592"/>
      <c r="R273" s="592"/>
      <c r="S273" s="592"/>
      <c r="T273" s="592"/>
      <c r="U273" s="592"/>
      <c r="V273" s="132">
        <f t="shared" si="125"/>
        <v>0</v>
      </c>
      <c r="W273" s="133" t="str">
        <f t="shared" si="126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583" t="s">
        <v>222</v>
      </c>
      <c r="C274" s="126" t="s">
        <v>181</v>
      </c>
      <c r="D274" s="108">
        <v>9.36</v>
      </c>
      <c r="E274" s="108"/>
      <c r="F274" s="127"/>
      <c r="G274" s="128"/>
      <c r="H274" s="584">
        <f t="shared" si="119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3"/>
        <v>0</v>
      </c>
      <c r="N274" s="130">
        <f t="shared" si="124"/>
        <v>0</v>
      </c>
      <c r="O274" s="592"/>
      <c r="P274" s="592"/>
      <c r="Q274" s="592"/>
      <c r="R274" s="592"/>
      <c r="S274" s="592"/>
      <c r="T274" s="592"/>
      <c r="U274" s="592"/>
      <c r="V274" s="132">
        <f t="shared" ref="V274:V277" si="127">SUM(X274:AA274)</f>
        <v>0</v>
      </c>
      <c r="W274" s="133" t="str">
        <f t="shared" si="126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583" t="s">
        <v>222</v>
      </c>
      <c r="C275" s="126" t="s">
        <v>179</v>
      </c>
      <c r="D275" s="108">
        <v>9.36</v>
      </c>
      <c r="E275" s="108"/>
      <c r="F275" s="127"/>
      <c r="G275" s="128"/>
      <c r="H275" s="584">
        <f t="shared" si="119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3"/>
        <v>0</v>
      </c>
      <c r="N275" s="130">
        <f t="shared" si="124"/>
        <v>0</v>
      </c>
      <c r="O275" s="592"/>
      <c r="P275" s="592"/>
      <c r="Q275" s="592"/>
      <c r="R275" s="592"/>
      <c r="S275" s="592"/>
      <c r="T275" s="592"/>
      <c r="U275" s="592"/>
      <c r="V275" s="132">
        <f t="shared" si="127"/>
        <v>0</v>
      </c>
      <c r="W275" s="133" t="str">
        <f t="shared" si="126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583" t="s">
        <v>222</v>
      </c>
      <c r="C276" s="126" t="s">
        <v>221</v>
      </c>
      <c r="D276" s="108">
        <v>9.36</v>
      </c>
      <c r="E276" s="108"/>
      <c r="F276" s="127"/>
      <c r="G276" s="128"/>
      <c r="H276" s="584">
        <f t="shared" si="119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3"/>
        <v>0</v>
      </c>
      <c r="N276" s="130">
        <f t="shared" si="124"/>
        <v>0</v>
      </c>
      <c r="O276" s="592"/>
      <c r="P276" s="592"/>
      <c r="Q276" s="592"/>
      <c r="R276" s="592"/>
      <c r="S276" s="592"/>
      <c r="T276" s="592"/>
      <c r="U276" s="592"/>
      <c r="V276" s="132">
        <f t="shared" si="127"/>
        <v>0</v>
      </c>
      <c r="W276" s="133" t="str">
        <f t="shared" si="126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583" t="s">
        <v>222</v>
      </c>
      <c r="C277" s="126" t="s">
        <v>186</v>
      </c>
      <c r="D277" s="108">
        <v>9.36</v>
      </c>
      <c r="E277" s="108"/>
      <c r="F277" s="127"/>
      <c r="G277" s="128"/>
      <c r="H277" s="584">
        <f t="shared" si="119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3"/>
        <v>0</v>
      </c>
      <c r="N277" s="130">
        <f t="shared" si="124"/>
        <v>0</v>
      </c>
      <c r="O277" s="592"/>
      <c r="P277" s="592"/>
      <c r="Q277" s="592"/>
      <c r="R277" s="592"/>
      <c r="S277" s="592"/>
      <c r="T277" s="592"/>
      <c r="U277" s="592"/>
      <c r="V277" s="132">
        <f t="shared" si="127"/>
        <v>0</v>
      </c>
      <c r="W277" s="133" t="str">
        <f t="shared" si="126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583" t="s">
        <v>393</v>
      </c>
      <c r="C278" s="187" t="s">
        <v>395</v>
      </c>
      <c r="D278" s="108">
        <v>5</v>
      </c>
      <c r="E278" s="108"/>
      <c r="F278" s="127">
        <v>42751</v>
      </c>
      <c r="G278" s="128">
        <f>22+90+90</f>
        <v>202</v>
      </c>
      <c r="H278" s="584">
        <f t="shared" si="119"/>
        <v>1010</v>
      </c>
      <c r="I278" s="129">
        <f>1.5*2+6.5</f>
        <v>9.5</v>
      </c>
      <c r="J278" s="130">
        <f t="array" ref="J278">IF(ISERROR(G278/I278),"",G278/I278)</f>
        <v>21.263157894736842</v>
      </c>
      <c r="K278" s="131">
        <f t="array" ref="K278">IF(ISERROR(G278/L278),"",G278/L278)</f>
        <v>40.4</v>
      </c>
      <c r="L278" s="129">
        <v>5</v>
      </c>
      <c r="M278" s="109">
        <f t="shared" si="123"/>
        <v>-30.9</v>
      </c>
      <c r="N278" s="130">
        <f t="shared" si="124"/>
        <v>0</v>
      </c>
      <c r="O278" s="592"/>
      <c r="P278" s="592"/>
      <c r="Q278" s="592"/>
      <c r="R278" s="592"/>
      <c r="S278" s="592"/>
      <c r="T278" s="592"/>
      <c r="U278" s="59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583" t="s">
        <v>393</v>
      </c>
      <c r="C279" s="187" t="s">
        <v>402</v>
      </c>
      <c r="D279" s="108">
        <v>5</v>
      </c>
      <c r="E279" s="108"/>
      <c r="F279" s="127"/>
      <c r="G279" s="128"/>
      <c r="H279" s="584">
        <f t="shared" si="119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3"/>
        <v>0</v>
      </c>
      <c r="N279" s="130">
        <f t="shared" si="124"/>
        <v>0</v>
      </c>
      <c r="O279" s="592"/>
      <c r="P279" s="592"/>
      <c r="Q279" s="592"/>
      <c r="R279" s="592"/>
      <c r="S279" s="592"/>
      <c r="T279" s="592"/>
      <c r="U279" s="59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583" t="s">
        <v>404</v>
      </c>
      <c r="C280" s="187" t="s">
        <v>405</v>
      </c>
      <c r="D280" s="108">
        <v>5</v>
      </c>
      <c r="E280" s="108"/>
      <c r="F280" s="127"/>
      <c r="G280" s="128"/>
      <c r="H280" s="584">
        <f t="shared" si="119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3"/>
        <v>0</v>
      </c>
      <c r="N280" s="130">
        <f t="shared" si="124"/>
        <v>0</v>
      </c>
      <c r="O280" s="592"/>
      <c r="P280" s="592"/>
      <c r="Q280" s="592"/>
      <c r="R280" s="592"/>
      <c r="S280" s="592"/>
      <c r="T280" s="592"/>
      <c r="U280" s="59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583" t="s">
        <v>342</v>
      </c>
      <c r="C281" s="187" t="s">
        <v>372</v>
      </c>
      <c r="D281" s="108">
        <v>5</v>
      </c>
      <c r="E281" s="108"/>
      <c r="F281" s="127"/>
      <c r="G281" s="128"/>
      <c r="H281" s="584">
        <f t="shared" si="119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3"/>
        <v>0</v>
      </c>
      <c r="N281" s="130">
        <f t="shared" si="124"/>
        <v>0</v>
      </c>
      <c r="O281" s="592"/>
      <c r="P281" s="592"/>
      <c r="Q281" s="592"/>
      <c r="R281" s="592"/>
      <c r="S281" s="592"/>
      <c r="T281" s="592"/>
      <c r="U281" s="59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583" t="s">
        <v>343</v>
      </c>
      <c r="C282" s="126" t="s">
        <v>345</v>
      </c>
      <c r="D282" s="108">
        <v>5</v>
      </c>
      <c r="E282" s="108"/>
      <c r="F282" s="127"/>
      <c r="G282" s="128"/>
      <c r="H282" s="584">
        <f t="shared" si="119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3"/>
        <v>0</v>
      </c>
      <c r="N282" s="130">
        <f t="shared" si="124"/>
        <v>0</v>
      </c>
      <c r="O282" s="592"/>
      <c r="P282" s="592"/>
      <c r="Q282" s="592"/>
      <c r="R282" s="592"/>
      <c r="S282" s="592"/>
      <c r="T282" s="592"/>
      <c r="U282" s="59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583" t="s">
        <v>343</v>
      </c>
      <c r="C283" s="126" t="s">
        <v>347</v>
      </c>
      <c r="D283" s="108">
        <v>5</v>
      </c>
      <c r="E283" s="108"/>
      <c r="F283" s="127"/>
      <c r="G283" s="128"/>
      <c r="H283" s="584">
        <f t="shared" si="119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3"/>
        <v>0</v>
      </c>
      <c r="N283" s="130">
        <f t="shared" si="124"/>
        <v>0</v>
      </c>
      <c r="O283" s="592"/>
      <c r="P283" s="592"/>
      <c r="Q283" s="592"/>
      <c r="R283" s="592"/>
      <c r="S283" s="592"/>
      <c r="T283" s="592"/>
      <c r="U283" s="59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584">
        <f t="shared" si="119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3"/>
        <v>0</v>
      </c>
      <c r="N284" s="130">
        <f t="shared" si="124"/>
        <v>0</v>
      </c>
      <c r="O284" s="592"/>
      <c r="P284" s="592"/>
      <c r="Q284" s="592"/>
      <c r="R284" s="592"/>
      <c r="S284" s="592"/>
      <c r="T284" s="592"/>
      <c r="U284" s="592"/>
      <c r="V284" s="132">
        <f t="shared" ref="V284:V285" si="128">SUM(X284:AA284)</f>
        <v>0</v>
      </c>
      <c r="W284" s="133" t="str">
        <f t="shared" ref="W284:W285" si="129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584">
        <f t="shared" si="119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3"/>
        <v>0</v>
      </c>
      <c r="N285" s="130">
        <f t="shared" si="124"/>
        <v>0</v>
      </c>
      <c r="O285" s="592"/>
      <c r="P285" s="592"/>
      <c r="Q285" s="592"/>
      <c r="R285" s="592"/>
      <c r="S285" s="592"/>
      <c r="T285" s="592"/>
      <c r="U285" s="592"/>
      <c r="V285" s="132">
        <f t="shared" si="128"/>
        <v>0</v>
      </c>
      <c r="W285" s="133" t="str">
        <f t="shared" si="129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584">
        <f t="shared" si="119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592"/>
      <c r="P286" s="592"/>
      <c r="Q286" s="592"/>
      <c r="R286" s="592"/>
      <c r="S286" s="592"/>
      <c r="T286" s="592"/>
      <c r="U286" s="592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128">
        <v>10</v>
      </c>
      <c r="H287" s="584">
        <f t="shared" si="119"/>
        <v>50.300000000000004</v>
      </c>
      <c r="I287" s="129">
        <v>0.5</v>
      </c>
      <c r="J287" s="130">
        <f t="array" ref="J287">IF(ISERROR(G287/I287),"",G287/I287)</f>
        <v>20</v>
      </c>
      <c r="K287" s="131">
        <f t="array" ref="K287">IF(ISERROR(G287/L287),"",G287/L287)</f>
        <v>0.41666666666666669</v>
      </c>
      <c r="L287" s="129">
        <v>24</v>
      </c>
      <c r="M287" s="109">
        <f t="shared" si="123"/>
        <v>8.3333333333333315E-2</v>
      </c>
      <c r="N287" s="130"/>
      <c r="O287" s="592"/>
      <c r="P287" s="592"/>
      <c r="Q287" s="592"/>
      <c r="R287" s="592"/>
      <c r="S287" s="592"/>
      <c r="T287" s="592"/>
      <c r="U287" s="59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584">
        <f t="shared" si="119"/>
        <v>0</v>
      </c>
      <c r="I288" s="129"/>
      <c r="J288" s="130"/>
      <c r="K288" s="131"/>
      <c r="L288" s="129">
        <v>24</v>
      </c>
      <c r="M288" s="109"/>
      <c r="N288" s="130"/>
      <c r="O288" s="592"/>
      <c r="P288" s="592"/>
      <c r="Q288" s="592"/>
      <c r="R288" s="592"/>
      <c r="S288" s="592"/>
      <c r="T288" s="592"/>
      <c r="U288" s="59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584">
        <f t="shared" si="119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30">IF(ISERROR(I289-K289),"",I289-K289)</f>
        <v>0</v>
      </c>
      <c r="N289" s="130">
        <f t="shared" ref="N289:N291" si="131">SUM(O289:U289)</f>
        <v>0</v>
      </c>
      <c r="O289" s="592"/>
      <c r="P289" s="592"/>
      <c r="Q289" s="592"/>
      <c r="R289" s="592"/>
      <c r="S289" s="592"/>
      <c r="T289" s="592"/>
      <c r="U289" s="592"/>
      <c r="V289" s="132">
        <f t="shared" ref="V289:V291" si="132">SUM(X289:AA289)</f>
        <v>0</v>
      </c>
      <c r="W289" s="133" t="str">
        <f t="shared" ref="W289:W313" si="133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584">
        <f t="shared" si="119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30"/>
        <v>0</v>
      </c>
      <c r="N290" s="130">
        <f t="shared" si="131"/>
        <v>0</v>
      </c>
      <c r="O290" s="592"/>
      <c r="P290" s="592"/>
      <c r="Q290" s="592"/>
      <c r="R290" s="592"/>
      <c r="S290" s="592"/>
      <c r="T290" s="592"/>
      <c r="U290" s="592"/>
      <c r="V290" s="132">
        <f t="shared" si="132"/>
        <v>0</v>
      </c>
      <c r="W290" s="133" t="str">
        <f t="shared" si="133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584">
        <f t="shared" si="119"/>
        <v>0</v>
      </c>
      <c r="I291" s="129"/>
      <c r="J291" s="130" t="str">
        <f t="array" ref="J291">IF(ISERROR(G291/I291),"",G291/I291)</f>
        <v/>
      </c>
      <c r="K291" s="584">
        <f t="array" ref="K291">IF(ISERROR(G291/L291),"",G291/L291)</f>
        <v>0</v>
      </c>
      <c r="L291" s="129">
        <v>9</v>
      </c>
      <c r="M291" s="109">
        <f t="shared" si="130"/>
        <v>0</v>
      </c>
      <c r="N291" s="130">
        <f t="shared" si="131"/>
        <v>0</v>
      </c>
      <c r="O291" s="592"/>
      <c r="P291" s="592"/>
      <c r="Q291" s="592"/>
      <c r="R291" s="592"/>
      <c r="S291" s="592"/>
      <c r="T291" s="592"/>
      <c r="U291" s="592"/>
      <c r="V291" s="132">
        <f t="shared" si="132"/>
        <v>0</v>
      </c>
      <c r="W291" s="133" t="str">
        <f t="shared" si="133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593" t="s">
        <v>202</v>
      </c>
      <c r="D292" s="143"/>
      <c r="E292" s="143"/>
      <c r="F292" s="144"/>
      <c r="G292" s="145">
        <f>SUM(G258:G291)</f>
        <v>212</v>
      </c>
      <c r="H292" s="146">
        <f>SUM(H258:H291)</f>
        <v>1060.3</v>
      </c>
      <c r="I292" s="146">
        <f>SUM(I258:I291)</f>
        <v>10</v>
      </c>
      <c r="J292" s="130">
        <f t="array" ref="J292">IF(ISERROR(G292/I292),"",G292/I292)</f>
        <v>21.2</v>
      </c>
      <c r="K292" s="146">
        <f>SUM(K258:K291)</f>
        <v>40.816666666666663</v>
      </c>
      <c r="L292" s="147"/>
      <c r="M292" s="150">
        <f t="shared" ref="M292:V292" si="134">SUM(M258:M291)</f>
        <v>-30.816666666666666</v>
      </c>
      <c r="N292" s="146">
        <f t="shared" si="134"/>
        <v>0</v>
      </c>
      <c r="O292" s="148">
        <f t="shared" si="134"/>
        <v>0</v>
      </c>
      <c r="P292" s="148">
        <f t="shared" si="134"/>
        <v>0</v>
      </c>
      <c r="Q292" s="148">
        <f t="shared" si="134"/>
        <v>0</v>
      </c>
      <c r="R292" s="148">
        <f t="shared" si="134"/>
        <v>0</v>
      </c>
      <c r="S292" s="148">
        <f t="shared" si="134"/>
        <v>0</v>
      </c>
      <c r="T292" s="148">
        <f t="shared" si="134"/>
        <v>0</v>
      </c>
      <c r="U292" s="148">
        <f t="shared" si="134"/>
        <v>0</v>
      </c>
      <c r="V292" s="149">
        <f t="shared" si="134"/>
        <v>0</v>
      </c>
      <c r="W292" s="133">
        <f t="shared" si="133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42751</v>
      </c>
      <c r="G293" s="128">
        <f>90*4+90*3</f>
        <v>630</v>
      </c>
      <c r="H293" s="584">
        <f t="shared" ref="H293:H307" si="135">D293*G293</f>
        <v>3168.9</v>
      </c>
      <c r="I293" s="129">
        <f>11.5*2</f>
        <v>23</v>
      </c>
      <c r="J293" s="130">
        <f t="array" ref="J293">IF(ISERROR(G293/I293),"",G293/I293)</f>
        <v>27.391304347826086</v>
      </c>
      <c r="K293" s="131">
        <f t="array" ref="K293">IF(ISERROR(G293/L293),"",G293/L293)</f>
        <v>25.2</v>
      </c>
      <c r="L293" s="129">
        <v>25</v>
      </c>
      <c r="M293" s="109">
        <f t="shared" ref="M293:M307" si="136">IF(ISERROR(I293-K293),"",I293-K293)</f>
        <v>-2.1999999999999993</v>
      </c>
      <c r="N293" s="130">
        <f t="shared" ref="N293:N307" si="137">SUM(O293:U293)</f>
        <v>0</v>
      </c>
      <c r="O293" s="592"/>
      <c r="P293" s="592"/>
      <c r="Q293" s="592"/>
      <c r="R293" s="592"/>
      <c r="S293" s="592"/>
      <c r="T293" s="592"/>
      <c r="U293" s="592"/>
      <c r="V293" s="132">
        <f t="shared" ref="V293:V307" si="138">SUM(X293:AA293)</f>
        <v>0</v>
      </c>
      <c r="W293" s="133">
        <f t="shared" si="133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584">
        <f t="shared" si="135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6"/>
        <v>0</v>
      </c>
      <c r="N294" s="130">
        <f t="shared" si="137"/>
        <v>0</v>
      </c>
      <c r="O294" s="592"/>
      <c r="P294" s="592"/>
      <c r="Q294" s="592"/>
      <c r="R294" s="592"/>
      <c r="S294" s="592"/>
      <c r="T294" s="592"/>
      <c r="U294" s="592"/>
      <c r="V294" s="132">
        <f t="shared" si="138"/>
        <v>0</v>
      </c>
      <c r="W294" s="133" t="str">
        <f t="shared" si="133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584">
        <f t="shared" si="135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6"/>
        <v>0</v>
      </c>
      <c r="N295" s="130">
        <f t="shared" si="137"/>
        <v>0</v>
      </c>
      <c r="O295" s="592"/>
      <c r="P295" s="592"/>
      <c r="Q295" s="592"/>
      <c r="R295" s="592"/>
      <c r="S295" s="592"/>
      <c r="T295" s="592"/>
      <c r="U295" s="592"/>
      <c r="V295" s="132">
        <f t="shared" si="138"/>
        <v>0</v>
      </c>
      <c r="W295" s="133" t="str">
        <f t="shared" si="133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584">
        <f t="shared" si="135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6"/>
        <v>0</v>
      </c>
      <c r="N296" s="130">
        <f t="shared" si="137"/>
        <v>0</v>
      </c>
      <c r="O296" s="592"/>
      <c r="P296" s="592"/>
      <c r="Q296" s="592"/>
      <c r="R296" s="592"/>
      <c r="S296" s="592"/>
      <c r="T296" s="592"/>
      <c r="U296" s="592"/>
      <c r="V296" s="132">
        <f t="shared" si="138"/>
        <v>0</v>
      </c>
      <c r="W296" s="133" t="str">
        <f t="shared" si="133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589" t="s">
        <v>203</v>
      </c>
      <c r="D297" s="108">
        <v>5.03</v>
      </c>
      <c r="E297" s="108"/>
      <c r="F297" s="127"/>
      <c r="G297" s="128"/>
      <c r="H297" s="584">
        <f t="shared" si="135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6"/>
        <v>0</v>
      </c>
      <c r="N297" s="130">
        <f t="shared" si="137"/>
        <v>0</v>
      </c>
      <c r="O297" s="592"/>
      <c r="P297" s="592"/>
      <c r="Q297" s="592"/>
      <c r="R297" s="592"/>
      <c r="S297" s="592"/>
      <c r="T297" s="592"/>
      <c r="U297" s="592"/>
      <c r="V297" s="132">
        <f t="shared" si="138"/>
        <v>0</v>
      </c>
      <c r="W297" s="133" t="str">
        <f t="shared" si="133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584">
        <f t="shared" si="135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6"/>
        <v>0</v>
      </c>
      <c r="N298" s="130">
        <f t="shared" si="137"/>
        <v>0</v>
      </c>
      <c r="O298" s="592"/>
      <c r="P298" s="592"/>
      <c r="Q298" s="592"/>
      <c r="R298" s="592"/>
      <c r="S298" s="592"/>
      <c r="T298" s="592"/>
      <c r="U298" s="592"/>
      <c r="V298" s="132">
        <f t="shared" si="138"/>
        <v>0</v>
      </c>
      <c r="W298" s="133" t="str">
        <f t="shared" si="133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584">
        <f t="shared" si="135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6"/>
        <v>0</v>
      </c>
      <c r="N299" s="130">
        <f t="shared" si="137"/>
        <v>0</v>
      </c>
      <c r="O299" s="592"/>
      <c r="P299" s="592"/>
      <c r="Q299" s="592"/>
      <c r="R299" s="592"/>
      <c r="S299" s="592"/>
      <c r="T299" s="592"/>
      <c r="U299" s="592"/>
      <c r="V299" s="132">
        <f t="shared" si="138"/>
        <v>0</v>
      </c>
      <c r="W299" s="133" t="str">
        <f t="shared" si="133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589" t="s">
        <v>228</v>
      </c>
      <c r="D300" s="108">
        <v>5.03</v>
      </c>
      <c r="E300" s="108"/>
      <c r="F300" s="127"/>
      <c r="G300" s="128"/>
      <c r="H300" s="584">
        <f t="shared" si="135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6"/>
        <v>0</v>
      </c>
      <c r="N300" s="130">
        <f t="shared" si="137"/>
        <v>0</v>
      </c>
      <c r="O300" s="592"/>
      <c r="P300" s="592"/>
      <c r="Q300" s="592"/>
      <c r="R300" s="592"/>
      <c r="S300" s="592"/>
      <c r="T300" s="592"/>
      <c r="U300" s="592"/>
      <c r="V300" s="132">
        <f t="shared" si="138"/>
        <v>0</v>
      </c>
      <c r="W300" s="133" t="str">
        <f t="shared" si="133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589" t="s">
        <v>212</v>
      </c>
      <c r="D301" s="108">
        <v>5.03</v>
      </c>
      <c r="E301" s="108"/>
      <c r="F301" s="127"/>
      <c r="G301" s="128"/>
      <c r="H301" s="584">
        <f t="shared" si="135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6"/>
        <v/>
      </c>
      <c r="N301" s="130">
        <f t="shared" si="137"/>
        <v>0</v>
      </c>
      <c r="O301" s="592"/>
      <c r="P301" s="592"/>
      <c r="Q301" s="592"/>
      <c r="R301" s="592"/>
      <c r="S301" s="592"/>
      <c r="T301" s="592"/>
      <c r="U301" s="592"/>
      <c r="V301" s="132">
        <f t="shared" si="138"/>
        <v>0</v>
      </c>
      <c r="W301" s="133" t="str">
        <f t="shared" si="133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589" t="s">
        <v>203</v>
      </c>
      <c r="D302" s="108">
        <v>5.03</v>
      </c>
      <c r="E302" s="108"/>
      <c r="F302" s="127"/>
      <c r="G302" s="128"/>
      <c r="H302" s="584">
        <f t="shared" si="135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6"/>
        <v/>
      </c>
      <c r="N302" s="130">
        <f t="shared" si="137"/>
        <v>0</v>
      </c>
      <c r="O302" s="592"/>
      <c r="P302" s="592"/>
      <c r="Q302" s="592"/>
      <c r="R302" s="592"/>
      <c r="S302" s="592"/>
      <c r="T302" s="592"/>
      <c r="U302" s="592"/>
      <c r="V302" s="132">
        <f t="shared" si="138"/>
        <v>0</v>
      </c>
      <c r="W302" s="133" t="str">
        <f t="shared" si="133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589" t="s">
        <v>186</v>
      </c>
      <c r="D303" s="108">
        <v>5.03</v>
      </c>
      <c r="E303" s="108"/>
      <c r="F303" s="127"/>
      <c r="G303" s="128"/>
      <c r="H303" s="584">
        <f t="shared" si="135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6"/>
        <v/>
      </c>
      <c r="N303" s="130">
        <f t="shared" si="137"/>
        <v>0</v>
      </c>
      <c r="O303" s="592"/>
      <c r="P303" s="592"/>
      <c r="Q303" s="592"/>
      <c r="R303" s="592"/>
      <c r="S303" s="592"/>
      <c r="T303" s="592"/>
      <c r="U303" s="592"/>
      <c r="V303" s="132">
        <f t="shared" si="138"/>
        <v>0</v>
      </c>
      <c r="W303" s="133" t="str">
        <f t="shared" si="133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589" t="s">
        <v>228</v>
      </c>
      <c r="D304" s="108">
        <v>5.03</v>
      </c>
      <c r="E304" s="108"/>
      <c r="F304" s="127"/>
      <c r="G304" s="128"/>
      <c r="H304" s="584">
        <f t="shared" si="135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6"/>
        <v/>
      </c>
      <c r="N304" s="130">
        <f t="shared" si="137"/>
        <v>0</v>
      </c>
      <c r="O304" s="592"/>
      <c r="P304" s="592"/>
      <c r="Q304" s="592"/>
      <c r="R304" s="592"/>
      <c r="S304" s="592"/>
      <c r="T304" s="592"/>
      <c r="U304" s="592"/>
      <c r="V304" s="132">
        <f t="shared" si="138"/>
        <v>0</v>
      </c>
      <c r="W304" s="133" t="str">
        <f t="shared" si="133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589" t="s">
        <v>199</v>
      </c>
      <c r="D305" s="108">
        <v>5.03</v>
      </c>
      <c r="E305" s="108"/>
      <c r="F305" s="127"/>
      <c r="G305" s="128"/>
      <c r="H305" s="584">
        <f t="shared" si="135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6"/>
        <v/>
      </c>
      <c r="N305" s="130">
        <f t="shared" si="137"/>
        <v>0</v>
      </c>
      <c r="O305" s="592"/>
      <c r="P305" s="592"/>
      <c r="Q305" s="592"/>
      <c r="R305" s="592"/>
      <c r="S305" s="592"/>
      <c r="T305" s="592"/>
      <c r="U305" s="592"/>
      <c r="V305" s="132">
        <f t="shared" si="138"/>
        <v>0</v>
      </c>
      <c r="W305" s="133" t="str">
        <f t="shared" si="133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42748</v>
      </c>
      <c r="G306" s="128">
        <f>90*2+98</f>
        <v>278</v>
      </c>
      <c r="H306" s="584">
        <f t="shared" si="135"/>
        <v>1406.6799999999998</v>
      </c>
      <c r="I306" s="129">
        <f>11.5*4</f>
        <v>46</v>
      </c>
      <c r="J306" s="130">
        <f t="array" ref="J306">IF(ISERROR(G306/I306),"",G306/I306)</f>
        <v>6.0434782608695654</v>
      </c>
      <c r="K306" s="131">
        <f t="array" ref="K306">IF(ISERROR(G306/L306),"",G306/L306)</f>
        <v>11.12</v>
      </c>
      <c r="L306" s="129">
        <v>25</v>
      </c>
      <c r="M306" s="109">
        <f t="shared" si="136"/>
        <v>34.880000000000003</v>
      </c>
      <c r="N306" s="130">
        <f t="shared" si="137"/>
        <v>0</v>
      </c>
      <c r="O306" s="592"/>
      <c r="P306" s="592"/>
      <c r="Q306" s="592"/>
      <c r="R306" s="592"/>
      <c r="S306" s="592"/>
      <c r="T306" s="592"/>
      <c r="U306" s="592"/>
      <c r="V306" s="132">
        <f t="shared" si="138"/>
        <v>0</v>
      </c>
      <c r="W306" s="133">
        <f t="shared" si="133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584">
        <f t="shared" si="135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6"/>
        <v>0</v>
      </c>
      <c r="N307" s="130">
        <f t="shared" si="137"/>
        <v>0</v>
      </c>
      <c r="O307" s="592"/>
      <c r="P307" s="592"/>
      <c r="Q307" s="592"/>
      <c r="R307" s="592"/>
      <c r="S307" s="592"/>
      <c r="T307" s="592"/>
      <c r="U307" s="592"/>
      <c r="V307" s="132">
        <f t="shared" si="138"/>
        <v>0</v>
      </c>
      <c r="W307" s="133" t="str">
        <f t="shared" si="133"/>
        <v/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593" t="s">
        <v>202</v>
      </c>
      <c r="D308" s="143"/>
      <c r="E308" s="143"/>
      <c r="F308" s="144"/>
      <c r="G308" s="145">
        <f>SUM(G293:G307)</f>
        <v>908</v>
      </c>
      <c r="H308" s="146">
        <f>SUM(H293:H307)</f>
        <v>4575.58</v>
      </c>
      <c r="I308" s="146">
        <f>SUM(I293:I307)</f>
        <v>69</v>
      </c>
      <c r="J308" s="130">
        <f t="array" ref="J308">IF(ISERROR(G308/I308),"",G308/I308)</f>
        <v>13.159420289855072</v>
      </c>
      <c r="K308" s="146">
        <f>SUM(K293:K307)</f>
        <v>36.32</v>
      </c>
      <c r="L308" s="146"/>
      <c r="M308" s="150">
        <f>SUM(M293:M307)</f>
        <v>32.680000000000007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3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584">
        <f t="shared" ref="H309:H318" si="139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40">IF(ISERROR(I309-K309),"",I309-K309)</f>
        <v>0</v>
      </c>
      <c r="N309" s="130">
        <f t="shared" ref="N309:N318" si="141">SUM(O309:U309)</f>
        <v>0</v>
      </c>
      <c r="O309" s="592"/>
      <c r="P309" s="592"/>
      <c r="Q309" s="592"/>
      <c r="R309" s="592"/>
      <c r="S309" s="592"/>
      <c r="T309" s="592"/>
      <c r="U309" s="592"/>
      <c r="V309" s="132">
        <f t="shared" ref="V309:V318" si="142">SUM(X309:AA309)</f>
        <v>0</v>
      </c>
      <c r="W309" s="133" t="str">
        <f t="shared" si="133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584">
        <f t="shared" si="139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0"/>
        <v>0</v>
      </c>
      <c r="N310" s="130">
        <f t="shared" si="141"/>
        <v>0</v>
      </c>
      <c r="O310" s="592"/>
      <c r="P310" s="592"/>
      <c r="Q310" s="592"/>
      <c r="R310" s="592"/>
      <c r="S310" s="592"/>
      <c r="T310" s="592"/>
      <c r="U310" s="592"/>
      <c r="V310" s="132">
        <f t="shared" si="142"/>
        <v>0</v>
      </c>
      <c r="W310" s="133" t="str">
        <f t="shared" si="133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584">
        <f t="shared" si="139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0"/>
        <v>0</v>
      </c>
      <c r="N311" s="130">
        <f t="shared" si="141"/>
        <v>0</v>
      </c>
      <c r="O311" s="592"/>
      <c r="P311" s="592"/>
      <c r="Q311" s="592"/>
      <c r="R311" s="592"/>
      <c r="S311" s="592"/>
      <c r="T311" s="592"/>
      <c r="U311" s="592"/>
      <c r="V311" s="132">
        <f t="shared" si="142"/>
        <v>0</v>
      </c>
      <c r="W311" s="133" t="str">
        <f t="shared" si="133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584">
        <f t="shared" si="139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0"/>
        <v>0</v>
      </c>
      <c r="N312" s="130">
        <f t="shared" si="141"/>
        <v>0</v>
      </c>
      <c r="O312" s="592"/>
      <c r="P312" s="592"/>
      <c r="Q312" s="592"/>
      <c r="R312" s="592"/>
      <c r="S312" s="592"/>
      <c r="T312" s="592"/>
      <c r="U312" s="592"/>
      <c r="V312" s="132">
        <f t="shared" si="142"/>
        <v>0</v>
      </c>
      <c r="W312" s="133" t="str">
        <f t="shared" si="133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584">
        <f t="shared" si="139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40"/>
        <v>0</v>
      </c>
      <c r="N313" s="130">
        <f t="shared" si="141"/>
        <v>0</v>
      </c>
      <c r="O313" s="592"/>
      <c r="P313" s="592"/>
      <c r="Q313" s="592"/>
      <c r="R313" s="592"/>
      <c r="S313" s="592"/>
      <c r="T313" s="592"/>
      <c r="U313" s="592"/>
      <c r="V313" s="132">
        <f t="shared" si="142"/>
        <v>0</v>
      </c>
      <c r="W313" s="133" t="str">
        <f t="shared" si="133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584">
        <f t="shared" si="139"/>
        <v>0</v>
      </c>
      <c r="I314" s="129"/>
      <c r="J314" s="130"/>
      <c r="K314" s="131"/>
      <c r="L314" s="129">
        <v>13.5</v>
      </c>
      <c r="M314" s="109"/>
      <c r="N314" s="130"/>
      <c r="O314" s="592"/>
      <c r="P314" s="592"/>
      <c r="Q314" s="592"/>
      <c r="R314" s="592"/>
      <c r="S314" s="592"/>
      <c r="T314" s="592"/>
      <c r="U314" s="59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584">
        <f t="shared" si="139"/>
        <v>0</v>
      </c>
      <c r="I315" s="129"/>
      <c r="J315" s="130"/>
      <c r="K315" s="131"/>
      <c r="L315" s="129">
        <v>13.5</v>
      </c>
      <c r="M315" s="109"/>
      <c r="N315" s="130"/>
      <c r="O315" s="592"/>
      <c r="P315" s="592"/>
      <c r="Q315" s="592"/>
      <c r="R315" s="592"/>
      <c r="S315" s="592"/>
      <c r="T315" s="592"/>
      <c r="U315" s="59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584">
        <f t="shared" si="139"/>
        <v>0</v>
      </c>
      <c r="I316" s="129"/>
      <c r="J316" s="130"/>
      <c r="K316" s="131"/>
      <c r="L316" s="129">
        <v>13.5</v>
      </c>
      <c r="M316" s="109"/>
      <c r="N316" s="130"/>
      <c r="O316" s="592"/>
      <c r="P316" s="592"/>
      <c r="Q316" s="592"/>
      <c r="R316" s="592"/>
      <c r="S316" s="592"/>
      <c r="T316" s="592"/>
      <c r="U316" s="59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f>90*6+65</f>
        <v>605</v>
      </c>
      <c r="H317" s="584">
        <f t="shared" si="139"/>
        <v>3043.15</v>
      </c>
      <c r="I317" s="129">
        <f>11.5*4</f>
        <v>46</v>
      </c>
      <c r="J317" s="130">
        <f t="array" ref="J317">IF(ISERROR(G317/I317),"",G317/I317)</f>
        <v>13.152173913043478</v>
      </c>
      <c r="K317" s="131">
        <f t="array" ref="K317">IF(ISERROR(G317/L317),"",G317/L317)</f>
        <v>44.814814814814817</v>
      </c>
      <c r="L317" s="129">
        <v>13.5</v>
      </c>
      <c r="M317" s="109">
        <f t="shared" ref="M317" si="143">IF(ISERROR(I317-K317),"",I317-K317)</f>
        <v>1.1851851851851833</v>
      </c>
      <c r="N317" s="130"/>
      <c r="O317" s="592"/>
      <c r="P317" s="592"/>
      <c r="Q317" s="592"/>
      <c r="R317" s="592"/>
      <c r="S317" s="592"/>
      <c r="T317" s="592"/>
      <c r="U317" s="59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584">
        <f t="shared" si="139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:M327" si="144">IF(ISERROR(I318-K318),"",I318-K318)</f>
        <v>0</v>
      </c>
      <c r="N318" s="130">
        <f t="shared" ref="N318:N327" si="145">SUM(O318:U318)</f>
        <v>0</v>
      </c>
      <c r="O318" s="592"/>
      <c r="P318" s="592"/>
      <c r="Q318" s="592"/>
      <c r="R318" s="592"/>
      <c r="S318" s="592"/>
      <c r="T318" s="592"/>
      <c r="U318" s="592"/>
      <c r="V318" s="132">
        <f t="shared" ref="V318:V327" si="146">SUM(X318:AA318)</f>
        <v>0</v>
      </c>
      <c r="W318" s="133" t="str">
        <f t="shared" ref="W318:W335" si="147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593" t="s">
        <v>202</v>
      </c>
      <c r="D319" s="143"/>
      <c r="E319" s="143"/>
      <c r="F319" s="144"/>
      <c r="G319" s="145">
        <f>SUM(G309:G318)</f>
        <v>605</v>
      </c>
      <c r="H319" s="146">
        <f>SUM(H309:H318)</f>
        <v>3043.15</v>
      </c>
      <c r="I319" s="146">
        <f>SUM(I309:I318)</f>
        <v>46</v>
      </c>
      <c r="J319" s="130">
        <f t="array" ref="J319">IF(ISERROR(G319/I319),"",G319/I319)</f>
        <v>13.152173913043478</v>
      </c>
      <c r="K319" s="146">
        <f>SUM(K309:K318)</f>
        <v>44.814814814814817</v>
      </c>
      <c r="L319" s="147"/>
      <c r="M319" s="150">
        <f>SUM(M309:M318)</f>
        <v>1.1851851851851833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7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590"/>
      <c r="D320" s="108">
        <v>3.65</v>
      </c>
      <c r="E320" s="108"/>
      <c r="F320" s="153"/>
      <c r="G320" s="128"/>
      <c r="H320" s="584">
        <f t="shared" ref="H320:H333" si="148">D320*G320</f>
        <v>0</v>
      </c>
      <c r="I320" s="129"/>
      <c r="J320" s="130" t="str">
        <f t="array" ref="J320">IF(ISERROR(G320/I320),"",G320/I320)</f>
        <v/>
      </c>
      <c r="K320" s="584">
        <f t="array" ref="K320">IF(ISERROR(G320/L320),"",G320/L320)</f>
        <v>0</v>
      </c>
      <c r="L320" s="129">
        <v>5</v>
      </c>
      <c r="M320" s="109">
        <f t="shared" ref="M320:M323" si="149">IF(ISERROR(I320-K320),"",I320-K320)</f>
        <v>0</v>
      </c>
      <c r="N320" s="130">
        <f t="shared" ref="N320:N323" si="150">SUM(O320:U320)</f>
        <v>0</v>
      </c>
      <c r="O320" s="592"/>
      <c r="P320" s="592"/>
      <c r="Q320" s="592"/>
      <c r="R320" s="592"/>
      <c r="S320" s="592"/>
      <c r="T320" s="592"/>
      <c r="U320" s="592"/>
      <c r="V320" s="132">
        <f t="shared" ref="V320:V323" si="151">SUM(X320:AA320)</f>
        <v>0</v>
      </c>
      <c r="W320" s="133" t="str">
        <f t="shared" si="147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590"/>
      <c r="D321" s="108">
        <v>6.58</v>
      </c>
      <c r="E321" s="108"/>
      <c r="F321" s="127"/>
      <c r="G321" s="128"/>
      <c r="H321" s="584">
        <f t="shared" si="148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9"/>
        <v>0</v>
      </c>
      <c r="N321" s="130">
        <f t="shared" si="150"/>
        <v>0</v>
      </c>
      <c r="O321" s="592"/>
      <c r="P321" s="592"/>
      <c r="Q321" s="592"/>
      <c r="R321" s="592"/>
      <c r="S321" s="592"/>
      <c r="T321" s="592"/>
      <c r="U321" s="592"/>
      <c r="V321" s="132">
        <f t="shared" si="151"/>
        <v>0</v>
      </c>
      <c r="W321" s="133" t="str">
        <f t="shared" si="147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590"/>
      <c r="D322" s="108">
        <v>7.8</v>
      </c>
      <c r="E322" s="108"/>
      <c r="F322" s="127">
        <v>42745</v>
      </c>
      <c r="G322" s="527">
        <v>32</v>
      </c>
      <c r="H322" s="584">
        <f t="shared" si="148"/>
        <v>249.6</v>
      </c>
      <c r="I322" s="129">
        <v>7</v>
      </c>
      <c r="J322" s="130">
        <f t="array" ref="J322">IF(ISERROR(G322/I322),"",G322/I322)</f>
        <v>4.5714285714285712</v>
      </c>
      <c r="K322" s="131">
        <f t="array" ref="K322">IF(ISERROR(G322/L322),"",G322/L322)</f>
        <v>6.9565217391304355</v>
      </c>
      <c r="L322" s="129">
        <v>4.5999999999999996</v>
      </c>
      <c r="M322" s="109">
        <f t="shared" si="149"/>
        <v>4.3478260869564522E-2</v>
      </c>
      <c r="N322" s="130">
        <f t="shared" si="150"/>
        <v>0</v>
      </c>
      <c r="O322" s="592"/>
      <c r="P322" s="592"/>
      <c r="Q322" s="592"/>
      <c r="R322" s="592"/>
      <c r="S322" s="592"/>
      <c r="T322" s="592"/>
      <c r="U322" s="592"/>
      <c r="V322" s="132">
        <f t="shared" si="151"/>
        <v>0</v>
      </c>
      <c r="W322" s="133">
        <f t="shared" si="147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590"/>
      <c r="D323" s="108">
        <v>4.4000000000000004</v>
      </c>
      <c r="E323" s="108"/>
      <c r="F323" s="127"/>
      <c r="G323" s="128"/>
      <c r="H323" s="584">
        <f t="shared" si="148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9"/>
        <v>0</v>
      </c>
      <c r="N323" s="130">
        <f t="shared" si="150"/>
        <v>0</v>
      </c>
      <c r="O323" s="592"/>
      <c r="P323" s="592"/>
      <c r="Q323" s="592"/>
      <c r="R323" s="592"/>
      <c r="S323" s="592"/>
      <c r="T323" s="592"/>
      <c r="U323" s="592"/>
      <c r="V323" s="132">
        <f t="shared" si="151"/>
        <v>0</v>
      </c>
      <c r="W323" s="133" t="str">
        <f t="shared" si="147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590"/>
      <c r="D324" s="108"/>
      <c r="E324" s="108"/>
      <c r="F324" s="127"/>
      <c r="G324" s="128"/>
      <c r="H324" s="584">
        <f t="shared" si="148"/>
        <v>0</v>
      </c>
      <c r="I324" s="129"/>
      <c r="J324" s="130"/>
      <c r="K324" s="131"/>
      <c r="L324" s="129">
        <v>6</v>
      </c>
      <c r="M324" s="109"/>
      <c r="N324" s="130"/>
      <c r="O324" s="592"/>
      <c r="P324" s="592"/>
      <c r="Q324" s="592"/>
      <c r="R324" s="592"/>
      <c r="S324" s="592"/>
      <c r="T324" s="592"/>
      <c r="U324" s="59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590" t="s">
        <v>239</v>
      </c>
      <c r="C325" s="590" t="s">
        <v>179</v>
      </c>
      <c r="D325" s="108">
        <v>6.04</v>
      </c>
      <c r="E325" s="108"/>
      <c r="F325" s="127"/>
      <c r="G325" s="128"/>
      <c r="H325" s="584">
        <f t="shared" si="148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2">IF(ISERROR(I325-K325),"",I325-K325)</f>
        <v>0</v>
      </c>
      <c r="N325" s="130">
        <f t="shared" ref="N325:N326" si="153">SUM(O325:U325)</f>
        <v>0</v>
      </c>
      <c r="O325" s="592"/>
      <c r="P325" s="592"/>
      <c r="Q325" s="592"/>
      <c r="R325" s="592"/>
      <c r="S325" s="592"/>
      <c r="T325" s="592"/>
      <c r="U325" s="592"/>
      <c r="V325" s="132">
        <f t="shared" ref="V325:V326" si="154">SUM(X325:AA325)</f>
        <v>0</v>
      </c>
      <c r="W325" s="133" t="str">
        <f t="shared" ref="W325:W326" si="155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590" t="s">
        <v>239</v>
      </c>
      <c r="C326" s="590" t="s">
        <v>186</v>
      </c>
      <c r="D326" s="108">
        <v>6.04</v>
      </c>
      <c r="E326" s="108"/>
      <c r="F326" s="127"/>
      <c r="G326" s="128"/>
      <c r="H326" s="584">
        <f t="shared" si="148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2"/>
        <v>0</v>
      </c>
      <c r="N326" s="130">
        <f t="shared" si="153"/>
        <v>0</v>
      </c>
      <c r="O326" s="592"/>
      <c r="P326" s="592"/>
      <c r="Q326" s="592"/>
      <c r="R326" s="592"/>
      <c r="S326" s="592"/>
      <c r="T326" s="592"/>
      <c r="U326" s="592"/>
      <c r="V326" s="132">
        <f t="shared" si="154"/>
        <v>0</v>
      </c>
      <c r="W326" s="133" t="str">
        <f t="shared" si="155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590" t="s">
        <v>443</v>
      </c>
      <c r="C327" s="590" t="s">
        <v>179</v>
      </c>
      <c r="D327" s="108">
        <v>6</v>
      </c>
      <c r="E327" s="108"/>
      <c r="F327" s="127"/>
      <c r="G327" s="128"/>
      <c r="H327" s="584">
        <f t="shared" si="148"/>
        <v>0</v>
      </c>
      <c r="I327" s="129"/>
      <c r="J327" s="130"/>
      <c r="K327" s="131"/>
      <c r="L327" s="129"/>
      <c r="M327" s="109"/>
      <c r="N327" s="130"/>
      <c r="O327" s="592"/>
      <c r="P327" s="592"/>
      <c r="Q327" s="592"/>
      <c r="R327" s="592"/>
      <c r="S327" s="592"/>
      <c r="T327" s="592"/>
      <c r="U327" s="592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590" t="s">
        <v>443</v>
      </c>
      <c r="C328" s="590" t="s">
        <v>60</v>
      </c>
      <c r="D328" s="108">
        <v>6</v>
      </c>
      <c r="E328" s="108"/>
      <c r="F328" s="127">
        <v>42746</v>
      </c>
      <c r="G328" s="527">
        <f>42+42+40+36</f>
        <v>160</v>
      </c>
      <c r="H328" s="584">
        <f t="shared" si="148"/>
        <v>960</v>
      </c>
      <c r="I328" s="129">
        <f>11.5*4</f>
        <v>46</v>
      </c>
      <c r="J328" s="130">
        <f t="array" ref="J328">IF(ISERROR(G328/I328),"",G328/I328)</f>
        <v>3.4782608695652173</v>
      </c>
      <c r="K328" s="131">
        <f t="array" ref="K328">IF(ISERROR(G328/L328),"",G328/L328)</f>
        <v>26.666666666666668</v>
      </c>
      <c r="L328" s="129">
        <v>6</v>
      </c>
      <c r="M328" s="109">
        <f t="shared" ref="M328" si="156">IF(ISERROR(I328-K328),"",I328-K328)</f>
        <v>19.333333333333332</v>
      </c>
      <c r="N328" s="130"/>
      <c r="O328" s="592"/>
      <c r="P328" s="592"/>
      <c r="Q328" s="592"/>
      <c r="R328" s="592"/>
      <c r="S328" s="592"/>
      <c r="T328" s="592"/>
      <c r="U328" s="59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583" t="s">
        <v>240</v>
      </c>
      <c r="C329" s="126"/>
      <c r="D329" s="108">
        <v>7.3</v>
      </c>
      <c r="E329" s="108"/>
      <c r="F329" s="127"/>
      <c r="G329" s="128"/>
      <c r="H329" s="584">
        <f t="shared" si="148"/>
        <v>0</v>
      </c>
      <c r="I329" s="129"/>
      <c r="J329" s="130"/>
      <c r="K329" s="131"/>
      <c r="L329" s="129"/>
      <c r="M329" s="109"/>
      <c r="N329" s="130"/>
      <c r="O329" s="592"/>
      <c r="P329" s="592"/>
      <c r="Q329" s="592"/>
      <c r="R329" s="592"/>
      <c r="S329" s="592"/>
      <c r="T329" s="592"/>
      <c r="U329" s="59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583" t="s">
        <v>241</v>
      </c>
      <c r="C330" s="126"/>
      <c r="D330" s="108">
        <f>78*120/1000</f>
        <v>9.36</v>
      </c>
      <c r="E330" s="108"/>
      <c r="F330" s="127"/>
      <c r="G330" s="128"/>
      <c r="H330" s="584">
        <f t="shared" si="148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7">SUM(O330:U330)</f>
        <v>0</v>
      </c>
      <c r="O330" s="592"/>
      <c r="P330" s="592"/>
      <c r="Q330" s="592"/>
      <c r="R330" s="592"/>
      <c r="S330" s="592"/>
      <c r="T330" s="592"/>
      <c r="U330" s="592"/>
      <c r="V330" s="132">
        <f t="shared" ref="V330" si="158">SUM(X330:AA330)</f>
        <v>0</v>
      </c>
      <c r="W330" s="133" t="str">
        <f t="shared" ref="W330" si="159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583" t="s">
        <v>242</v>
      </c>
      <c r="C331" s="126"/>
      <c r="D331" s="108">
        <v>4.5</v>
      </c>
      <c r="E331" s="108"/>
      <c r="F331" s="127"/>
      <c r="G331" s="128"/>
      <c r="H331" s="584">
        <f t="shared" si="148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592"/>
      <c r="P331" s="592"/>
      <c r="Q331" s="592"/>
      <c r="R331" s="592"/>
      <c r="S331" s="592"/>
      <c r="T331" s="592"/>
      <c r="U331" s="59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583" t="s">
        <v>243</v>
      </c>
      <c r="C332" s="126"/>
      <c r="D332" s="108">
        <v>4.5</v>
      </c>
      <c r="E332" s="108"/>
      <c r="F332" s="127"/>
      <c r="G332" s="128"/>
      <c r="H332" s="584">
        <f t="shared" si="148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592"/>
      <c r="P332" s="592"/>
      <c r="Q332" s="592"/>
      <c r="R332" s="592"/>
      <c r="S332" s="592"/>
      <c r="T332" s="592"/>
      <c r="U332" s="59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584">
        <f t="shared" si="148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592"/>
      <c r="P333" s="592"/>
      <c r="Q333" s="592"/>
      <c r="R333" s="592"/>
      <c r="S333" s="592"/>
      <c r="T333" s="592"/>
      <c r="U333" s="592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593" t="s">
        <v>202</v>
      </c>
      <c r="D334" s="143"/>
      <c r="E334" s="143"/>
      <c r="F334" s="144"/>
      <c r="G334" s="145">
        <f>SUM(G320:G333)</f>
        <v>192</v>
      </c>
      <c r="H334" s="146">
        <f>SUM(H320:H330)</f>
        <v>1209.5999999999999</v>
      </c>
      <c r="I334" s="146">
        <f>SUM(I320:I333)</f>
        <v>53</v>
      </c>
      <c r="J334" s="130">
        <f t="array" ref="J334">IF(ISERROR(G334/I334),"",G334/I334)</f>
        <v>3.6226415094339623</v>
      </c>
      <c r="K334" s="146">
        <f>SUM(K320:K330)</f>
        <v>33.623188405797102</v>
      </c>
      <c r="L334" s="147"/>
      <c r="M334" s="150">
        <f t="shared" ref="M334:AA334" si="160">SUM(M320:M330)</f>
        <v>19.376811594202898</v>
      </c>
      <c r="N334" s="146">
        <f t="shared" si="160"/>
        <v>0</v>
      </c>
      <c r="O334" s="148">
        <f t="shared" si="160"/>
        <v>0</v>
      </c>
      <c r="P334" s="148">
        <f t="shared" si="160"/>
        <v>0</v>
      </c>
      <c r="Q334" s="148">
        <f t="shared" si="160"/>
        <v>0</v>
      </c>
      <c r="R334" s="148">
        <f t="shared" si="160"/>
        <v>0</v>
      </c>
      <c r="S334" s="148">
        <f t="shared" si="160"/>
        <v>0</v>
      </c>
      <c r="T334" s="148">
        <f t="shared" si="160"/>
        <v>0</v>
      </c>
      <c r="U334" s="148">
        <f t="shared" si="160"/>
        <v>0</v>
      </c>
      <c r="V334" s="149">
        <f t="shared" si="160"/>
        <v>0</v>
      </c>
      <c r="W334" s="133">
        <f t="shared" si="160"/>
        <v>0</v>
      </c>
      <c r="X334" s="149">
        <f t="shared" si="160"/>
        <v>0</v>
      </c>
      <c r="Y334" s="149">
        <f t="shared" si="160"/>
        <v>0</v>
      </c>
      <c r="Z334" s="149">
        <f t="shared" si="160"/>
        <v>0</v>
      </c>
      <c r="AA334" s="149">
        <f t="shared" si="160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4656</v>
      </c>
      <c r="H335" s="154">
        <f>SUM(H199,H257,H292,H308,H319,H334)</f>
        <v>23692.839999999997</v>
      </c>
      <c r="I335" s="154">
        <f>SUM(I199,I257,I292,I308,I319,I334)</f>
        <v>322.5</v>
      </c>
      <c r="J335" s="155">
        <f t="array" ref="J335">IF(ISERROR(G335/I335),"",G335/I335)</f>
        <v>14.437209302325581</v>
      </c>
      <c r="K335" s="154">
        <f>SUM(K199,K257,K292,K308,K319,K334)</f>
        <v>263.76942474828729</v>
      </c>
      <c r="L335" s="155">
        <f>IF(ISERROR(G335/K335),"",G335/K335)</f>
        <v>17.651780544478108</v>
      </c>
      <c r="M335" s="154">
        <f t="shared" ref="M335:AA335" si="161">SUM(M199,M257,M292,M308,M319,M334)</f>
        <v>58.730575251712693</v>
      </c>
      <c r="N335" s="154">
        <f t="shared" si="161"/>
        <v>0</v>
      </c>
      <c r="O335" s="154">
        <f t="shared" si="161"/>
        <v>0</v>
      </c>
      <c r="P335" s="154">
        <f t="shared" si="161"/>
        <v>0</v>
      </c>
      <c r="Q335" s="154">
        <f t="shared" si="161"/>
        <v>0</v>
      </c>
      <c r="R335" s="154">
        <f t="shared" si="161"/>
        <v>0</v>
      </c>
      <c r="S335" s="154">
        <f t="shared" si="161"/>
        <v>0</v>
      </c>
      <c r="T335" s="154">
        <f t="shared" si="161"/>
        <v>0</v>
      </c>
      <c r="U335" s="154">
        <f t="shared" si="161"/>
        <v>0</v>
      </c>
      <c r="V335" s="154">
        <f t="shared" si="161"/>
        <v>0</v>
      </c>
      <c r="W335" s="154">
        <f t="shared" si="161"/>
        <v>0</v>
      </c>
      <c r="X335" s="154">
        <f t="shared" si="161"/>
        <v>0</v>
      </c>
      <c r="Y335" s="154">
        <f t="shared" si="161"/>
        <v>0</v>
      </c>
      <c r="Z335" s="154">
        <f t="shared" si="161"/>
        <v>0</v>
      </c>
      <c r="AA335" s="154">
        <f t="shared" si="161"/>
        <v>0</v>
      </c>
    </row>
    <row r="336" spans="1:27" ht="20.100000000000001" customHeight="1">
      <c r="A336" s="623" t="s">
        <v>476</v>
      </c>
      <c r="B336" s="586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586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586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586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586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586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586">
        <f>G335</f>
        <v>4656</v>
      </c>
      <c r="C342" s="638" t="s">
        <v>269</v>
      </c>
      <c r="D342" s="639"/>
      <c r="E342" s="631">
        <f>H335</f>
        <v>23692.839999999997</v>
      </c>
      <c r="F342" s="631"/>
      <c r="G342" s="631" t="s">
        <v>270</v>
      </c>
      <c r="H342" s="631"/>
      <c r="I342" s="640">
        <f>L335</f>
        <v>17.651780544478108</v>
      </c>
      <c r="J342" s="640"/>
      <c r="K342" s="628" t="s">
        <v>271</v>
      </c>
      <c r="L342" s="628"/>
      <c r="M342" s="640">
        <f>J335</f>
        <v>14.437209302325581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586">
        <f>I335+C341</f>
        <v>324.5</v>
      </c>
      <c r="C343" s="641" t="s">
        <v>251</v>
      </c>
      <c r="D343" s="642"/>
      <c r="E343" s="643">
        <f>K335+I341</f>
        <v>293.76942474828729</v>
      </c>
      <c r="F343" s="643"/>
      <c r="G343" s="631" t="s">
        <v>274</v>
      </c>
      <c r="H343" s="631"/>
      <c r="I343" s="640">
        <f>B343-E343</f>
        <v>30.730575251712708</v>
      </c>
      <c r="J343" s="640"/>
      <c r="K343" s="628" t="s">
        <v>275</v>
      </c>
      <c r="L343" s="628"/>
      <c r="M343" s="632">
        <f>IF(ISERROR(I343/E343),"",I343/E343)</f>
        <v>0.1046078068813452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586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296</v>
      </c>
      <c r="H348" s="590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583" t="s">
        <v>178</v>
      </c>
      <c r="C349" s="126" t="s">
        <v>179</v>
      </c>
      <c r="D349" s="108">
        <v>5.03</v>
      </c>
      <c r="E349" s="108"/>
      <c r="F349" s="127"/>
      <c r="G349" s="128"/>
      <c r="H349" s="584">
        <f t="shared" ref="H349:H369" si="162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3">IF(ISERROR(I349-K349),"",I349-K349)</f>
        <v>0</v>
      </c>
      <c r="N349" s="130">
        <f t="shared" ref="N349:N354" si="164">SUM(O349:U349)</f>
        <v>0</v>
      </c>
      <c r="O349" s="592"/>
      <c r="P349" s="592"/>
      <c r="Q349" s="592"/>
      <c r="R349" s="592"/>
      <c r="S349" s="592"/>
      <c r="T349" s="592"/>
      <c r="U349" s="592"/>
      <c r="V349" s="132">
        <f t="shared" ref="V349:V354" si="165">SUM(X349:AA349)</f>
        <v>0</v>
      </c>
      <c r="W349" s="133" t="str">
        <f t="shared" ref="W349:W354" si="166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584">
        <f t="shared" si="162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3"/>
        <v>0</v>
      </c>
      <c r="N350" s="130">
        <f t="shared" si="164"/>
        <v>0</v>
      </c>
      <c r="O350" s="592"/>
      <c r="P350" s="592"/>
      <c r="Q350" s="592"/>
      <c r="R350" s="592"/>
      <c r="S350" s="592"/>
      <c r="T350" s="592"/>
      <c r="U350" s="592"/>
      <c r="V350" s="132">
        <f t="shared" si="165"/>
        <v>0</v>
      </c>
      <c r="W350" s="133" t="str">
        <f t="shared" si="166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584">
        <f t="shared" si="162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3"/>
        <v>0</v>
      </c>
      <c r="N351" s="130">
        <f t="shared" si="164"/>
        <v>0</v>
      </c>
      <c r="O351" s="592"/>
      <c r="P351" s="592"/>
      <c r="Q351" s="592"/>
      <c r="R351" s="592"/>
      <c r="S351" s="592"/>
      <c r="T351" s="592"/>
      <c r="U351" s="592"/>
      <c r="V351" s="132">
        <f t="shared" si="165"/>
        <v>0</v>
      </c>
      <c r="W351" s="133" t="str">
        <f t="shared" si="166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584">
        <f t="shared" si="162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3"/>
        <v>0</v>
      </c>
      <c r="N352" s="130">
        <f t="shared" si="164"/>
        <v>0</v>
      </c>
      <c r="O352" s="592"/>
      <c r="P352" s="592"/>
      <c r="Q352" s="592"/>
      <c r="R352" s="592"/>
      <c r="S352" s="592"/>
      <c r="T352" s="592"/>
      <c r="U352" s="592"/>
      <c r="V352" s="132">
        <f t="shared" si="165"/>
        <v>0</v>
      </c>
      <c r="W352" s="133" t="str">
        <f t="shared" si="166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584">
        <f t="shared" si="162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3"/>
        <v>0</v>
      </c>
      <c r="N353" s="130">
        <f t="shared" si="164"/>
        <v>0</v>
      </c>
      <c r="O353" s="592"/>
      <c r="P353" s="592"/>
      <c r="Q353" s="592"/>
      <c r="R353" s="592"/>
      <c r="S353" s="592"/>
      <c r="T353" s="592"/>
      <c r="U353" s="592"/>
      <c r="V353" s="132">
        <f t="shared" si="165"/>
        <v>0</v>
      </c>
      <c r="W353" s="133" t="str">
        <f t="shared" si="166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584">
        <f t="shared" si="162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3"/>
        <v>0</v>
      </c>
      <c r="N354" s="130">
        <f t="shared" si="164"/>
        <v>0</v>
      </c>
      <c r="O354" s="592"/>
      <c r="P354" s="592"/>
      <c r="Q354" s="592"/>
      <c r="R354" s="592"/>
      <c r="S354" s="592"/>
      <c r="T354" s="592"/>
      <c r="U354" s="592"/>
      <c r="V354" s="132">
        <f t="shared" si="165"/>
        <v>0</v>
      </c>
      <c r="W354" s="133" t="str">
        <f t="shared" si="166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584">
        <f t="shared" si="162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3"/>
        <v>0</v>
      </c>
      <c r="N355" s="130"/>
      <c r="O355" s="592"/>
      <c r="P355" s="592"/>
      <c r="Q355" s="592"/>
      <c r="R355" s="592"/>
      <c r="S355" s="592"/>
      <c r="T355" s="592"/>
      <c r="U355" s="59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584">
        <f t="shared" si="162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3"/>
        <v>0</v>
      </c>
      <c r="N356" s="130"/>
      <c r="O356" s="592"/>
      <c r="P356" s="592"/>
      <c r="Q356" s="592"/>
      <c r="R356" s="592"/>
      <c r="S356" s="592"/>
      <c r="T356" s="592"/>
      <c r="U356" s="59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584">
        <f t="shared" si="162"/>
        <v>0</v>
      </c>
      <c r="I357" s="58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3"/>
        <v>0</v>
      </c>
      <c r="N357" s="130">
        <f>SUM(O357:U357)</f>
        <v>0</v>
      </c>
      <c r="O357" s="592"/>
      <c r="P357" s="592"/>
      <c r="Q357" s="592"/>
      <c r="R357" s="592"/>
      <c r="S357" s="592"/>
      <c r="T357" s="592"/>
      <c r="U357" s="59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584">
        <f t="shared" si="162"/>
        <v>0</v>
      </c>
      <c r="I358" s="58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3"/>
        <v>0</v>
      </c>
      <c r="N358" s="130">
        <f>SUM(O358:U358)</f>
        <v>0</v>
      </c>
      <c r="O358" s="592"/>
      <c r="P358" s="592"/>
      <c r="Q358" s="592"/>
      <c r="R358" s="592"/>
      <c r="S358" s="592"/>
      <c r="T358" s="592"/>
      <c r="U358" s="59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584">
        <f t="shared" si="162"/>
        <v>0</v>
      </c>
      <c r="I359" s="584"/>
      <c r="J359" s="130"/>
      <c r="K359" s="131"/>
      <c r="L359" s="129"/>
      <c r="M359" s="109"/>
      <c r="N359" s="130"/>
      <c r="O359" s="592"/>
      <c r="P359" s="592"/>
      <c r="Q359" s="592"/>
      <c r="R359" s="592"/>
      <c r="S359" s="592"/>
      <c r="T359" s="592"/>
      <c r="U359" s="59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584">
        <f t="shared" si="162"/>
        <v>0</v>
      </c>
      <c r="I360" s="584"/>
      <c r="J360" s="130"/>
      <c r="K360" s="131"/>
      <c r="L360" s="129"/>
      <c r="M360" s="109"/>
      <c r="N360" s="130"/>
      <c r="O360" s="592"/>
      <c r="P360" s="592"/>
      <c r="Q360" s="592"/>
      <c r="R360" s="592"/>
      <c r="S360" s="592"/>
      <c r="T360" s="592"/>
      <c r="U360" s="59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584">
        <f t="shared" si="162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81" si="167">IF(ISERROR(I361-K361),"",I361-K361)</f>
        <v>0</v>
      </c>
      <c r="N361" s="130">
        <f t="shared" ref="N361:N363" si="168">SUM(O361:U361)</f>
        <v>0</v>
      </c>
      <c r="O361" s="592"/>
      <c r="P361" s="592"/>
      <c r="Q361" s="592"/>
      <c r="R361" s="592"/>
      <c r="S361" s="592"/>
      <c r="T361" s="592"/>
      <c r="U361" s="592"/>
      <c r="V361" s="132">
        <f t="shared" ref="V361:V363" si="169">SUM(X361:AA361)</f>
        <v>0</v>
      </c>
      <c r="W361" s="133" t="str">
        <f t="shared" ref="W361:W363" si="170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584">
        <f t="shared" si="162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7"/>
        <v>0</v>
      </c>
      <c r="N362" s="130">
        <f t="shared" si="168"/>
        <v>0</v>
      </c>
      <c r="O362" s="592"/>
      <c r="P362" s="592"/>
      <c r="Q362" s="592"/>
      <c r="R362" s="592"/>
      <c r="S362" s="592"/>
      <c r="T362" s="592"/>
      <c r="U362" s="592"/>
      <c r="V362" s="132">
        <f t="shared" si="169"/>
        <v>0</v>
      </c>
      <c r="W362" s="133" t="str">
        <f t="shared" si="170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584">
        <f t="shared" si="162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7"/>
        <v>0</v>
      </c>
      <c r="N363" s="130">
        <f t="shared" si="168"/>
        <v>0</v>
      </c>
      <c r="O363" s="592"/>
      <c r="P363" s="592"/>
      <c r="Q363" s="592"/>
      <c r="R363" s="592"/>
      <c r="S363" s="592"/>
      <c r="T363" s="592"/>
      <c r="U363" s="592"/>
      <c r="V363" s="132">
        <f t="shared" si="169"/>
        <v>0</v>
      </c>
      <c r="W363" s="133" t="str">
        <f t="shared" si="170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590" t="s">
        <v>190</v>
      </c>
      <c r="D364" s="108">
        <v>4.8</v>
      </c>
      <c r="E364" s="108"/>
      <c r="F364" s="127"/>
      <c r="G364" s="128"/>
      <c r="H364" s="584">
        <f t="shared" si="162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7"/>
        <v>0</v>
      </c>
      <c r="N364" s="130"/>
      <c r="O364" s="592"/>
      <c r="P364" s="592"/>
      <c r="Q364" s="592"/>
      <c r="R364" s="592"/>
      <c r="S364" s="592"/>
      <c r="T364" s="592"/>
      <c r="U364" s="59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590" t="s">
        <v>187</v>
      </c>
      <c r="D365" s="108">
        <v>4.8</v>
      </c>
      <c r="E365" s="108"/>
      <c r="F365" s="127"/>
      <c r="G365" s="128"/>
      <c r="H365" s="584">
        <f t="shared" si="162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7"/>
        <v>0</v>
      </c>
      <c r="N365" s="130"/>
      <c r="O365" s="592"/>
      <c r="P365" s="592"/>
      <c r="Q365" s="592"/>
      <c r="R365" s="592"/>
      <c r="S365" s="592"/>
      <c r="T365" s="592"/>
      <c r="U365" s="59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590" t="s">
        <v>179</v>
      </c>
      <c r="D366" s="108">
        <v>4.8</v>
      </c>
      <c r="E366" s="108"/>
      <c r="F366" s="127"/>
      <c r="G366" s="128"/>
      <c r="H366" s="584">
        <f t="shared" si="162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7"/>
        <v>0</v>
      </c>
      <c r="N366" s="130"/>
      <c r="O366" s="592"/>
      <c r="P366" s="592"/>
      <c r="Q366" s="592"/>
      <c r="R366" s="592"/>
      <c r="S366" s="592"/>
      <c r="T366" s="592"/>
      <c r="U366" s="59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590" t="s">
        <v>199</v>
      </c>
      <c r="D367" s="108">
        <v>4.8</v>
      </c>
      <c r="E367" s="108"/>
      <c r="F367" s="127"/>
      <c r="G367" s="128"/>
      <c r="H367" s="584">
        <f t="shared" si="162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7"/>
        <v>0</v>
      </c>
      <c r="N367" s="130"/>
      <c r="O367" s="592"/>
      <c r="P367" s="592"/>
      <c r="Q367" s="592"/>
      <c r="R367" s="592"/>
      <c r="S367" s="592"/>
      <c r="T367" s="592"/>
      <c r="U367" s="59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584">
        <f t="shared" si="162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7"/>
        <v>0</v>
      </c>
      <c r="N368" s="130">
        <f t="shared" ref="N368:N369" si="171">SUM(O368:U368)</f>
        <v>0</v>
      </c>
      <c r="O368" s="592"/>
      <c r="P368" s="592"/>
      <c r="Q368" s="592"/>
      <c r="R368" s="592"/>
      <c r="S368" s="592"/>
      <c r="T368" s="592"/>
      <c r="U368" s="592"/>
      <c r="V368" s="132">
        <f t="shared" ref="V368:V369" si="172">SUM(X368:AA368)</f>
        <v>0</v>
      </c>
      <c r="W368" s="133" t="str">
        <f t="shared" ref="W368:W369" si="173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584">
        <f t="shared" si="162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7"/>
        <v>0</v>
      </c>
      <c r="N369" s="130">
        <f t="shared" si="171"/>
        <v>0</v>
      </c>
      <c r="O369" s="592"/>
      <c r="P369" s="592"/>
      <c r="Q369" s="592"/>
      <c r="R369" s="592"/>
      <c r="S369" s="592"/>
      <c r="T369" s="592"/>
      <c r="U369" s="592"/>
      <c r="V369" s="132">
        <f t="shared" si="172"/>
        <v>0</v>
      </c>
      <c r="W369" s="133" t="str">
        <f t="shared" si="173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59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4">SUM(M349:M369)</f>
        <v>0</v>
      </c>
      <c r="N370" s="146">
        <f t="shared" si="174"/>
        <v>0</v>
      </c>
      <c r="O370" s="148">
        <f t="shared" si="174"/>
        <v>0</v>
      </c>
      <c r="P370" s="148">
        <f t="shared" si="174"/>
        <v>0</v>
      </c>
      <c r="Q370" s="148">
        <f t="shared" si="174"/>
        <v>0</v>
      </c>
      <c r="R370" s="148">
        <f t="shared" si="174"/>
        <v>0</v>
      </c>
      <c r="S370" s="148">
        <f t="shared" si="174"/>
        <v>0</v>
      </c>
      <c r="T370" s="148">
        <f t="shared" si="174"/>
        <v>0</v>
      </c>
      <c r="U370" s="148">
        <f t="shared" si="174"/>
        <v>0</v>
      </c>
      <c r="V370" s="149">
        <f t="shared" si="174"/>
        <v>0</v>
      </c>
      <c r="W370" s="133">
        <f t="shared" si="174"/>
        <v>0</v>
      </c>
      <c r="X370" s="149">
        <f t="shared" si="174"/>
        <v>0</v>
      </c>
      <c r="Y370" s="149">
        <f t="shared" si="174"/>
        <v>0</v>
      </c>
      <c r="Z370" s="149">
        <f t="shared" si="174"/>
        <v>0</v>
      </c>
      <c r="AA370" s="149">
        <f t="shared" si="174"/>
        <v>0</v>
      </c>
    </row>
    <row r="371" spans="1:27" ht="20.100000000000001" hidden="1" customHeight="1">
      <c r="A371" s="300">
        <v>30100012</v>
      </c>
      <c r="B371" s="583" t="s">
        <v>206</v>
      </c>
      <c r="C371" s="126" t="s">
        <v>199</v>
      </c>
      <c r="D371" s="108">
        <v>5.03</v>
      </c>
      <c r="E371" s="108"/>
      <c r="F371" s="127"/>
      <c r="G371" s="128"/>
      <c r="H371" s="584">
        <f t="shared" ref="H371:H427" si="175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6">IF(ISERROR(I371-K371),"",I371-K371)</f>
        <v>0</v>
      </c>
      <c r="N371" s="130">
        <f t="shared" ref="N371:N375" si="177">SUM(O371:U371)</f>
        <v>0</v>
      </c>
      <c r="O371" s="588"/>
      <c r="P371" s="588"/>
      <c r="Q371" s="588"/>
      <c r="R371" s="588"/>
      <c r="S371" s="588"/>
      <c r="T371" s="588"/>
      <c r="U371" s="588"/>
      <c r="V371" s="132">
        <f t="shared" ref="V371:V375" si="178">SUM(X371:AA371)</f>
        <v>0</v>
      </c>
      <c r="W371" s="133" t="str">
        <f t="shared" ref="W371:W375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583" t="s">
        <v>425</v>
      </c>
      <c r="C372" s="187" t="s">
        <v>427</v>
      </c>
      <c r="D372" s="108">
        <v>5.03</v>
      </c>
      <c r="E372" s="108"/>
      <c r="F372" s="127"/>
      <c r="G372" s="128"/>
      <c r="H372" s="584">
        <f t="shared" si="175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588"/>
      <c r="P372" s="588"/>
      <c r="Q372" s="588"/>
      <c r="R372" s="588"/>
      <c r="S372" s="588"/>
      <c r="T372" s="588"/>
      <c r="U372" s="58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583" t="s">
        <v>206</v>
      </c>
      <c r="C373" s="126" t="s">
        <v>186</v>
      </c>
      <c r="D373" s="108">
        <v>5.03</v>
      </c>
      <c r="E373" s="108"/>
      <c r="F373" s="127"/>
      <c r="G373" s="128"/>
      <c r="H373" s="584">
        <f t="shared" si="175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80">IF(ISERROR(I373-K373),"",I373-K373)</f>
        <v>0</v>
      </c>
      <c r="N373" s="130">
        <f t="shared" ref="N373:N377" si="181">SUM(O373:U373)</f>
        <v>0</v>
      </c>
      <c r="O373" s="588"/>
      <c r="P373" s="588"/>
      <c r="Q373" s="588"/>
      <c r="R373" s="588"/>
      <c r="S373" s="588"/>
      <c r="T373" s="588"/>
      <c r="U373" s="588"/>
      <c r="V373" s="132">
        <f t="shared" ref="V373:V377" si="182">SUM(X373:AA373)</f>
        <v>0</v>
      </c>
      <c r="W373" s="133" t="str">
        <f t="shared" ref="W373:W377" si="183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583" t="s">
        <v>206</v>
      </c>
      <c r="C374" s="126" t="s">
        <v>203</v>
      </c>
      <c r="D374" s="108">
        <v>5.03</v>
      </c>
      <c r="E374" s="108"/>
      <c r="F374" s="127"/>
      <c r="G374" s="128"/>
      <c r="H374" s="584">
        <f t="shared" si="175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80"/>
        <v>0</v>
      </c>
      <c r="N374" s="130">
        <f t="shared" si="181"/>
        <v>0</v>
      </c>
      <c r="O374" s="588"/>
      <c r="P374" s="588"/>
      <c r="Q374" s="588"/>
      <c r="R374" s="588"/>
      <c r="S374" s="588"/>
      <c r="T374" s="588"/>
      <c r="U374" s="588"/>
      <c r="V374" s="132">
        <f t="shared" si="182"/>
        <v>0</v>
      </c>
      <c r="W374" s="133" t="str">
        <f t="shared" si="183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583" t="s">
        <v>206</v>
      </c>
      <c r="C375" s="126" t="s">
        <v>207</v>
      </c>
      <c r="D375" s="108">
        <v>5.03</v>
      </c>
      <c r="E375" s="108"/>
      <c r="F375" s="127"/>
      <c r="G375" s="128"/>
      <c r="H375" s="584">
        <f t="shared" si="175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80"/>
        <v>0</v>
      </c>
      <c r="N375" s="130">
        <f t="shared" si="181"/>
        <v>0</v>
      </c>
      <c r="O375" s="588"/>
      <c r="P375" s="588"/>
      <c r="Q375" s="588"/>
      <c r="R375" s="588"/>
      <c r="S375" s="588"/>
      <c r="T375" s="588"/>
      <c r="U375" s="588"/>
      <c r="V375" s="132">
        <f t="shared" si="182"/>
        <v>0</v>
      </c>
      <c r="W375" s="133" t="str">
        <f t="shared" si="183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583" t="s">
        <v>414</v>
      </c>
      <c r="C376" s="187" t="s">
        <v>415</v>
      </c>
      <c r="D376" s="108"/>
      <c r="E376" s="108"/>
      <c r="F376" s="127"/>
      <c r="G376" s="128"/>
      <c r="H376" s="584">
        <f t="shared" si="175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80"/>
        <v>0</v>
      </c>
      <c r="N376" s="130"/>
      <c r="O376" s="588"/>
      <c r="P376" s="588"/>
      <c r="Q376" s="588"/>
      <c r="R376" s="588"/>
      <c r="S376" s="588"/>
      <c r="T376" s="588"/>
      <c r="U376" s="58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583" t="s">
        <v>414</v>
      </c>
      <c r="C377" s="187" t="s">
        <v>416</v>
      </c>
      <c r="D377" s="108"/>
      <c r="E377" s="108"/>
      <c r="F377" s="127"/>
      <c r="G377" s="128"/>
      <c r="H377" s="584">
        <f t="shared" si="175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80"/>
        <v>0</v>
      </c>
      <c r="N377" s="130"/>
      <c r="O377" s="588"/>
      <c r="P377" s="588"/>
      <c r="Q377" s="588"/>
      <c r="R377" s="588"/>
      <c r="S377" s="588"/>
      <c r="T377" s="588"/>
      <c r="U377" s="58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583" t="s">
        <v>414</v>
      </c>
      <c r="C378" s="187" t="s">
        <v>61</v>
      </c>
      <c r="D378" s="108"/>
      <c r="E378" s="108"/>
      <c r="F378" s="127"/>
      <c r="G378" s="128"/>
      <c r="H378" s="584">
        <f t="shared" si="175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80"/>
        <v>0</v>
      </c>
      <c r="N378" s="130"/>
      <c r="O378" s="588"/>
      <c r="P378" s="588"/>
      <c r="Q378" s="588"/>
      <c r="R378" s="588"/>
      <c r="S378" s="588"/>
      <c r="T378" s="588"/>
      <c r="U378" s="58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583" t="s">
        <v>208</v>
      </c>
      <c r="C379" s="126" t="s">
        <v>179</v>
      </c>
      <c r="D379" s="108">
        <v>5.08</v>
      </c>
      <c r="E379" s="108"/>
      <c r="F379" s="127"/>
      <c r="G379" s="128"/>
      <c r="H379" s="584">
        <f t="shared" si="175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80"/>
        <v>0</v>
      </c>
      <c r="N379" s="130">
        <f t="shared" ref="N379:N394" si="184">SUM(O379:U379)</f>
        <v>0</v>
      </c>
      <c r="O379" s="588"/>
      <c r="P379" s="588"/>
      <c r="Q379" s="588"/>
      <c r="R379" s="588"/>
      <c r="S379" s="588"/>
      <c r="T379" s="588"/>
      <c r="U379" s="588"/>
      <c r="V379" s="132">
        <f t="shared" ref="V379:V390" si="185">SUM(X379:AA379)</f>
        <v>0</v>
      </c>
      <c r="W379" s="133" t="str">
        <f t="shared" ref="W379:W390" si="186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583" t="s">
        <v>208</v>
      </c>
      <c r="C380" s="126" t="s">
        <v>204</v>
      </c>
      <c r="D380" s="108">
        <v>5.08</v>
      </c>
      <c r="E380" s="108"/>
      <c r="F380" s="127"/>
      <c r="G380" s="128"/>
      <c r="H380" s="584">
        <f t="shared" si="175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80"/>
        <v>0</v>
      </c>
      <c r="N380" s="130">
        <f t="shared" si="184"/>
        <v>0</v>
      </c>
      <c r="O380" s="588"/>
      <c r="P380" s="588"/>
      <c r="Q380" s="588"/>
      <c r="R380" s="588"/>
      <c r="S380" s="588"/>
      <c r="T380" s="588"/>
      <c r="U380" s="588"/>
      <c r="V380" s="132">
        <f t="shared" si="185"/>
        <v>0</v>
      </c>
      <c r="W380" s="133" t="str">
        <f t="shared" si="186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583" t="s">
        <v>208</v>
      </c>
      <c r="C381" s="126" t="s">
        <v>205</v>
      </c>
      <c r="D381" s="108">
        <v>5.08</v>
      </c>
      <c r="E381" s="108"/>
      <c r="F381" s="127"/>
      <c r="G381" s="128"/>
      <c r="H381" s="584">
        <f t="shared" si="175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80"/>
        <v>0</v>
      </c>
      <c r="N381" s="130">
        <f t="shared" si="184"/>
        <v>0</v>
      </c>
      <c r="O381" s="588"/>
      <c r="P381" s="588"/>
      <c r="Q381" s="588"/>
      <c r="R381" s="588"/>
      <c r="S381" s="588"/>
      <c r="T381" s="588"/>
      <c r="U381" s="588"/>
      <c r="V381" s="132">
        <f t="shared" si="185"/>
        <v>0</v>
      </c>
      <c r="W381" s="133" t="str">
        <f t="shared" si="186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583" t="s">
        <v>208</v>
      </c>
      <c r="C382" s="126" t="s">
        <v>186</v>
      </c>
      <c r="D382" s="108">
        <v>5.08</v>
      </c>
      <c r="E382" s="108"/>
      <c r="F382" s="127"/>
      <c r="G382" s="128"/>
      <c r="H382" s="584">
        <f t="shared" si="175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80"/>
        <v>0</v>
      </c>
      <c r="N382" s="130">
        <f t="shared" si="184"/>
        <v>0</v>
      </c>
      <c r="O382" s="588"/>
      <c r="P382" s="588"/>
      <c r="Q382" s="588"/>
      <c r="R382" s="588"/>
      <c r="S382" s="588"/>
      <c r="T382" s="588"/>
      <c r="U382" s="588"/>
      <c r="V382" s="132">
        <f t="shared" si="185"/>
        <v>0</v>
      </c>
      <c r="W382" s="133" t="str">
        <f t="shared" si="186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583" t="s">
        <v>208</v>
      </c>
      <c r="C383" s="126" t="s">
        <v>203</v>
      </c>
      <c r="D383" s="108">
        <v>5.08</v>
      </c>
      <c r="E383" s="108"/>
      <c r="F383" s="127"/>
      <c r="G383" s="128"/>
      <c r="H383" s="584">
        <f t="shared" si="175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80"/>
        <v>0</v>
      </c>
      <c r="N383" s="130">
        <f t="shared" si="184"/>
        <v>0</v>
      </c>
      <c r="O383" s="588"/>
      <c r="P383" s="588"/>
      <c r="Q383" s="588"/>
      <c r="R383" s="588"/>
      <c r="S383" s="588"/>
      <c r="T383" s="588"/>
      <c r="U383" s="588"/>
      <c r="V383" s="132">
        <f t="shared" si="185"/>
        <v>0</v>
      </c>
      <c r="W383" s="133" t="str">
        <f t="shared" si="186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583" t="s">
        <v>208</v>
      </c>
      <c r="C384" s="126" t="s">
        <v>199</v>
      </c>
      <c r="D384" s="108">
        <v>5.08</v>
      </c>
      <c r="E384" s="108"/>
      <c r="F384" s="127"/>
      <c r="G384" s="128"/>
      <c r="H384" s="584">
        <f t="shared" si="175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80"/>
        <v>0</v>
      </c>
      <c r="N384" s="130">
        <f t="shared" si="184"/>
        <v>0</v>
      </c>
      <c r="O384" s="592"/>
      <c r="P384" s="592"/>
      <c r="Q384" s="592"/>
      <c r="R384" s="592"/>
      <c r="S384" s="592"/>
      <c r="T384" s="592"/>
      <c r="U384" s="592"/>
      <c r="V384" s="132">
        <f t="shared" si="185"/>
        <v>0</v>
      </c>
      <c r="W384" s="133" t="str">
        <f t="shared" si="186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583" t="s">
        <v>208</v>
      </c>
      <c r="C385" s="126" t="s">
        <v>187</v>
      </c>
      <c r="D385" s="108">
        <v>5.08</v>
      </c>
      <c r="E385" s="108"/>
      <c r="F385" s="127"/>
      <c r="G385" s="128"/>
      <c r="H385" s="584">
        <f t="shared" si="175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80"/>
        <v>0</v>
      </c>
      <c r="N385" s="130">
        <f t="shared" si="184"/>
        <v>0</v>
      </c>
      <c r="O385" s="588"/>
      <c r="P385" s="588"/>
      <c r="Q385" s="588"/>
      <c r="R385" s="588"/>
      <c r="S385" s="588"/>
      <c r="T385" s="588"/>
      <c r="U385" s="588"/>
      <c r="V385" s="132">
        <f t="shared" si="185"/>
        <v>0</v>
      </c>
      <c r="W385" s="133" t="str">
        <f t="shared" si="186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583" t="s">
        <v>208</v>
      </c>
      <c r="C386" s="126" t="s">
        <v>207</v>
      </c>
      <c r="D386" s="108">
        <v>5.08</v>
      </c>
      <c r="E386" s="108"/>
      <c r="F386" s="127"/>
      <c r="G386" s="128"/>
      <c r="H386" s="584">
        <f t="shared" si="175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80"/>
        <v>0</v>
      </c>
      <c r="N386" s="130">
        <f t="shared" si="184"/>
        <v>0</v>
      </c>
      <c r="O386" s="592"/>
      <c r="P386" s="592"/>
      <c r="Q386" s="592"/>
      <c r="R386" s="592"/>
      <c r="S386" s="592"/>
      <c r="T386" s="592"/>
      <c r="U386" s="592"/>
      <c r="V386" s="132">
        <f t="shared" si="185"/>
        <v>0</v>
      </c>
      <c r="W386" s="133" t="str">
        <f t="shared" si="186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583" t="s">
        <v>209</v>
      </c>
      <c r="C387" s="126" t="s">
        <v>194</v>
      </c>
      <c r="D387" s="108">
        <v>5.03</v>
      </c>
      <c r="E387" s="108"/>
      <c r="F387" s="127"/>
      <c r="G387" s="128"/>
      <c r="H387" s="584">
        <f t="shared" si="175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80"/>
        <v>0</v>
      </c>
      <c r="N387" s="130">
        <f t="shared" si="184"/>
        <v>0</v>
      </c>
      <c r="O387" s="588"/>
      <c r="P387" s="588"/>
      <c r="Q387" s="588"/>
      <c r="R387" s="588"/>
      <c r="S387" s="588"/>
      <c r="T387" s="588"/>
      <c r="U387" s="588"/>
      <c r="V387" s="132">
        <f t="shared" si="185"/>
        <v>0</v>
      </c>
      <c r="W387" s="133" t="str">
        <f t="shared" si="186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583" t="s">
        <v>209</v>
      </c>
      <c r="C388" s="126" t="s">
        <v>179</v>
      </c>
      <c r="D388" s="108">
        <v>5.03</v>
      </c>
      <c r="E388" s="108"/>
      <c r="F388" s="127"/>
      <c r="G388" s="128"/>
      <c r="H388" s="584">
        <f t="shared" si="175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80"/>
        <v>0</v>
      </c>
      <c r="N388" s="130">
        <f t="shared" si="184"/>
        <v>0</v>
      </c>
      <c r="O388" s="588"/>
      <c r="P388" s="588"/>
      <c r="Q388" s="588"/>
      <c r="R388" s="588"/>
      <c r="S388" s="588"/>
      <c r="T388" s="588"/>
      <c r="U388" s="588"/>
      <c r="V388" s="132">
        <f t="shared" si="185"/>
        <v>0</v>
      </c>
      <c r="W388" s="133" t="str">
        <f t="shared" si="186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583" t="s">
        <v>209</v>
      </c>
      <c r="C389" s="126" t="s">
        <v>195</v>
      </c>
      <c r="D389" s="108">
        <v>5.03</v>
      </c>
      <c r="E389" s="108"/>
      <c r="F389" s="127"/>
      <c r="G389" s="128"/>
      <c r="H389" s="584">
        <f t="shared" si="175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80"/>
        <v>0</v>
      </c>
      <c r="N389" s="130">
        <f t="shared" si="184"/>
        <v>0</v>
      </c>
      <c r="O389" s="588"/>
      <c r="P389" s="588"/>
      <c r="Q389" s="588"/>
      <c r="R389" s="588"/>
      <c r="S389" s="588"/>
      <c r="T389" s="588"/>
      <c r="U389" s="588"/>
      <c r="V389" s="132">
        <f t="shared" si="185"/>
        <v>0</v>
      </c>
      <c r="W389" s="133" t="str">
        <f t="shared" si="186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583" t="s">
        <v>209</v>
      </c>
      <c r="C390" s="126" t="s">
        <v>204</v>
      </c>
      <c r="D390" s="108">
        <v>5.03</v>
      </c>
      <c r="E390" s="108"/>
      <c r="F390" s="127"/>
      <c r="G390" s="128"/>
      <c r="H390" s="584">
        <f t="shared" si="175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80"/>
        <v>0</v>
      </c>
      <c r="N390" s="130">
        <f t="shared" si="184"/>
        <v>0</v>
      </c>
      <c r="O390" s="588"/>
      <c r="P390" s="588"/>
      <c r="Q390" s="588"/>
      <c r="R390" s="588"/>
      <c r="S390" s="588"/>
      <c r="T390" s="588"/>
      <c r="U390" s="588"/>
      <c r="V390" s="132">
        <f t="shared" si="185"/>
        <v>0</v>
      </c>
      <c r="W390" s="133" t="str">
        <f t="shared" si="186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583" t="s">
        <v>382</v>
      </c>
      <c r="C391" s="187" t="s">
        <v>383</v>
      </c>
      <c r="D391" s="108">
        <v>5.03</v>
      </c>
      <c r="E391" s="108"/>
      <c r="F391" s="127"/>
      <c r="G391" s="128"/>
      <c r="H391" s="584">
        <f t="shared" si="175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80"/>
        <v>0</v>
      </c>
      <c r="N391" s="130">
        <f t="shared" si="184"/>
        <v>0</v>
      </c>
      <c r="O391" s="588"/>
      <c r="P391" s="588"/>
      <c r="Q391" s="588"/>
      <c r="R391" s="588"/>
      <c r="S391" s="588"/>
      <c r="T391" s="588"/>
      <c r="U391" s="58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583" t="s">
        <v>382</v>
      </c>
      <c r="C392" s="187" t="s">
        <v>384</v>
      </c>
      <c r="D392" s="108">
        <v>5.03</v>
      </c>
      <c r="E392" s="108"/>
      <c r="F392" s="127"/>
      <c r="G392" s="128"/>
      <c r="H392" s="584">
        <f t="shared" si="175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80"/>
        <v>0</v>
      </c>
      <c r="N392" s="130">
        <f t="shared" si="184"/>
        <v>0</v>
      </c>
      <c r="O392" s="588"/>
      <c r="P392" s="588"/>
      <c r="Q392" s="588"/>
      <c r="R392" s="588"/>
      <c r="S392" s="588"/>
      <c r="T392" s="588"/>
      <c r="U392" s="58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583" t="s">
        <v>382</v>
      </c>
      <c r="C393" s="187" t="s">
        <v>389</v>
      </c>
      <c r="D393" s="108">
        <v>5.03</v>
      </c>
      <c r="E393" s="108"/>
      <c r="F393" s="127"/>
      <c r="G393" s="128"/>
      <c r="H393" s="584">
        <f t="shared" si="175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80"/>
        <v>0</v>
      </c>
      <c r="N393" s="130">
        <f t="shared" si="184"/>
        <v>0</v>
      </c>
      <c r="O393" s="588"/>
      <c r="P393" s="588"/>
      <c r="Q393" s="588"/>
      <c r="R393" s="588"/>
      <c r="S393" s="588"/>
      <c r="T393" s="588"/>
      <c r="U393" s="58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583" t="s">
        <v>382</v>
      </c>
      <c r="C394" s="187" t="s">
        <v>391</v>
      </c>
      <c r="D394" s="108">
        <v>5.03</v>
      </c>
      <c r="E394" s="108"/>
      <c r="F394" s="127"/>
      <c r="G394" s="128"/>
      <c r="H394" s="584">
        <f t="shared" si="175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80"/>
        <v>0</v>
      </c>
      <c r="N394" s="130">
        <f t="shared" si="184"/>
        <v>0</v>
      </c>
      <c r="O394" s="588"/>
      <c r="P394" s="588"/>
      <c r="Q394" s="588"/>
      <c r="R394" s="588"/>
      <c r="S394" s="588"/>
      <c r="T394" s="588"/>
      <c r="U394" s="58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583" t="s">
        <v>418</v>
      </c>
      <c r="C395" s="187" t="s">
        <v>364</v>
      </c>
      <c r="D395" s="108">
        <v>5.03</v>
      </c>
      <c r="E395" s="108"/>
      <c r="F395" s="127"/>
      <c r="G395" s="128"/>
      <c r="H395" s="584">
        <f t="shared" si="175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80"/>
        <v>0</v>
      </c>
      <c r="N395" s="130"/>
      <c r="O395" s="588"/>
      <c r="P395" s="588"/>
      <c r="Q395" s="588"/>
      <c r="R395" s="588"/>
      <c r="S395" s="588"/>
      <c r="T395" s="588"/>
      <c r="U395" s="58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583" t="s">
        <v>418</v>
      </c>
      <c r="C396" s="187" t="s">
        <v>365</v>
      </c>
      <c r="D396" s="108">
        <v>5.03</v>
      </c>
      <c r="E396" s="108"/>
      <c r="F396" s="127"/>
      <c r="G396" s="128"/>
      <c r="H396" s="584">
        <f t="shared" si="175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80"/>
        <v>0</v>
      </c>
      <c r="N396" s="130"/>
      <c r="O396" s="588"/>
      <c r="P396" s="588"/>
      <c r="Q396" s="588"/>
      <c r="R396" s="588"/>
      <c r="S396" s="588"/>
      <c r="T396" s="588"/>
      <c r="U396" s="58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583" t="s">
        <v>418</v>
      </c>
      <c r="C397" s="187" t="s">
        <v>366</v>
      </c>
      <c r="D397" s="108">
        <v>5.03</v>
      </c>
      <c r="E397" s="108"/>
      <c r="F397" s="127"/>
      <c r="G397" s="128"/>
      <c r="H397" s="584">
        <f t="shared" si="175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80"/>
        <v>0</v>
      </c>
      <c r="N397" s="130"/>
      <c r="O397" s="588"/>
      <c r="P397" s="588"/>
      <c r="Q397" s="588"/>
      <c r="R397" s="588"/>
      <c r="S397" s="588"/>
      <c r="T397" s="588"/>
      <c r="U397" s="58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583" t="s">
        <v>418</v>
      </c>
      <c r="C398" s="187" t="s">
        <v>367</v>
      </c>
      <c r="D398" s="108">
        <v>5.03</v>
      </c>
      <c r="E398" s="108"/>
      <c r="F398" s="127"/>
      <c r="G398" s="128"/>
      <c r="H398" s="584">
        <f t="shared" si="175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80"/>
        <v>0</v>
      </c>
      <c r="N398" s="130"/>
      <c r="O398" s="588"/>
      <c r="P398" s="588"/>
      <c r="Q398" s="588"/>
      <c r="R398" s="588"/>
      <c r="S398" s="588"/>
      <c r="T398" s="588"/>
      <c r="U398" s="58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584">
        <f t="shared" si="175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80"/>
        <v>0</v>
      </c>
      <c r="N399" s="130">
        <f t="shared" ref="N399:N408" si="187">SUM(O399:U399)</f>
        <v>0</v>
      </c>
      <c r="O399" s="592"/>
      <c r="P399" s="592"/>
      <c r="Q399" s="592"/>
      <c r="R399" s="592"/>
      <c r="S399" s="592"/>
      <c r="T399" s="592"/>
      <c r="U399" s="592"/>
      <c r="V399" s="132">
        <f t="shared" ref="V399:V408" si="188">SUM(X399:AA399)</f>
        <v>0</v>
      </c>
      <c r="W399" s="133" t="str">
        <f t="shared" ref="W399:W408" si="189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584">
        <f t="shared" si="175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80"/>
        <v>0</v>
      </c>
      <c r="N400" s="130">
        <f t="shared" si="187"/>
        <v>0</v>
      </c>
      <c r="O400" s="592"/>
      <c r="P400" s="592"/>
      <c r="Q400" s="592"/>
      <c r="R400" s="592"/>
      <c r="S400" s="592"/>
      <c r="T400" s="592"/>
      <c r="U400" s="592"/>
      <c r="V400" s="132">
        <f t="shared" si="188"/>
        <v>0</v>
      </c>
      <c r="W400" s="133" t="str">
        <f t="shared" si="189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584">
        <f t="shared" si="175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80"/>
        <v>0</v>
      </c>
      <c r="N401" s="130">
        <f t="shared" si="187"/>
        <v>0</v>
      </c>
      <c r="O401" s="592"/>
      <c r="P401" s="592"/>
      <c r="Q401" s="592"/>
      <c r="R401" s="592"/>
      <c r="S401" s="592"/>
      <c r="T401" s="592"/>
      <c r="U401" s="592"/>
      <c r="V401" s="132">
        <f t="shared" si="188"/>
        <v>0</v>
      </c>
      <c r="W401" s="133" t="str">
        <f t="shared" si="189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584">
        <f t="shared" si="175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0"/>
        <v>0</v>
      </c>
      <c r="N402" s="130">
        <f t="shared" si="187"/>
        <v>0</v>
      </c>
      <c r="O402" s="592"/>
      <c r="P402" s="592"/>
      <c r="Q402" s="592"/>
      <c r="R402" s="592"/>
      <c r="S402" s="592"/>
      <c r="T402" s="592"/>
      <c r="U402" s="592"/>
      <c r="V402" s="132">
        <f t="shared" si="188"/>
        <v>0</v>
      </c>
      <c r="W402" s="133" t="str">
        <f t="shared" si="189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584">
        <f t="shared" si="175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0"/>
        <v>0</v>
      </c>
      <c r="N403" s="130">
        <f t="shared" si="187"/>
        <v>0</v>
      </c>
      <c r="O403" s="592"/>
      <c r="P403" s="592"/>
      <c r="Q403" s="592"/>
      <c r="R403" s="592"/>
      <c r="S403" s="592"/>
      <c r="T403" s="592"/>
      <c r="U403" s="592"/>
      <c r="V403" s="132">
        <f t="shared" si="188"/>
        <v>0</v>
      </c>
      <c r="W403" s="133" t="str">
        <f t="shared" si="189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584">
        <f t="shared" si="175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0"/>
        <v>0</v>
      </c>
      <c r="N404" s="130">
        <f t="shared" si="187"/>
        <v>0</v>
      </c>
      <c r="O404" s="592"/>
      <c r="P404" s="592"/>
      <c r="Q404" s="592"/>
      <c r="R404" s="592"/>
      <c r="S404" s="592"/>
      <c r="T404" s="592"/>
      <c r="U404" s="592"/>
      <c r="V404" s="132">
        <f t="shared" si="188"/>
        <v>0</v>
      </c>
      <c r="W404" s="133" t="str">
        <f t="shared" si="189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584">
        <f t="shared" si="175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0"/>
        <v>0</v>
      </c>
      <c r="N405" s="130">
        <f t="shared" si="187"/>
        <v>0</v>
      </c>
      <c r="O405" s="592"/>
      <c r="P405" s="592"/>
      <c r="Q405" s="592"/>
      <c r="R405" s="592"/>
      <c r="S405" s="592"/>
      <c r="T405" s="592"/>
      <c r="U405" s="592"/>
      <c r="V405" s="132">
        <f t="shared" si="188"/>
        <v>0</v>
      </c>
      <c r="W405" s="133" t="str">
        <f t="shared" si="189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584">
        <f t="shared" si="175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0"/>
        <v>0</v>
      </c>
      <c r="N406" s="130">
        <f t="shared" si="187"/>
        <v>0</v>
      </c>
      <c r="O406" s="592"/>
      <c r="P406" s="592"/>
      <c r="Q406" s="592"/>
      <c r="R406" s="592"/>
      <c r="S406" s="592"/>
      <c r="T406" s="592"/>
      <c r="U406" s="592"/>
      <c r="V406" s="132">
        <f t="shared" si="188"/>
        <v>0</v>
      </c>
      <c r="W406" s="133" t="str">
        <f t="shared" si="189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584">
        <f t="shared" si="175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80"/>
        <v>0</v>
      </c>
      <c r="N407" s="130">
        <f t="shared" si="187"/>
        <v>0</v>
      </c>
      <c r="O407" s="592"/>
      <c r="P407" s="592"/>
      <c r="Q407" s="592"/>
      <c r="R407" s="592"/>
      <c r="S407" s="592"/>
      <c r="T407" s="592"/>
      <c r="U407" s="592"/>
      <c r="V407" s="132">
        <f t="shared" si="188"/>
        <v>0</v>
      </c>
      <c r="W407" s="133" t="str">
        <f t="shared" si="189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584">
        <f t="shared" si="175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80"/>
        <v>0</v>
      </c>
      <c r="N408" s="130">
        <f t="shared" si="187"/>
        <v>0</v>
      </c>
      <c r="O408" s="592"/>
      <c r="P408" s="592"/>
      <c r="Q408" s="592"/>
      <c r="R408" s="592"/>
      <c r="S408" s="592"/>
      <c r="T408" s="592"/>
      <c r="U408" s="592"/>
      <c r="V408" s="132">
        <f t="shared" si="188"/>
        <v>0</v>
      </c>
      <c r="W408" s="133" t="str">
        <f t="shared" si="189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584">
        <f t="shared" si="175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592"/>
      <c r="P409" s="592"/>
      <c r="Q409" s="592"/>
      <c r="R409" s="592"/>
      <c r="S409" s="592"/>
      <c r="T409" s="592"/>
      <c r="U409" s="59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584">
        <f t="shared" si="175"/>
        <v>0</v>
      </c>
      <c r="I410" s="129"/>
      <c r="J410" s="130"/>
      <c r="K410" s="131"/>
      <c r="L410" s="129">
        <v>50</v>
      </c>
      <c r="M410" s="109"/>
      <c r="N410" s="130"/>
      <c r="O410" s="592"/>
      <c r="P410" s="592"/>
      <c r="Q410" s="592"/>
      <c r="R410" s="592"/>
      <c r="S410" s="592"/>
      <c r="T410" s="592"/>
      <c r="U410" s="59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584">
        <f t="shared" si="175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90">IF(ISERROR(I411-K411),"",I411-K411)</f>
        <v>0</v>
      </c>
      <c r="N411" s="130">
        <f t="shared" ref="N411:N412" si="191">SUM(O411:U411)</f>
        <v>0</v>
      </c>
      <c r="O411" s="592"/>
      <c r="P411" s="592"/>
      <c r="Q411" s="592"/>
      <c r="R411" s="592"/>
      <c r="S411" s="592"/>
      <c r="T411" s="592"/>
      <c r="U411" s="592"/>
      <c r="V411" s="132">
        <f t="shared" ref="V411:V412" si="192">SUM(X411:AA411)</f>
        <v>0</v>
      </c>
      <c r="W411" s="133" t="str">
        <f t="shared" ref="W411:W412" si="193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584">
        <f t="shared" si="175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90"/>
        <v>0</v>
      </c>
      <c r="N412" s="130">
        <f t="shared" si="191"/>
        <v>0</v>
      </c>
      <c r="O412" s="592"/>
      <c r="P412" s="592"/>
      <c r="Q412" s="592"/>
      <c r="R412" s="592"/>
      <c r="S412" s="592"/>
      <c r="T412" s="592"/>
      <c r="U412" s="592"/>
      <c r="V412" s="132">
        <f t="shared" si="192"/>
        <v>0</v>
      </c>
      <c r="W412" s="133" t="str">
        <f t="shared" si="193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584">
        <f t="shared" si="175"/>
        <v>0</v>
      </c>
      <c r="I413" s="129"/>
      <c r="J413" s="130"/>
      <c r="K413" s="131"/>
      <c r="L413" s="129"/>
      <c r="M413" s="109"/>
      <c r="N413" s="130"/>
      <c r="O413" s="592"/>
      <c r="P413" s="592"/>
      <c r="Q413" s="592"/>
      <c r="R413" s="592"/>
      <c r="S413" s="592"/>
      <c r="T413" s="592"/>
      <c r="U413" s="59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584">
        <f t="shared" si="175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4">IF(ISERROR(I414-K414),"",I414-K414)</f>
        <v/>
      </c>
      <c r="N414" s="130">
        <f t="shared" ref="N414:N417" si="195">SUM(O414:U414)</f>
        <v>0</v>
      </c>
      <c r="O414" s="592"/>
      <c r="P414" s="592"/>
      <c r="Q414" s="592"/>
      <c r="R414" s="592"/>
      <c r="S414" s="592"/>
      <c r="T414" s="592"/>
      <c r="U414" s="592"/>
      <c r="V414" s="132">
        <f t="shared" ref="V414:V417" si="196">SUM(X414:AA414)</f>
        <v>0</v>
      </c>
      <c r="W414" s="133" t="str">
        <f t="shared" ref="W414:W417" si="197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584">
        <f t="shared" si="175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4"/>
        <v/>
      </c>
      <c r="N415" s="130">
        <f t="shared" si="195"/>
        <v>0</v>
      </c>
      <c r="O415" s="592"/>
      <c r="P415" s="592"/>
      <c r="Q415" s="592"/>
      <c r="R415" s="592"/>
      <c r="S415" s="592"/>
      <c r="T415" s="592"/>
      <c r="U415" s="592"/>
      <c r="V415" s="132">
        <f t="shared" si="196"/>
        <v>0</v>
      </c>
      <c r="W415" s="133" t="str">
        <f t="shared" si="197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584">
        <f t="shared" si="175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4"/>
        <v/>
      </c>
      <c r="N416" s="130">
        <f t="shared" si="195"/>
        <v>0</v>
      </c>
      <c r="O416" s="592"/>
      <c r="P416" s="592"/>
      <c r="Q416" s="592"/>
      <c r="R416" s="592"/>
      <c r="S416" s="592"/>
      <c r="T416" s="592"/>
      <c r="U416" s="592"/>
      <c r="V416" s="132">
        <f t="shared" si="196"/>
        <v>0</v>
      </c>
      <c r="W416" s="133" t="str">
        <f t="shared" si="197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584">
        <f t="shared" si="175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4"/>
        <v/>
      </c>
      <c r="N417" s="130">
        <f t="shared" si="195"/>
        <v>0</v>
      </c>
      <c r="O417" s="592"/>
      <c r="P417" s="592"/>
      <c r="Q417" s="592"/>
      <c r="R417" s="592"/>
      <c r="S417" s="592"/>
      <c r="T417" s="592"/>
      <c r="U417" s="592"/>
      <c r="V417" s="132">
        <f t="shared" si="196"/>
        <v>0</v>
      </c>
      <c r="W417" s="133" t="str">
        <f t="shared" si="197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584">
        <f t="shared" si="175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4"/>
        <v>0</v>
      </c>
      <c r="N418" s="130"/>
      <c r="O418" s="592"/>
      <c r="P418" s="592"/>
      <c r="Q418" s="592"/>
      <c r="R418" s="592"/>
      <c r="S418" s="592"/>
      <c r="T418" s="592"/>
      <c r="U418" s="59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584">
        <f t="shared" si="175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4"/>
        <v>0</v>
      </c>
      <c r="N419" s="130"/>
      <c r="O419" s="592"/>
      <c r="P419" s="592"/>
      <c r="Q419" s="592"/>
      <c r="R419" s="592"/>
      <c r="S419" s="592"/>
      <c r="T419" s="592"/>
      <c r="U419" s="59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584">
        <f t="shared" si="175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4"/>
        <v>0</v>
      </c>
      <c r="N420" s="130"/>
      <c r="O420" s="592"/>
      <c r="P420" s="592"/>
      <c r="Q420" s="592"/>
      <c r="R420" s="592"/>
      <c r="S420" s="592"/>
      <c r="T420" s="592"/>
      <c r="U420" s="59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584">
        <f t="shared" si="175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4"/>
        <v>0</v>
      </c>
      <c r="N421" s="130"/>
      <c r="O421" s="592"/>
      <c r="P421" s="592"/>
      <c r="Q421" s="592"/>
      <c r="R421" s="592"/>
      <c r="S421" s="592"/>
      <c r="T421" s="592"/>
      <c r="U421" s="59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584">
        <f t="shared" si="175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4"/>
        <v>0</v>
      </c>
      <c r="N422" s="130"/>
      <c r="O422" s="592"/>
      <c r="P422" s="592"/>
      <c r="Q422" s="592"/>
      <c r="R422" s="592"/>
      <c r="S422" s="592"/>
      <c r="T422" s="592"/>
      <c r="U422" s="59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584">
        <f t="shared" si="175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4"/>
        <v>0</v>
      </c>
      <c r="N423" s="130"/>
      <c r="O423" s="592"/>
      <c r="P423" s="592"/>
      <c r="Q423" s="592"/>
      <c r="R423" s="592"/>
      <c r="S423" s="592"/>
      <c r="T423" s="592"/>
      <c r="U423" s="59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584">
        <f t="shared" si="175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4"/>
        <v>0</v>
      </c>
      <c r="N424" s="130"/>
      <c r="O424" s="592"/>
      <c r="P424" s="592"/>
      <c r="Q424" s="592"/>
      <c r="R424" s="592"/>
      <c r="S424" s="592"/>
      <c r="T424" s="592"/>
      <c r="U424" s="59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584">
        <f t="shared" si="175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4"/>
        <v>0</v>
      </c>
      <c r="N425" s="130"/>
      <c r="O425" s="592"/>
      <c r="P425" s="592"/>
      <c r="Q425" s="592"/>
      <c r="R425" s="592"/>
      <c r="S425" s="592"/>
      <c r="T425" s="592"/>
      <c r="U425" s="59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584">
        <f t="shared" si="175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4"/>
        <v>0</v>
      </c>
      <c r="N426" s="130"/>
      <c r="O426" s="592"/>
      <c r="P426" s="592"/>
      <c r="Q426" s="592"/>
      <c r="R426" s="592"/>
      <c r="S426" s="592"/>
      <c r="T426" s="592"/>
      <c r="U426" s="59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584">
        <f t="shared" si="175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4"/>
        <v>0</v>
      </c>
      <c r="N427" s="130"/>
      <c r="O427" s="592"/>
      <c r="P427" s="592"/>
      <c r="Q427" s="592"/>
      <c r="R427" s="592"/>
      <c r="S427" s="592"/>
      <c r="T427" s="592"/>
      <c r="U427" s="59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59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8">SUM(M371:M427)</f>
        <v>0</v>
      </c>
      <c r="N428" s="146">
        <f t="shared" si="198"/>
        <v>0</v>
      </c>
      <c r="O428" s="148">
        <f t="shared" si="198"/>
        <v>0</v>
      </c>
      <c r="P428" s="148">
        <f t="shared" si="198"/>
        <v>0</v>
      </c>
      <c r="Q428" s="148">
        <f t="shared" si="198"/>
        <v>0</v>
      </c>
      <c r="R428" s="148">
        <f t="shared" si="198"/>
        <v>0</v>
      </c>
      <c r="S428" s="148">
        <f t="shared" si="198"/>
        <v>0</v>
      </c>
      <c r="T428" s="148">
        <f t="shared" si="198"/>
        <v>0</v>
      </c>
      <c r="U428" s="148">
        <f t="shared" si="198"/>
        <v>0</v>
      </c>
      <c r="V428" s="149">
        <f t="shared" si="198"/>
        <v>0</v>
      </c>
      <c r="W428" s="133" t="str">
        <f t="shared" ref="W428:W435" si="199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583" t="s">
        <v>217</v>
      </c>
      <c r="C429" s="126" t="s">
        <v>179</v>
      </c>
      <c r="D429" s="108">
        <v>5.03</v>
      </c>
      <c r="E429" s="108"/>
      <c r="F429" s="127"/>
      <c r="G429" s="128"/>
      <c r="H429" s="584">
        <f t="shared" ref="H429:H462" si="200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201">IF(ISERROR(I429-K429),"",I429-K429)</f>
        <v>0</v>
      </c>
      <c r="N429" s="130">
        <f t="shared" ref="N429:N436" si="202">SUM(O429:U429)</f>
        <v>0</v>
      </c>
      <c r="O429" s="592"/>
      <c r="P429" s="592"/>
      <c r="Q429" s="592"/>
      <c r="R429" s="592"/>
      <c r="S429" s="592"/>
      <c r="T429" s="592"/>
      <c r="U429" s="592"/>
      <c r="V429" s="132">
        <f t="shared" ref="V429:V435" si="203">SUM(X429:AA429)</f>
        <v>0</v>
      </c>
      <c r="W429" s="133" t="str">
        <f t="shared" si="199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583" t="s">
        <v>217</v>
      </c>
      <c r="C430" s="126" t="s">
        <v>186</v>
      </c>
      <c r="D430" s="108">
        <v>5.03</v>
      </c>
      <c r="E430" s="108"/>
      <c r="F430" s="127"/>
      <c r="G430" s="128"/>
      <c r="H430" s="584">
        <f t="shared" si="200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201"/>
        <v>0</v>
      </c>
      <c r="N430" s="130">
        <f t="shared" si="202"/>
        <v>0</v>
      </c>
      <c r="O430" s="592"/>
      <c r="P430" s="592"/>
      <c r="Q430" s="592"/>
      <c r="R430" s="592"/>
      <c r="S430" s="592"/>
      <c r="T430" s="592"/>
      <c r="U430" s="592"/>
      <c r="V430" s="132">
        <f t="shared" si="203"/>
        <v>0</v>
      </c>
      <c r="W430" s="133" t="str">
        <f t="shared" si="199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583" t="s">
        <v>217</v>
      </c>
      <c r="C431" s="126" t="s">
        <v>204</v>
      </c>
      <c r="D431" s="108">
        <v>5.03</v>
      </c>
      <c r="E431" s="108"/>
      <c r="F431" s="127"/>
      <c r="G431" s="128"/>
      <c r="H431" s="584">
        <f t="shared" si="200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201"/>
        <v>0</v>
      </c>
      <c r="N431" s="130">
        <f t="shared" si="202"/>
        <v>0</v>
      </c>
      <c r="O431" s="592"/>
      <c r="P431" s="592"/>
      <c r="Q431" s="592"/>
      <c r="R431" s="592"/>
      <c r="S431" s="592"/>
      <c r="T431" s="592"/>
      <c r="U431" s="592"/>
      <c r="V431" s="132">
        <f t="shared" si="203"/>
        <v>0</v>
      </c>
      <c r="W431" s="133" t="str">
        <f t="shared" si="199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>
        <v>42749</v>
      </c>
      <c r="G432" s="128">
        <f>75+73+146+84+72</f>
        <v>450</v>
      </c>
      <c r="H432" s="584">
        <f t="shared" si="200"/>
        <v>2263.5</v>
      </c>
      <c r="I432" s="129">
        <f>4.5+4.5+5+7+6.5</f>
        <v>27.5</v>
      </c>
      <c r="J432" s="130">
        <f t="array" ref="J432">IF(ISERROR(G432/I432),"",G432/I432)</f>
        <v>16.363636363636363</v>
      </c>
      <c r="K432" s="131">
        <f t="array" ref="K432">IF(ISERROR(G432/L432),"",G432/L432)</f>
        <v>48.387096774193544</v>
      </c>
      <c r="L432" s="129">
        <v>9.3000000000000007</v>
      </c>
      <c r="M432" s="109">
        <f t="shared" si="201"/>
        <v>-20.887096774193544</v>
      </c>
      <c r="N432" s="130">
        <f t="shared" si="202"/>
        <v>0</v>
      </c>
      <c r="O432" s="592"/>
      <c r="P432" s="592"/>
      <c r="Q432" s="592"/>
      <c r="R432" s="592"/>
      <c r="S432" s="592"/>
      <c r="T432" s="592"/>
      <c r="U432" s="592"/>
      <c r="V432" s="132">
        <f t="shared" si="203"/>
        <v>0</v>
      </c>
      <c r="W432" s="133">
        <f t="shared" si="199"/>
        <v>0</v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42749</v>
      </c>
      <c r="G433" s="128">
        <f>38+64+36+92+4</f>
        <v>234</v>
      </c>
      <c r="H433" s="584">
        <f t="shared" si="200"/>
        <v>1177.02</v>
      </c>
      <c r="I433" s="129">
        <f>9.5+3+9.5+3.5</f>
        <v>25.5</v>
      </c>
      <c r="J433" s="130">
        <f t="array" ref="J433">IF(ISERROR(G433/I433),"",G433/I433)</f>
        <v>9.1764705882352935</v>
      </c>
      <c r="K433" s="131">
        <f t="array" ref="K433">IF(ISERROR(G433/L433),"",G433/L433)</f>
        <v>25.161290322580644</v>
      </c>
      <c r="L433" s="129">
        <v>9.3000000000000007</v>
      </c>
      <c r="M433" s="109">
        <f t="shared" si="201"/>
        <v>0.33870967741935587</v>
      </c>
      <c r="N433" s="130">
        <f t="shared" si="202"/>
        <v>0</v>
      </c>
      <c r="O433" s="592"/>
      <c r="P433" s="592"/>
      <c r="Q433" s="592"/>
      <c r="R433" s="592"/>
      <c r="S433" s="592"/>
      <c r="T433" s="592"/>
      <c r="U433" s="592"/>
      <c r="V433" s="132">
        <f t="shared" si="203"/>
        <v>0</v>
      </c>
      <c r="W433" s="133">
        <f t="shared" si="199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584">
        <f t="shared" si="200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201"/>
        <v>0</v>
      </c>
      <c r="N434" s="130">
        <f t="shared" si="202"/>
        <v>0</v>
      </c>
      <c r="O434" s="592"/>
      <c r="P434" s="592"/>
      <c r="Q434" s="592"/>
      <c r="R434" s="592"/>
      <c r="S434" s="592"/>
      <c r="T434" s="592"/>
      <c r="U434" s="592"/>
      <c r="V434" s="132">
        <f t="shared" si="203"/>
        <v>0</v>
      </c>
      <c r="W434" s="133" t="str">
        <f t="shared" si="199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584">
        <f t="shared" si="200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201"/>
        <v>0</v>
      </c>
      <c r="N435" s="130">
        <f t="shared" si="202"/>
        <v>0</v>
      </c>
      <c r="O435" s="592"/>
      <c r="P435" s="592"/>
      <c r="Q435" s="592"/>
      <c r="R435" s="592"/>
      <c r="S435" s="592"/>
      <c r="T435" s="592"/>
      <c r="U435" s="592"/>
      <c r="V435" s="132">
        <f t="shared" si="203"/>
        <v>0</v>
      </c>
      <c r="W435" s="133" t="str">
        <f t="shared" si="199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584">
        <f t="shared" si="200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201"/>
        <v>0</v>
      </c>
      <c r="N436" s="130">
        <f t="shared" si="202"/>
        <v>0</v>
      </c>
      <c r="O436" s="592"/>
      <c r="P436" s="592"/>
      <c r="Q436" s="592"/>
      <c r="R436" s="592"/>
      <c r="S436" s="592"/>
      <c r="T436" s="592"/>
      <c r="U436" s="59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584">
        <f t="shared" si="200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592"/>
      <c r="P437" s="592"/>
      <c r="Q437" s="592"/>
      <c r="R437" s="592"/>
      <c r="S437" s="592"/>
      <c r="T437" s="592"/>
      <c r="U437" s="59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584">
        <f t="shared" si="200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592"/>
      <c r="P438" s="592"/>
      <c r="Q438" s="592"/>
      <c r="R438" s="592"/>
      <c r="S438" s="592"/>
      <c r="T438" s="592"/>
      <c r="U438" s="59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584">
        <f t="shared" si="200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592"/>
      <c r="P439" s="592"/>
      <c r="Q439" s="592"/>
      <c r="R439" s="592"/>
      <c r="S439" s="592"/>
      <c r="T439" s="592"/>
      <c r="U439" s="59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584">
        <f t="shared" si="200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592"/>
      <c r="P440" s="592"/>
      <c r="Q440" s="592"/>
      <c r="R440" s="592"/>
      <c r="S440" s="592"/>
      <c r="T440" s="592"/>
      <c r="U440" s="59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584">
        <f t="shared" si="200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4">IF(ISERROR(I441-K441),"",I441-K441)</f>
        <v>0</v>
      </c>
      <c r="N441" s="130">
        <f t="shared" ref="N441:N456" si="205">SUM(O441:U441)</f>
        <v>0</v>
      </c>
      <c r="O441" s="592"/>
      <c r="P441" s="592"/>
      <c r="Q441" s="592"/>
      <c r="R441" s="592"/>
      <c r="S441" s="592"/>
      <c r="T441" s="592"/>
      <c r="U441" s="592"/>
      <c r="V441" s="132">
        <f t="shared" ref="V441:V444" si="206">SUM(X441:AA441)</f>
        <v>0</v>
      </c>
      <c r="W441" s="133" t="str">
        <f t="shared" ref="W441:W448" si="207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584">
        <f t="shared" si="200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4"/>
        <v/>
      </c>
      <c r="N442" s="130">
        <f t="shared" si="205"/>
        <v>0</v>
      </c>
      <c r="O442" s="592"/>
      <c r="P442" s="592"/>
      <c r="Q442" s="592"/>
      <c r="R442" s="592"/>
      <c r="S442" s="592"/>
      <c r="T442" s="592"/>
      <c r="U442" s="592"/>
      <c r="V442" s="132">
        <f t="shared" si="206"/>
        <v>0</v>
      </c>
      <c r="W442" s="133" t="str">
        <f t="shared" si="207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584">
        <f t="shared" si="200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4"/>
        <v/>
      </c>
      <c r="N443" s="130">
        <f t="shared" si="205"/>
        <v>0</v>
      </c>
      <c r="O443" s="592"/>
      <c r="P443" s="592"/>
      <c r="Q443" s="592"/>
      <c r="R443" s="592"/>
      <c r="S443" s="592"/>
      <c r="T443" s="592"/>
      <c r="U443" s="592"/>
      <c r="V443" s="132">
        <f t="shared" si="206"/>
        <v>0</v>
      </c>
      <c r="W443" s="133" t="str">
        <f t="shared" si="207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584">
        <f t="shared" si="200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4"/>
        <v/>
      </c>
      <c r="N444" s="130">
        <f t="shared" si="205"/>
        <v>0</v>
      </c>
      <c r="O444" s="592"/>
      <c r="P444" s="592"/>
      <c r="Q444" s="592"/>
      <c r="R444" s="592"/>
      <c r="S444" s="592"/>
      <c r="T444" s="592"/>
      <c r="U444" s="592"/>
      <c r="V444" s="132">
        <f t="shared" si="206"/>
        <v>0</v>
      </c>
      <c r="W444" s="133" t="str">
        <f t="shared" si="207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583" t="s">
        <v>222</v>
      </c>
      <c r="C445" s="126" t="s">
        <v>181</v>
      </c>
      <c r="D445" s="108">
        <v>9.36</v>
      </c>
      <c r="E445" s="108"/>
      <c r="F445" s="127"/>
      <c r="G445" s="128"/>
      <c r="H445" s="584">
        <f t="shared" si="200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4"/>
        <v>0</v>
      </c>
      <c r="N445" s="130">
        <f t="shared" si="205"/>
        <v>0</v>
      </c>
      <c r="O445" s="592"/>
      <c r="P445" s="592"/>
      <c r="Q445" s="592"/>
      <c r="R445" s="592"/>
      <c r="S445" s="592"/>
      <c r="T445" s="592"/>
      <c r="U445" s="592"/>
      <c r="V445" s="132">
        <f t="shared" ref="V445:V448" si="208">SUM(X445:AA445)</f>
        <v>0</v>
      </c>
      <c r="W445" s="133" t="str">
        <f t="shared" si="207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583" t="s">
        <v>222</v>
      </c>
      <c r="C446" s="126" t="s">
        <v>179</v>
      </c>
      <c r="D446" s="108">
        <v>9.36</v>
      </c>
      <c r="E446" s="108"/>
      <c r="F446" s="127"/>
      <c r="G446" s="128"/>
      <c r="H446" s="584">
        <f t="shared" si="200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4"/>
        <v>0</v>
      </c>
      <c r="N446" s="130">
        <f t="shared" si="205"/>
        <v>0</v>
      </c>
      <c r="O446" s="592"/>
      <c r="P446" s="592"/>
      <c r="Q446" s="592"/>
      <c r="R446" s="592"/>
      <c r="S446" s="592"/>
      <c r="T446" s="592"/>
      <c r="U446" s="592"/>
      <c r="V446" s="132">
        <f t="shared" si="208"/>
        <v>0</v>
      </c>
      <c r="W446" s="133" t="str">
        <f t="shared" si="207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583" t="s">
        <v>222</v>
      </c>
      <c r="C447" s="126" t="s">
        <v>221</v>
      </c>
      <c r="D447" s="108">
        <v>9.36</v>
      </c>
      <c r="E447" s="108"/>
      <c r="F447" s="127"/>
      <c r="G447" s="128"/>
      <c r="H447" s="584">
        <f t="shared" si="200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4"/>
        <v>0</v>
      </c>
      <c r="N447" s="130">
        <f t="shared" si="205"/>
        <v>0</v>
      </c>
      <c r="O447" s="592"/>
      <c r="P447" s="592"/>
      <c r="Q447" s="592"/>
      <c r="R447" s="592"/>
      <c r="S447" s="592"/>
      <c r="T447" s="592"/>
      <c r="U447" s="592"/>
      <c r="V447" s="132">
        <f t="shared" si="208"/>
        <v>0</v>
      </c>
      <c r="W447" s="133" t="str">
        <f t="shared" si="207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583" t="s">
        <v>222</v>
      </c>
      <c r="C448" s="126" t="s">
        <v>186</v>
      </c>
      <c r="D448" s="108">
        <v>9.36</v>
      </c>
      <c r="E448" s="108"/>
      <c r="F448" s="127"/>
      <c r="G448" s="128"/>
      <c r="H448" s="584">
        <f t="shared" si="200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4"/>
        <v>0</v>
      </c>
      <c r="N448" s="130">
        <f t="shared" si="205"/>
        <v>0</v>
      </c>
      <c r="O448" s="592"/>
      <c r="P448" s="592"/>
      <c r="Q448" s="592"/>
      <c r="R448" s="592"/>
      <c r="S448" s="592"/>
      <c r="T448" s="592"/>
      <c r="U448" s="592"/>
      <c r="V448" s="132">
        <f t="shared" si="208"/>
        <v>0</v>
      </c>
      <c r="W448" s="133" t="str">
        <f t="shared" si="207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583" t="s">
        <v>393</v>
      </c>
      <c r="C449" s="187" t="s">
        <v>395</v>
      </c>
      <c r="D449" s="108">
        <v>5</v>
      </c>
      <c r="E449" s="108"/>
      <c r="F449" s="127"/>
      <c r="G449" s="128"/>
      <c r="H449" s="584">
        <f t="shared" si="200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4"/>
        <v>0</v>
      </c>
      <c r="N449" s="130">
        <f t="shared" si="205"/>
        <v>0</v>
      </c>
      <c r="O449" s="592"/>
      <c r="P449" s="592"/>
      <c r="Q449" s="592"/>
      <c r="R449" s="592"/>
      <c r="S449" s="592"/>
      <c r="T449" s="592"/>
      <c r="U449" s="59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583" t="s">
        <v>393</v>
      </c>
      <c r="C450" s="187" t="s">
        <v>402</v>
      </c>
      <c r="D450" s="108">
        <v>5</v>
      </c>
      <c r="E450" s="108"/>
      <c r="F450" s="127"/>
      <c r="G450" s="128"/>
      <c r="H450" s="584">
        <f t="shared" si="200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4"/>
        <v>0</v>
      </c>
      <c r="N450" s="130">
        <f t="shared" si="205"/>
        <v>0</v>
      </c>
      <c r="O450" s="592"/>
      <c r="P450" s="592"/>
      <c r="Q450" s="592"/>
      <c r="R450" s="592"/>
      <c r="S450" s="592"/>
      <c r="T450" s="592"/>
      <c r="U450" s="59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583" t="s">
        <v>404</v>
      </c>
      <c r="C451" s="187" t="s">
        <v>405</v>
      </c>
      <c r="D451" s="108">
        <v>5</v>
      </c>
      <c r="E451" s="108"/>
      <c r="F451" s="127"/>
      <c r="G451" s="128"/>
      <c r="H451" s="584">
        <f t="shared" si="200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4"/>
        <v>0</v>
      </c>
      <c r="N451" s="130">
        <f t="shared" si="205"/>
        <v>0</v>
      </c>
      <c r="O451" s="592"/>
      <c r="P451" s="592"/>
      <c r="Q451" s="592"/>
      <c r="R451" s="592"/>
      <c r="S451" s="592"/>
      <c r="T451" s="592"/>
      <c r="U451" s="59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583" t="s">
        <v>342</v>
      </c>
      <c r="C452" s="187" t="s">
        <v>372</v>
      </c>
      <c r="D452" s="108">
        <v>5</v>
      </c>
      <c r="E452" s="108"/>
      <c r="F452" s="127"/>
      <c r="G452" s="128"/>
      <c r="H452" s="584">
        <f t="shared" si="200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4"/>
        <v>0</v>
      </c>
      <c r="N452" s="130">
        <f t="shared" si="205"/>
        <v>0</v>
      </c>
      <c r="O452" s="592"/>
      <c r="P452" s="592"/>
      <c r="Q452" s="592"/>
      <c r="R452" s="592"/>
      <c r="S452" s="592"/>
      <c r="T452" s="592"/>
      <c r="U452" s="59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583" t="s">
        <v>343</v>
      </c>
      <c r="C453" s="126" t="s">
        <v>345</v>
      </c>
      <c r="D453" s="108">
        <v>5</v>
      </c>
      <c r="E453" s="108"/>
      <c r="F453" s="127"/>
      <c r="G453" s="128"/>
      <c r="H453" s="584">
        <f t="shared" si="200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4"/>
        <v>0</v>
      </c>
      <c r="N453" s="130">
        <f t="shared" si="205"/>
        <v>0</v>
      </c>
      <c r="O453" s="592"/>
      <c r="P453" s="592"/>
      <c r="Q453" s="592"/>
      <c r="R453" s="592"/>
      <c r="S453" s="592"/>
      <c r="T453" s="592"/>
      <c r="U453" s="59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583" t="s">
        <v>343</v>
      </c>
      <c r="C454" s="126" t="s">
        <v>347</v>
      </c>
      <c r="D454" s="108">
        <v>5</v>
      </c>
      <c r="E454" s="108"/>
      <c r="F454" s="127"/>
      <c r="G454" s="128"/>
      <c r="H454" s="584">
        <f t="shared" si="200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4"/>
        <v>0</v>
      </c>
      <c r="N454" s="130">
        <f t="shared" si="205"/>
        <v>0</v>
      </c>
      <c r="O454" s="592"/>
      <c r="P454" s="592"/>
      <c r="Q454" s="592"/>
      <c r="R454" s="592"/>
      <c r="S454" s="592"/>
      <c r="T454" s="592"/>
      <c r="U454" s="592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>
        <v>42750</v>
      </c>
      <c r="G455" s="128">
        <f>108+105+162</f>
        <v>375</v>
      </c>
      <c r="H455" s="584">
        <f t="shared" si="200"/>
        <v>1897.4999999999998</v>
      </c>
      <c r="I455" s="129">
        <f>6.5*2+5</f>
        <v>18</v>
      </c>
      <c r="J455" s="130">
        <f t="array" ref="J455">IF(ISERROR(G455/I455),"",G455/I455)</f>
        <v>20.833333333333332</v>
      </c>
      <c r="K455" s="131">
        <f t="array" ref="K455">IF(ISERROR(G455/L455),"",G455/L455)</f>
        <v>24.193548387096776</v>
      </c>
      <c r="L455" s="129">
        <v>15.5</v>
      </c>
      <c r="M455" s="109">
        <f t="shared" si="204"/>
        <v>-6.1935483870967758</v>
      </c>
      <c r="N455" s="130">
        <f t="shared" si="205"/>
        <v>0</v>
      </c>
      <c r="O455" s="592"/>
      <c r="P455" s="592"/>
      <c r="Q455" s="592"/>
      <c r="R455" s="592"/>
      <c r="S455" s="592"/>
      <c r="T455" s="592"/>
      <c r="U455" s="592"/>
      <c r="V455" s="132">
        <f t="shared" ref="V455:V456" si="209">SUM(X455:AA455)</f>
        <v>0</v>
      </c>
      <c r="W455" s="133">
        <f t="shared" ref="W455:W456" si="210">IF(ISERROR(V455/G455),"",V455/G455)</f>
        <v>0</v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584">
        <f t="shared" si="200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4"/>
        <v>0</v>
      </c>
      <c r="N456" s="130">
        <f t="shared" si="205"/>
        <v>0</v>
      </c>
      <c r="O456" s="592"/>
      <c r="P456" s="592"/>
      <c r="Q456" s="592"/>
      <c r="R456" s="592"/>
      <c r="S456" s="592"/>
      <c r="T456" s="592"/>
      <c r="U456" s="592"/>
      <c r="V456" s="132">
        <f t="shared" si="209"/>
        <v>0</v>
      </c>
      <c r="W456" s="133" t="str">
        <f t="shared" si="210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584">
        <f t="shared" si="200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4"/>
        <v>0</v>
      </c>
      <c r="N457" s="130"/>
      <c r="O457" s="592"/>
      <c r="P457" s="592"/>
      <c r="Q457" s="592"/>
      <c r="R457" s="592"/>
      <c r="S457" s="592"/>
      <c r="T457" s="592"/>
      <c r="U457" s="59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584">
        <f t="shared" si="200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4"/>
        <v>0</v>
      </c>
      <c r="N458" s="130"/>
      <c r="O458" s="592"/>
      <c r="P458" s="592"/>
      <c r="Q458" s="592"/>
      <c r="R458" s="592"/>
      <c r="S458" s="592"/>
      <c r="T458" s="592"/>
      <c r="U458" s="59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584">
        <f t="shared" si="200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4"/>
        <v>0</v>
      </c>
      <c r="N459" s="130"/>
      <c r="O459" s="592"/>
      <c r="P459" s="592"/>
      <c r="Q459" s="592"/>
      <c r="R459" s="592"/>
      <c r="S459" s="592"/>
      <c r="T459" s="592"/>
      <c r="U459" s="59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584">
        <f t="shared" si="200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4"/>
        <v>0</v>
      </c>
      <c r="N460" s="130">
        <f t="shared" ref="N460:N462" si="211">SUM(O460:U460)</f>
        <v>0</v>
      </c>
      <c r="O460" s="592"/>
      <c r="P460" s="592"/>
      <c r="Q460" s="592"/>
      <c r="R460" s="592"/>
      <c r="S460" s="592"/>
      <c r="T460" s="592"/>
      <c r="U460" s="592"/>
      <c r="V460" s="132">
        <f t="shared" ref="V460:V462" si="212">SUM(X460:AA460)</f>
        <v>0</v>
      </c>
      <c r="W460" s="133" t="str">
        <f t="shared" ref="W460:W484" si="213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584">
        <f t="shared" si="200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4"/>
        <v>0</v>
      </c>
      <c r="N461" s="130">
        <f t="shared" si="211"/>
        <v>0</v>
      </c>
      <c r="O461" s="592"/>
      <c r="P461" s="592"/>
      <c r="Q461" s="592"/>
      <c r="R461" s="592"/>
      <c r="S461" s="592"/>
      <c r="T461" s="592"/>
      <c r="U461" s="592"/>
      <c r="V461" s="132">
        <f t="shared" si="212"/>
        <v>0</v>
      </c>
      <c r="W461" s="133" t="str">
        <f t="shared" si="213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584">
        <f t="shared" si="200"/>
        <v>0</v>
      </c>
      <c r="I462" s="129"/>
      <c r="J462" s="130" t="str">
        <f t="array" ref="J462">IF(ISERROR(G462/I462),"",G462/I462)</f>
        <v/>
      </c>
      <c r="K462" s="584">
        <f t="array" ref="K462">IF(ISERROR(G462/L462),"",G462/L462)</f>
        <v>0</v>
      </c>
      <c r="L462" s="129">
        <v>9</v>
      </c>
      <c r="M462" s="109">
        <f t="shared" si="204"/>
        <v>0</v>
      </c>
      <c r="N462" s="130">
        <f t="shared" si="211"/>
        <v>0</v>
      </c>
      <c r="O462" s="592"/>
      <c r="P462" s="592"/>
      <c r="Q462" s="592"/>
      <c r="R462" s="592"/>
      <c r="S462" s="592"/>
      <c r="T462" s="592"/>
      <c r="U462" s="592"/>
      <c r="V462" s="132">
        <f t="shared" si="212"/>
        <v>0</v>
      </c>
      <c r="W462" s="133" t="str">
        <f t="shared" si="213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593" t="s">
        <v>202</v>
      </c>
      <c r="D463" s="143"/>
      <c r="E463" s="143"/>
      <c r="F463" s="144"/>
      <c r="G463" s="145">
        <f>SUM(G429:G462)</f>
        <v>1059</v>
      </c>
      <c r="H463" s="146">
        <f>SUM(H429:H462)</f>
        <v>5338.0199999999995</v>
      </c>
      <c r="I463" s="146">
        <f>SUM(I429:I462)</f>
        <v>71</v>
      </c>
      <c r="J463" s="130">
        <f t="array" ref="J463">IF(ISERROR(G463/I463),"",G463/I463)</f>
        <v>14.915492957746478</v>
      </c>
      <c r="K463" s="146">
        <f>SUM(K429:K462)</f>
        <v>97.741935483870975</v>
      </c>
      <c r="L463" s="147"/>
      <c r="M463" s="150">
        <f t="shared" ref="M463:V463" si="214">SUM(M429:M462)</f>
        <v>-26.741935483870964</v>
      </c>
      <c r="N463" s="146">
        <f t="shared" si="214"/>
        <v>0</v>
      </c>
      <c r="O463" s="148">
        <f t="shared" si="214"/>
        <v>0</v>
      </c>
      <c r="P463" s="148">
        <f t="shared" si="214"/>
        <v>0</v>
      </c>
      <c r="Q463" s="148">
        <f t="shared" si="214"/>
        <v>0</v>
      </c>
      <c r="R463" s="148">
        <f t="shared" si="214"/>
        <v>0</v>
      </c>
      <c r="S463" s="148">
        <f t="shared" si="214"/>
        <v>0</v>
      </c>
      <c r="T463" s="148">
        <f t="shared" si="214"/>
        <v>0</v>
      </c>
      <c r="U463" s="148">
        <f t="shared" si="214"/>
        <v>0</v>
      </c>
      <c r="V463" s="149">
        <f t="shared" si="214"/>
        <v>0</v>
      </c>
      <c r="W463" s="133">
        <f t="shared" si="213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584">
        <f t="shared" ref="H464:H478" si="215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6">IF(ISERROR(I464-K464),"",I464-K464)</f>
        <v>0</v>
      </c>
      <c r="N464" s="130">
        <f t="shared" ref="N464:N478" si="217">SUM(O464:U464)</f>
        <v>0</v>
      </c>
      <c r="O464" s="592"/>
      <c r="P464" s="592"/>
      <c r="Q464" s="592"/>
      <c r="R464" s="592"/>
      <c r="S464" s="592"/>
      <c r="T464" s="592"/>
      <c r="U464" s="592"/>
      <c r="V464" s="132">
        <f t="shared" ref="V464:V478" si="218">SUM(X464:AA464)</f>
        <v>0</v>
      </c>
      <c r="W464" s="133" t="str">
        <f t="shared" si="213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584">
        <f t="shared" si="215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6"/>
        <v>0</v>
      </c>
      <c r="N465" s="130">
        <f t="shared" si="217"/>
        <v>0</v>
      </c>
      <c r="O465" s="592"/>
      <c r="P465" s="592"/>
      <c r="Q465" s="592"/>
      <c r="R465" s="592"/>
      <c r="S465" s="592"/>
      <c r="T465" s="592"/>
      <c r="U465" s="592"/>
      <c r="V465" s="132">
        <f t="shared" si="218"/>
        <v>0</v>
      </c>
      <c r="W465" s="133" t="str">
        <f t="shared" si="213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584">
        <f t="shared" si="215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6"/>
        <v>0</v>
      </c>
      <c r="N466" s="130">
        <f t="shared" si="217"/>
        <v>0</v>
      </c>
      <c r="O466" s="592"/>
      <c r="P466" s="592"/>
      <c r="Q466" s="592"/>
      <c r="R466" s="592"/>
      <c r="S466" s="592"/>
      <c r="T466" s="592"/>
      <c r="U466" s="592"/>
      <c r="V466" s="132">
        <f t="shared" si="218"/>
        <v>0</v>
      </c>
      <c r="W466" s="133" t="str">
        <f t="shared" si="213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584">
        <f t="shared" si="215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6"/>
        <v>0</v>
      </c>
      <c r="N467" s="130">
        <f t="shared" si="217"/>
        <v>0</v>
      </c>
      <c r="O467" s="592"/>
      <c r="P467" s="592"/>
      <c r="Q467" s="592"/>
      <c r="R467" s="592"/>
      <c r="S467" s="592"/>
      <c r="T467" s="592"/>
      <c r="U467" s="592"/>
      <c r="V467" s="132">
        <f t="shared" si="218"/>
        <v>0</v>
      </c>
      <c r="W467" s="133" t="str">
        <f t="shared" si="213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589" t="s">
        <v>203</v>
      </c>
      <c r="D468" s="108">
        <v>5.03</v>
      </c>
      <c r="E468" s="108"/>
      <c r="F468" s="127"/>
      <c r="G468" s="128"/>
      <c r="H468" s="584">
        <f t="shared" si="215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6"/>
        <v>0</v>
      </c>
      <c r="N468" s="130">
        <f t="shared" si="217"/>
        <v>0</v>
      </c>
      <c r="O468" s="592"/>
      <c r="P468" s="592"/>
      <c r="Q468" s="592"/>
      <c r="R468" s="592"/>
      <c r="S468" s="592"/>
      <c r="T468" s="592"/>
      <c r="U468" s="592"/>
      <c r="V468" s="132">
        <f t="shared" si="218"/>
        <v>0</v>
      </c>
      <c r="W468" s="133" t="str">
        <f t="shared" si="213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584">
        <f t="shared" si="215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6"/>
        <v>0</v>
      </c>
      <c r="N469" s="130">
        <f t="shared" si="217"/>
        <v>0</v>
      </c>
      <c r="O469" s="592"/>
      <c r="P469" s="592"/>
      <c r="Q469" s="592"/>
      <c r="R469" s="592"/>
      <c r="S469" s="592"/>
      <c r="T469" s="592"/>
      <c r="U469" s="592"/>
      <c r="V469" s="132">
        <f t="shared" si="218"/>
        <v>0</v>
      </c>
      <c r="W469" s="133" t="str">
        <f t="shared" si="213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584">
        <f t="shared" si="215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6"/>
        <v>0</v>
      </c>
      <c r="N470" s="130">
        <f t="shared" si="217"/>
        <v>0</v>
      </c>
      <c r="O470" s="592"/>
      <c r="P470" s="592"/>
      <c r="Q470" s="592"/>
      <c r="R470" s="592"/>
      <c r="S470" s="592"/>
      <c r="T470" s="592"/>
      <c r="U470" s="592"/>
      <c r="V470" s="132">
        <f t="shared" si="218"/>
        <v>0</v>
      </c>
      <c r="W470" s="133" t="str">
        <f t="shared" si="213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589" t="s">
        <v>228</v>
      </c>
      <c r="D471" s="108">
        <v>5.03</v>
      </c>
      <c r="E471" s="108"/>
      <c r="F471" s="127"/>
      <c r="G471" s="128"/>
      <c r="H471" s="584">
        <f t="shared" si="215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6"/>
        <v>0</v>
      </c>
      <c r="N471" s="130">
        <f t="shared" si="217"/>
        <v>0</v>
      </c>
      <c r="O471" s="592"/>
      <c r="P471" s="592"/>
      <c r="Q471" s="592"/>
      <c r="R471" s="592"/>
      <c r="S471" s="592"/>
      <c r="T471" s="592"/>
      <c r="U471" s="592"/>
      <c r="V471" s="132">
        <f t="shared" si="218"/>
        <v>0</v>
      </c>
      <c r="W471" s="133" t="str">
        <f t="shared" si="213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589" t="s">
        <v>212</v>
      </c>
      <c r="D472" s="108">
        <v>5.03</v>
      </c>
      <c r="E472" s="108"/>
      <c r="F472" s="127"/>
      <c r="G472" s="128"/>
      <c r="H472" s="584">
        <f t="shared" si="215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6"/>
        <v/>
      </c>
      <c r="N472" s="130">
        <f t="shared" si="217"/>
        <v>0</v>
      </c>
      <c r="O472" s="592"/>
      <c r="P472" s="592"/>
      <c r="Q472" s="592"/>
      <c r="R472" s="592"/>
      <c r="S472" s="592"/>
      <c r="T472" s="592"/>
      <c r="U472" s="592"/>
      <c r="V472" s="132">
        <f t="shared" si="218"/>
        <v>0</v>
      </c>
      <c r="W472" s="133" t="str">
        <f t="shared" si="213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589" t="s">
        <v>203</v>
      </c>
      <c r="D473" s="108">
        <v>5.03</v>
      </c>
      <c r="E473" s="108"/>
      <c r="F473" s="127"/>
      <c r="G473" s="128"/>
      <c r="H473" s="584">
        <f t="shared" si="215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6"/>
        <v/>
      </c>
      <c r="N473" s="130">
        <f t="shared" si="217"/>
        <v>0</v>
      </c>
      <c r="O473" s="592"/>
      <c r="P473" s="592"/>
      <c r="Q473" s="592"/>
      <c r="R473" s="592"/>
      <c r="S473" s="592"/>
      <c r="T473" s="592"/>
      <c r="U473" s="592"/>
      <c r="V473" s="132">
        <f t="shared" si="218"/>
        <v>0</v>
      </c>
      <c r="W473" s="133" t="str">
        <f t="shared" si="213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589" t="s">
        <v>186</v>
      </c>
      <c r="D474" s="108">
        <v>5.03</v>
      </c>
      <c r="E474" s="108"/>
      <c r="F474" s="127"/>
      <c r="G474" s="128"/>
      <c r="H474" s="584">
        <f t="shared" si="215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6"/>
        <v/>
      </c>
      <c r="N474" s="130">
        <f t="shared" si="217"/>
        <v>0</v>
      </c>
      <c r="O474" s="592"/>
      <c r="P474" s="592"/>
      <c r="Q474" s="592"/>
      <c r="R474" s="592"/>
      <c r="S474" s="592"/>
      <c r="T474" s="592"/>
      <c r="U474" s="592"/>
      <c r="V474" s="132">
        <f t="shared" si="218"/>
        <v>0</v>
      </c>
      <c r="W474" s="133" t="str">
        <f t="shared" si="213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589" t="s">
        <v>228</v>
      </c>
      <c r="D475" s="108">
        <v>5.03</v>
      </c>
      <c r="E475" s="108"/>
      <c r="F475" s="127"/>
      <c r="G475" s="128"/>
      <c r="H475" s="584">
        <f t="shared" si="215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6"/>
        <v/>
      </c>
      <c r="N475" s="130">
        <f t="shared" si="217"/>
        <v>0</v>
      </c>
      <c r="O475" s="592"/>
      <c r="P475" s="592"/>
      <c r="Q475" s="592"/>
      <c r="R475" s="592"/>
      <c r="S475" s="592"/>
      <c r="T475" s="592"/>
      <c r="U475" s="592"/>
      <c r="V475" s="132">
        <f t="shared" si="218"/>
        <v>0</v>
      </c>
      <c r="W475" s="133" t="str">
        <f t="shared" si="213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589" t="s">
        <v>199</v>
      </c>
      <c r="D476" s="108">
        <v>5.03</v>
      </c>
      <c r="E476" s="108"/>
      <c r="F476" s="127"/>
      <c r="G476" s="128"/>
      <c r="H476" s="584">
        <f t="shared" si="215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6"/>
        <v/>
      </c>
      <c r="N476" s="130">
        <f t="shared" si="217"/>
        <v>0</v>
      </c>
      <c r="O476" s="592"/>
      <c r="P476" s="592"/>
      <c r="Q476" s="592"/>
      <c r="R476" s="592"/>
      <c r="S476" s="592"/>
      <c r="T476" s="592"/>
      <c r="U476" s="592"/>
      <c r="V476" s="132">
        <f t="shared" si="218"/>
        <v>0</v>
      </c>
      <c r="W476" s="133" t="str">
        <f t="shared" si="213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584">
        <f t="shared" si="215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6"/>
        <v>0</v>
      </c>
      <c r="N477" s="130">
        <f t="shared" si="217"/>
        <v>0</v>
      </c>
      <c r="O477" s="592"/>
      <c r="P477" s="592"/>
      <c r="Q477" s="592"/>
      <c r="R477" s="592"/>
      <c r="S477" s="592"/>
      <c r="T477" s="592"/>
      <c r="U477" s="592"/>
      <c r="V477" s="132">
        <f t="shared" si="218"/>
        <v>0</v>
      </c>
      <c r="W477" s="133" t="str">
        <f t="shared" si="213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584">
        <f t="shared" si="215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6"/>
        <v>0</v>
      </c>
      <c r="N478" s="130">
        <f t="shared" si="217"/>
        <v>0</v>
      </c>
      <c r="O478" s="592"/>
      <c r="P478" s="592"/>
      <c r="Q478" s="592"/>
      <c r="R478" s="592"/>
      <c r="S478" s="592"/>
      <c r="T478" s="592"/>
      <c r="U478" s="592"/>
      <c r="V478" s="132">
        <f t="shared" si="218"/>
        <v>0</v>
      </c>
      <c r="W478" s="133" t="str">
        <f t="shared" si="213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59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3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584">
        <f t="shared" ref="H480:H489" si="219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20">IF(ISERROR(I480-K480),"",I480-K480)</f>
        <v>0</v>
      </c>
      <c r="N480" s="130">
        <f t="shared" ref="N480:N489" si="221">SUM(O480:U480)</f>
        <v>0</v>
      </c>
      <c r="O480" s="592"/>
      <c r="P480" s="592"/>
      <c r="Q480" s="592"/>
      <c r="R480" s="592"/>
      <c r="S480" s="592"/>
      <c r="T480" s="592"/>
      <c r="U480" s="592"/>
      <c r="V480" s="132">
        <f t="shared" ref="V480:V489" si="222">SUM(X480:AA480)</f>
        <v>0</v>
      </c>
      <c r="W480" s="133" t="str">
        <f t="shared" si="213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584">
        <f t="shared" si="219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0"/>
        <v>0</v>
      </c>
      <c r="N481" s="130">
        <f t="shared" si="221"/>
        <v>0</v>
      </c>
      <c r="O481" s="592"/>
      <c r="P481" s="592"/>
      <c r="Q481" s="592"/>
      <c r="R481" s="592"/>
      <c r="S481" s="592"/>
      <c r="T481" s="592"/>
      <c r="U481" s="592"/>
      <c r="V481" s="132">
        <f t="shared" si="222"/>
        <v>0</v>
      </c>
      <c r="W481" s="133" t="str">
        <f t="shared" si="213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584">
        <f t="shared" si="219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0"/>
        <v>0</v>
      </c>
      <c r="N482" s="130">
        <f t="shared" si="221"/>
        <v>0</v>
      </c>
      <c r="O482" s="592"/>
      <c r="P482" s="592"/>
      <c r="Q482" s="592"/>
      <c r="R482" s="592"/>
      <c r="S482" s="592"/>
      <c r="T482" s="592"/>
      <c r="U482" s="592"/>
      <c r="V482" s="132">
        <f t="shared" si="222"/>
        <v>0</v>
      </c>
      <c r="W482" s="133" t="str">
        <f t="shared" si="213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584">
        <f t="shared" si="219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20"/>
        <v>0</v>
      </c>
      <c r="N483" s="130">
        <f t="shared" si="221"/>
        <v>0</v>
      </c>
      <c r="O483" s="592"/>
      <c r="P483" s="592"/>
      <c r="Q483" s="592"/>
      <c r="R483" s="592"/>
      <c r="S483" s="592"/>
      <c r="T483" s="592"/>
      <c r="U483" s="592"/>
      <c r="V483" s="132">
        <f t="shared" si="222"/>
        <v>0</v>
      </c>
      <c r="W483" s="133" t="str">
        <f t="shared" si="213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584">
        <f t="shared" si="219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20"/>
        <v>0</v>
      </c>
      <c r="N484" s="130">
        <f t="shared" si="221"/>
        <v>0</v>
      </c>
      <c r="O484" s="592"/>
      <c r="P484" s="592"/>
      <c r="Q484" s="592"/>
      <c r="R484" s="592"/>
      <c r="S484" s="592"/>
      <c r="T484" s="592"/>
      <c r="U484" s="592"/>
      <c r="V484" s="132">
        <f t="shared" si="222"/>
        <v>0</v>
      </c>
      <c r="W484" s="133" t="str">
        <f t="shared" si="213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584">
        <f t="shared" si="219"/>
        <v>0</v>
      </c>
      <c r="I485" s="129"/>
      <c r="J485" s="130"/>
      <c r="K485" s="131"/>
      <c r="L485" s="129">
        <v>13.5</v>
      </c>
      <c r="M485" s="109"/>
      <c r="N485" s="130"/>
      <c r="O485" s="592"/>
      <c r="P485" s="592"/>
      <c r="Q485" s="592"/>
      <c r="R485" s="592"/>
      <c r="S485" s="592"/>
      <c r="T485" s="592"/>
      <c r="U485" s="59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584">
        <f t="shared" si="219"/>
        <v>0</v>
      </c>
      <c r="I486" s="129"/>
      <c r="J486" s="130"/>
      <c r="K486" s="131"/>
      <c r="L486" s="129">
        <v>13.5</v>
      </c>
      <c r="M486" s="109"/>
      <c r="N486" s="130"/>
      <c r="O486" s="592"/>
      <c r="P486" s="592"/>
      <c r="Q486" s="592"/>
      <c r="R486" s="592"/>
      <c r="S486" s="592"/>
      <c r="T486" s="592"/>
      <c r="U486" s="59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584">
        <f t="shared" si="219"/>
        <v>0</v>
      </c>
      <c r="I487" s="129"/>
      <c r="J487" s="130"/>
      <c r="K487" s="131"/>
      <c r="L487" s="129">
        <v>13.5</v>
      </c>
      <c r="M487" s="109"/>
      <c r="N487" s="130"/>
      <c r="O487" s="592"/>
      <c r="P487" s="592"/>
      <c r="Q487" s="592"/>
      <c r="R487" s="592"/>
      <c r="S487" s="592"/>
      <c r="T487" s="592"/>
      <c r="U487" s="59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584">
        <f t="shared" si="219"/>
        <v>0</v>
      </c>
      <c r="I488" s="129"/>
      <c r="J488" s="130"/>
      <c r="K488" s="131"/>
      <c r="L488" s="129">
        <v>13.5</v>
      </c>
      <c r="M488" s="109"/>
      <c r="N488" s="130"/>
      <c r="O488" s="592"/>
      <c r="P488" s="592"/>
      <c r="Q488" s="592"/>
      <c r="R488" s="592"/>
      <c r="S488" s="592"/>
      <c r="T488" s="592"/>
      <c r="U488" s="59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584">
        <f t="shared" si="219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:M498" si="223">IF(ISERROR(I489-K489),"",I489-K489)</f>
        <v>0</v>
      </c>
      <c r="N489" s="130">
        <f t="shared" ref="N489:N498" si="224">SUM(O489:U489)</f>
        <v>0</v>
      </c>
      <c r="O489" s="592"/>
      <c r="P489" s="592"/>
      <c r="Q489" s="592"/>
      <c r="R489" s="592"/>
      <c r="S489" s="592"/>
      <c r="T489" s="592"/>
      <c r="U489" s="592"/>
      <c r="V489" s="132">
        <f t="shared" ref="V489:V498" si="225">SUM(X489:AA489)</f>
        <v>0</v>
      </c>
      <c r="W489" s="133" t="str">
        <f t="shared" ref="W489:W506" si="226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59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6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590"/>
      <c r="D491" s="108">
        <v>3.65</v>
      </c>
      <c r="E491" s="108"/>
      <c r="F491" s="153"/>
      <c r="G491" s="128"/>
      <c r="H491" s="584">
        <f t="shared" ref="H491:H505" si="227">D491*G491</f>
        <v>0</v>
      </c>
      <c r="I491" s="129"/>
      <c r="J491" s="130" t="str">
        <f t="array" ref="J491">IF(ISERROR(G491/I491),"",G491/I491)</f>
        <v/>
      </c>
      <c r="K491" s="584">
        <f t="array" ref="K491">IF(ISERROR(G491/L491),"",G491/L491)</f>
        <v>0</v>
      </c>
      <c r="L491" s="129">
        <v>5</v>
      </c>
      <c r="M491" s="109">
        <f t="shared" ref="M491:M494" si="228">IF(ISERROR(I491-K491),"",I491-K491)</f>
        <v>0</v>
      </c>
      <c r="N491" s="130">
        <f t="shared" ref="N491:N494" si="229">SUM(O491:U491)</f>
        <v>0</v>
      </c>
      <c r="O491" s="592"/>
      <c r="P491" s="592"/>
      <c r="Q491" s="592"/>
      <c r="R491" s="592"/>
      <c r="S491" s="592"/>
      <c r="T491" s="592"/>
      <c r="U491" s="592"/>
      <c r="V491" s="132">
        <f t="shared" ref="V491:V494" si="230">SUM(X491:AA491)</f>
        <v>0</v>
      </c>
      <c r="W491" s="133" t="str">
        <f t="shared" si="226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590"/>
      <c r="D492" s="108">
        <v>6.58</v>
      </c>
      <c r="E492" s="108"/>
      <c r="F492" s="127"/>
      <c r="G492" s="128"/>
      <c r="H492" s="584">
        <f t="shared" si="227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8"/>
        <v>0</v>
      </c>
      <c r="N492" s="130">
        <f t="shared" si="229"/>
        <v>0</v>
      </c>
      <c r="O492" s="592"/>
      <c r="P492" s="592"/>
      <c r="Q492" s="592"/>
      <c r="R492" s="592"/>
      <c r="S492" s="592"/>
      <c r="T492" s="592"/>
      <c r="U492" s="592"/>
      <c r="V492" s="132">
        <f t="shared" si="230"/>
        <v>0</v>
      </c>
      <c r="W492" s="133" t="str">
        <f t="shared" si="226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590"/>
      <c r="D493" s="108">
        <v>7.8</v>
      </c>
      <c r="E493" s="108"/>
      <c r="F493" s="127"/>
      <c r="G493" s="128"/>
      <c r="H493" s="584">
        <f t="shared" si="227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8"/>
        <v>0</v>
      </c>
      <c r="N493" s="130">
        <f t="shared" si="229"/>
        <v>0</v>
      </c>
      <c r="O493" s="592"/>
      <c r="P493" s="592"/>
      <c r="Q493" s="592"/>
      <c r="R493" s="592"/>
      <c r="S493" s="592"/>
      <c r="T493" s="592"/>
      <c r="U493" s="592"/>
      <c r="V493" s="132">
        <f t="shared" si="230"/>
        <v>0</v>
      </c>
      <c r="W493" s="133" t="str">
        <f t="shared" si="226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590"/>
      <c r="D494" s="108">
        <v>4.4000000000000004</v>
      </c>
      <c r="E494" s="108"/>
      <c r="F494" s="127"/>
      <c r="G494" s="128"/>
      <c r="H494" s="584">
        <f t="shared" si="227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8"/>
        <v>0</v>
      </c>
      <c r="N494" s="130">
        <f t="shared" si="229"/>
        <v>0</v>
      </c>
      <c r="O494" s="592"/>
      <c r="P494" s="592"/>
      <c r="Q494" s="592"/>
      <c r="R494" s="592"/>
      <c r="S494" s="592"/>
      <c r="T494" s="592"/>
      <c r="U494" s="592"/>
      <c r="V494" s="132">
        <f t="shared" si="230"/>
        <v>0</v>
      </c>
      <c r="W494" s="133" t="str">
        <f t="shared" si="226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584">
        <f t="shared" si="227"/>
        <v>0</v>
      </c>
      <c r="I495" s="129"/>
      <c r="J495" s="130"/>
      <c r="K495" s="131"/>
      <c r="L495" s="129"/>
      <c r="M495" s="109"/>
      <c r="N495" s="130"/>
      <c r="O495" s="592"/>
      <c r="P495" s="592"/>
      <c r="Q495" s="592"/>
      <c r="R495" s="592"/>
      <c r="S495" s="592"/>
      <c r="T495" s="592"/>
      <c r="U495" s="59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590"/>
      <c r="D496" s="108"/>
      <c r="E496" s="108"/>
      <c r="F496" s="127"/>
      <c r="G496" s="128"/>
      <c r="H496" s="584">
        <f t="shared" si="227"/>
        <v>0</v>
      </c>
      <c r="I496" s="129"/>
      <c r="J496" s="130"/>
      <c r="K496" s="131"/>
      <c r="L496" s="129">
        <v>6</v>
      </c>
      <c r="M496" s="109"/>
      <c r="N496" s="130"/>
      <c r="O496" s="592"/>
      <c r="P496" s="592"/>
      <c r="Q496" s="592"/>
      <c r="R496" s="592"/>
      <c r="S496" s="592"/>
      <c r="T496" s="592"/>
      <c r="U496" s="59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590" t="s">
        <v>239</v>
      </c>
      <c r="C497" s="590" t="s">
        <v>179</v>
      </c>
      <c r="D497" s="108">
        <v>6.04</v>
      </c>
      <c r="E497" s="108"/>
      <c r="F497" s="127"/>
      <c r="G497" s="128"/>
      <c r="H497" s="584">
        <f t="shared" si="227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31">IF(ISERROR(I497-K497),"",I497-K497)</f>
        <v>0</v>
      </c>
      <c r="N497" s="130">
        <f t="shared" ref="N497:N501" si="232">SUM(O497:U497)</f>
        <v>0</v>
      </c>
      <c r="O497" s="592"/>
      <c r="P497" s="592"/>
      <c r="Q497" s="592"/>
      <c r="R497" s="592"/>
      <c r="S497" s="592"/>
      <c r="T497" s="592"/>
      <c r="U497" s="592"/>
      <c r="V497" s="132">
        <f t="shared" ref="V497:V501" si="233">SUM(X497:AA497)</f>
        <v>0</v>
      </c>
      <c r="W497" s="133" t="str">
        <f t="shared" ref="W497:W501" si="234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590" t="s">
        <v>239</v>
      </c>
      <c r="C498" s="590" t="s">
        <v>186</v>
      </c>
      <c r="D498" s="108">
        <v>6.04</v>
      </c>
      <c r="E498" s="108"/>
      <c r="F498" s="127"/>
      <c r="G498" s="128"/>
      <c r="H498" s="584">
        <f t="shared" si="227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31"/>
        <v>0</v>
      </c>
      <c r="N498" s="130">
        <f t="shared" si="232"/>
        <v>0</v>
      </c>
      <c r="O498" s="592"/>
      <c r="P498" s="592"/>
      <c r="Q498" s="592"/>
      <c r="R498" s="592"/>
      <c r="S498" s="592"/>
      <c r="T498" s="592"/>
      <c r="U498" s="592"/>
      <c r="V498" s="132">
        <f t="shared" si="233"/>
        <v>0</v>
      </c>
      <c r="W498" s="133" t="str">
        <f t="shared" si="234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590" t="s">
        <v>443</v>
      </c>
      <c r="C499" s="590" t="s">
        <v>179</v>
      </c>
      <c r="D499" s="108"/>
      <c r="E499" s="108"/>
      <c r="F499" s="127"/>
      <c r="G499" s="128"/>
      <c r="H499" s="584">
        <f t="shared" si="227"/>
        <v>0</v>
      </c>
      <c r="I499" s="129"/>
      <c r="J499" s="130"/>
      <c r="K499" s="131"/>
      <c r="L499" s="129"/>
      <c r="M499" s="109"/>
      <c r="N499" s="130"/>
      <c r="O499" s="592"/>
      <c r="P499" s="592"/>
      <c r="Q499" s="592"/>
      <c r="R499" s="592"/>
      <c r="S499" s="592"/>
      <c r="T499" s="592"/>
      <c r="U499" s="59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590" t="s">
        <v>443</v>
      </c>
      <c r="C500" s="590" t="s">
        <v>186</v>
      </c>
      <c r="D500" s="108"/>
      <c r="E500" s="108"/>
      <c r="F500" s="127"/>
      <c r="G500" s="128"/>
      <c r="H500" s="584">
        <f t="shared" si="227"/>
        <v>0</v>
      </c>
      <c r="I500" s="129"/>
      <c r="J500" s="130"/>
      <c r="K500" s="131"/>
      <c r="L500" s="129"/>
      <c r="M500" s="109"/>
      <c r="N500" s="130"/>
      <c r="O500" s="592"/>
      <c r="P500" s="592"/>
      <c r="Q500" s="592"/>
      <c r="R500" s="592"/>
      <c r="S500" s="592"/>
      <c r="T500" s="592"/>
      <c r="U500" s="59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583" t="s">
        <v>240</v>
      </c>
      <c r="C501" s="126"/>
      <c r="D501" s="108">
        <v>7.3</v>
      </c>
      <c r="E501" s="108"/>
      <c r="F501" s="127"/>
      <c r="G501" s="128"/>
      <c r="H501" s="584">
        <f t="shared" si="227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:M505" si="235">IF(ISERROR(I501-K501),"",I501-K501)</f>
        <v>0</v>
      </c>
      <c r="N501" s="130">
        <f t="shared" ref="N501:N505" si="236">SUM(O501:U501)</f>
        <v>0</v>
      </c>
      <c r="O501" s="592"/>
      <c r="P501" s="592"/>
      <c r="Q501" s="592"/>
      <c r="R501" s="592"/>
      <c r="S501" s="592"/>
      <c r="T501" s="592"/>
      <c r="U501" s="592"/>
      <c r="V501" s="132">
        <f t="shared" ref="V501:V505" si="237">SUM(X501:AA501)</f>
        <v>0</v>
      </c>
      <c r="W501" s="133" t="str">
        <f t="shared" ref="W501:W505" si="238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583" t="s">
        <v>241</v>
      </c>
      <c r="C502" s="126"/>
      <c r="D502" s="108">
        <f>78*120/1000</f>
        <v>9.36</v>
      </c>
      <c r="E502" s="108"/>
      <c r="F502" s="127"/>
      <c r="G502" s="128"/>
      <c r="H502" s="584">
        <f t="shared" si="227"/>
        <v>0</v>
      </c>
      <c r="I502" s="129"/>
      <c r="J502" s="130"/>
      <c r="K502" s="131"/>
      <c r="L502" s="129"/>
      <c r="M502" s="109"/>
      <c r="N502" s="130"/>
      <c r="O502" s="592"/>
      <c r="P502" s="592"/>
      <c r="Q502" s="592"/>
      <c r="R502" s="592"/>
      <c r="S502" s="592"/>
      <c r="T502" s="592"/>
      <c r="U502" s="59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583" t="s">
        <v>242</v>
      </c>
      <c r="C503" s="126"/>
      <c r="D503" s="108">
        <v>4.5</v>
      </c>
      <c r="E503" s="108"/>
      <c r="F503" s="127"/>
      <c r="G503" s="128"/>
      <c r="H503" s="584">
        <f t="shared" si="227"/>
        <v>0</v>
      </c>
      <c r="I503" s="129"/>
      <c r="J503" s="130"/>
      <c r="K503" s="131"/>
      <c r="L503" s="129"/>
      <c r="M503" s="109"/>
      <c r="N503" s="130"/>
      <c r="O503" s="592"/>
      <c r="P503" s="592"/>
      <c r="Q503" s="592"/>
      <c r="R503" s="592"/>
      <c r="S503" s="592"/>
      <c r="T503" s="592"/>
      <c r="U503" s="59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583" t="s">
        <v>243</v>
      </c>
      <c r="C504" s="126"/>
      <c r="D504" s="108">
        <v>4.5</v>
      </c>
      <c r="E504" s="108"/>
      <c r="F504" s="127"/>
      <c r="G504" s="128"/>
      <c r="H504" s="584">
        <f t="shared" si="227"/>
        <v>0</v>
      </c>
      <c r="I504" s="129"/>
      <c r="J504" s="130"/>
      <c r="K504" s="131"/>
      <c r="L504" s="129"/>
      <c r="M504" s="109"/>
      <c r="N504" s="130"/>
      <c r="O504" s="592"/>
      <c r="P504" s="592"/>
      <c r="Q504" s="592"/>
      <c r="R504" s="592"/>
      <c r="S504" s="592"/>
      <c r="T504" s="592"/>
      <c r="U504" s="59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583"/>
      <c r="C505" s="126"/>
      <c r="D505" s="108"/>
      <c r="E505" s="108"/>
      <c r="F505" s="127"/>
      <c r="G505" s="128"/>
      <c r="H505" s="584">
        <f t="shared" si="227"/>
        <v>0</v>
      </c>
      <c r="I505" s="129"/>
      <c r="J505" s="130"/>
      <c r="K505" s="131"/>
      <c r="L505" s="129"/>
      <c r="M505" s="109"/>
      <c r="N505" s="130"/>
      <c r="O505" s="592"/>
      <c r="P505" s="592"/>
      <c r="Q505" s="592"/>
      <c r="R505" s="592"/>
      <c r="S505" s="592"/>
      <c r="T505" s="592"/>
      <c r="U505" s="59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59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9">SUM(M491:M501)</f>
        <v>0</v>
      </c>
      <c r="N506" s="146">
        <f t="shared" si="239"/>
        <v>0</v>
      </c>
      <c r="O506" s="148">
        <f t="shared" si="239"/>
        <v>0</v>
      </c>
      <c r="P506" s="148">
        <f t="shared" si="239"/>
        <v>0</v>
      </c>
      <c r="Q506" s="148">
        <f t="shared" si="239"/>
        <v>0</v>
      </c>
      <c r="R506" s="148">
        <f t="shared" si="239"/>
        <v>0</v>
      </c>
      <c r="S506" s="148">
        <f t="shared" si="239"/>
        <v>0</v>
      </c>
      <c r="T506" s="148">
        <f t="shared" si="239"/>
        <v>0</v>
      </c>
      <c r="U506" s="148">
        <f t="shared" si="239"/>
        <v>0</v>
      </c>
      <c r="V506" s="149">
        <f t="shared" si="239"/>
        <v>0</v>
      </c>
      <c r="W506" s="133">
        <f t="shared" si="239"/>
        <v>0</v>
      </c>
      <c r="X506" s="149">
        <f t="shared" si="239"/>
        <v>0</v>
      </c>
      <c r="Y506" s="149">
        <f t="shared" si="239"/>
        <v>0</v>
      </c>
      <c r="Z506" s="149">
        <f t="shared" si="239"/>
        <v>0</v>
      </c>
      <c r="AA506" s="149">
        <f t="shared" si="239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1059</v>
      </c>
      <c r="H507" s="154">
        <f>SUM(H370,H428,H463,H479,H490,H506)</f>
        <v>5338.0199999999995</v>
      </c>
      <c r="I507" s="154">
        <f>SUM(I370,I428,I463,I479,I490,I506)</f>
        <v>71</v>
      </c>
      <c r="J507" s="155">
        <f t="array" ref="J507">IF(ISERROR(G507/I507),"",G507/I507)</f>
        <v>14.915492957746478</v>
      </c>
      <c r="K507" s="154">
        <f>SUM(K370,K428,K463,K479,K490,K506)</f>
        <v>97.741935483870975</v>
      </c>
      <c r="L507" s="155">
        <f>IF(ISERROR(G507/K507),"",G507/K507)</f>
        <v>10.834653465346534</v>
      </c>
      <c r="M507" s="154">
        <f t="shared" ref="M507:V507" si="240">SUM(M370,M428,M463,M479,M490,M506)</f>
        <v>-26.741935483870964</v>
      </c>
      <c r="N507" s="154">
        <f t="shared" si="240"/>
        <v>0</v>
      </c>
      <c r="O507" s="154">
        <f t="shared" si="240"/>
        <v>0</v>
      </c>
      <c r="P507" s="154">
        <f t="shared" si="240"/>
        <v>0</v>
      </c>
      <c r="Q507" s="154">
        <f t="shared" si="240"/>
        <v>0</v>
      </c>
      <c r="R507" s="154">
        <f t="shared" si="240"/>
        <v>0</v>
      </c>
      <c r="S507" s="154">
        <f t="shared" si="240"/>
        <v>0</v>
      </c>
      <c r="T507" s="154">
        <f t="shared" si="240"/>
        <v>0</v>
      </c>
      <c r="U507" s="154">
        <f t="shared" si="240"/>
        <v>0</v>
      </c>
      <c r="V507" s="154">
        <f t="shared" si="240"/>
        <v>0</v>
      </c>
      <c r="W507" s="156">
        <f t="shared" ref="W507" si="241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586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586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586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586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586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586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586">
        <f>G507</f>
        <v>1059</v>
      </c>
      <c r="C514" s="638" t="s">
        <v>269</v>
      </c>
      <c r="D514" s="639"/>
      <c r="E514" s="631">
        <f>H507</f>
        <v>5338.0199999999995</v>
      </c>
      <c r="F514" s="631"/>
      <c r="G514" s="631" t="s">
        <v>270</v>
      </c>
      <c r="H514" s="631"/>
      <c r="I514" s="640">
        <f>L507</f>
        <v>10.834653465346534</v>
      </c>
      <c r="J514" s="640"/>
      <c r="K514" s="628" t="s">
        <v>271</v>
      </c>
      <c r="L514" s="628"/>
      <c r="M514" s="640">
        <f>J507</f>
        <v>14.915492957746478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586">
        <f>I507+C513</f>
        <v>72</v>
      </c>
      <c r="C515" s="641" t="s">
        <v>251</v>
      </c>
      <c r="D515" s="642"/>
      <c r="E515" s="643">
        <f>K507+I513</f>
        <v>108.74193548387098</v>
      </c>
      <c r="F515" s="643"/>
      <c r="G515" s="631" t="s">
        <v>274</v>
      </c>
      <c r="H515" s="631"/>
      <c r="I515" s="640">
        <f>B515-E515</f>
        <v>-36.741935483870975</v>
      </c>
      <c r="J515" s="640"/>
      <c r="K515" s="628" t="s">
        <v>275</v>
      </c>
      <c r="L515" s="628"/>
      <c r="M515" s="632">
        <f>IF(ISERROR(I515/E515),"",I515/E515)</f>
        <v>-0.33788193414417089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586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58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10835</v>
      </c>
      <c r="D519" s="627"/>
      <c r="E519" s="673" t="s">
        <v>269</v>
      </c>
      <c r="F519" s="673"/>
      <c r="G519" s="643">
        <f>SUM(E171,E342,E514)</f>
        <v>54839.849999999991</v>
      </c>
      <c r="H519" s="643"/>
      <c r="I519" s="631" t="s">
        <v>270</v>
      </c>
      <c r="J519" s="673"/>
      <c r="K519" s="626">
        <f>IF(ISERROR(C519/G520),"",C519/G520)</f>
        <v>14.482820461228002</v>
      </c>
      <c r="L519" s="627"/>
      <c r="M519" s="631" t="s">
        <v>271</v>
      </c>
      <c r="N519" s="631"/>
      <c r="O519" s="668">
        <f t="array" ref="O519">IF(ISERROR(C519/C520),"",C519/C520)</f>
        <v>16.268035974355509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666.03</v>
      </c>
      <c r="D520" s="627"/>
      <c r="E520" s="631" t="s">
        <v>251</v>
      </c>
      <c r="F520" s="631"/>
      <c r="G520" s="643">
        <f>SUM(E172,E343,E515)</f>
        <v>748.12775791886725</v>
      </c>
      <c r="H520" s="643"/>
      <c r="I520" s="641" t="s">
        <v>274</v>
      </c>
      <c r="J520" s="642"/>
      <c r="K520" s="638">
        <f>C520-G520</f>
        <v>-82.097757918867273</v>
      </c>
      <c r="L520" s="639"/>
      <c r="M520" s="638" t="s">
        <v>275</v>
      </c>
      <c r="N520" s="639"/>
      <c r="O520" s="671">
        <f>IF(ISERROR(K520/C520),"",K520/C520)</f>
        <v>-0.12326435433669246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58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2362</v>
      </c>
      <c r="D524" s="642"/>
      <c r="E524" s="681">
        <f>IF(ISERROR(C524/C530),"",C524/C530)</f>
        <v>0.21799723119520073</v>
      </c>
      <c r="F524" s="682"/>
      <c r="G524" s="676"/>
      <c r="H524" s="677"/>
      <c r="I524" s="683" t="s">
        <v>301</v>
      </c>
      <c r="J524" s="684"/>
      <c r="K524" s="638">
        <f t="shared" ref="K524:K529" si="242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43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2931</v>
      </c>
      <c r="D525" s="642"/>
      <c r="E525" s="681">
        <f>IF(ISERROR(C525/C530),"",C525/C530)</f>
        <v>0.27051222888786342</v>
      </c>
      <c r="F525" s="682"/>
      <c r="G525" s="676"/>
      <c r="H525" s="677"/>
      <c r="I525" s="683" t="s">
        <v>302</v>
      </c>
      <c r="J525" s="684"/>
      <c r="K525" s="638">
        <f t="shared" si="242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43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1825</v>
      </c>
      <c r="D526" s="642"/>
      <c r="E526" s="681">
        <f>IF(ISERROR(C526/C530),"",C526/C530)</f>
        <v>0.16843562528841716</v>
      </c>
      <c r="F526" s="682"/>
      <c r="G526" s="676"/>
      <c r="H526" s="677"/>
      <c r="I526" s="683" t="s">
        <v>303</v>
      </c>
      <c r="J526" s="684"/>
      <c r="K526" s="638">
        <f t="shared" si="242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43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2333</v>
      </c>
      <c r="D527" s="642"/>
      <c r="E527" s="681">
        <f>IF(ISERROR(C527/C530),"",C527/C530)</f>
        <v>0.21532071988924781</v>
      </c>
      <c r="F527" s="682"/>
      <c r="G527" s="676"/>
      <c r="H527" s="677"/>
      <c r="I527" s="683" t="s">
        <v>304</v>
      </c>
      <c r="J527" s="684"/>
      <c r="K527" s="638">
        <f t="shared" si="242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43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1170</v>
      </c>
      <c r="D528" s="642"/>
      <c r="E528" s="681">
        <f>IF(ISERROR(C528/C530),"",C528/C530)</f>
        <v>0.10798338717120443</v>
      </c>
      <c r="F528" s="682"/>
      <c r="G528" s="676"/>
      <c r="H528" s="677"/>
      <c r="I528" s="683" t="s">
        <v>306</v>
      </c>
      <c r="J528" s="684"/>
      <c r="K528" s="638">
        <f t="shared" si="242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43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214</v>
      </c>
      <c r="D529" s="642"/>
      <c r="E529" s="681">
        <f>IF(ISERROR(C529/C530),"",C529/C530)</f>
        <v>1.975080756806645E-2</v>
      </c>
      <c r="F529" s="682"/>
      <c r="G529" s="676"/>
      <c r="H529" s="677"/>
      <c r="I529" s="683" t="s">
        <v>307</v>
      </c>
      <c r="J529" s="684"/>
      <c r="K529" s="638">
        <f t="shared" si="242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43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10835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590" t="s">
        <v>309</v>
      </c>
      <c r="D532" s="590" t="s">
        <v>310</v>
      </c>
      <c r="E532" s="590" t="s">
        <v>311</v>
      </c>
      <c r="F532" s="59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59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584" t="s">
        <v>322</v>
      </c>
      <c r="Q532" s="129" t="s">
        <v>323</v>
      </c>
      <c r="R532" s="109" t="s">
        <v>324</v>
      </c>
      <c r="S532" s="590" t="s">
        <v>325</v>
      </c>
      <c r="T532" s="59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+'15'!C533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>
        <v>1</v>
      </c>
      <c r="L533" s="106"/>
      <c r="M533" s="106"/>
      <c r="N533" s="106"/>
      <c r="O533" s="106"/>
      <c r="P533" s="108"/>
      <c r="Q533" s="106">
        <f>J533-K533-L533</f>
        <v>45</v>
      </c>
      <c r="R533" s="109">
        <f>Q533*11-M533-N533</f>
        <v>495</v>
      </c>
      <c r="S533" s="591">
        <f t="array" ref="S533">IF(ISERROR(Q533/J533),"",Q533/J533)</f>
        <v>0.97826086956521741</v>
      </c>
      <c r="T533" s="5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38</v>
      </c>
      <c r="D534" s="106">
        <f>+'15'!C534</f>
        <v>38</v>
      </c>
      <c r="E534" s="110"/>
      <c r="F534" s="110"/>
      <c r="G534" s="107"/>
      <c r="H534" s="106"/>
      <c r="I534" s="106"/>
      <c r="J534" s="106">
        <f>C534-H534-I534</f>
        <v>38</v>
      </c>
      <c r="K534" s="106">
        <v>1</v>
      </c>
      <c r="L534" s="106"/>
      <c r="M534" s="106"/>
      <c r="N534" s="106"/>
      <c r="O534" s="110"/>
      <c r="P534" s="111"/>
      <c r="Q534" s="106">
        <f>J534-K534-L534</f>
        <v>37</v>
      </c>
      <c r="R534" s="109">
        <f>Q534*11-M534-N534</f>
        <v>407</v>
      </c>
      <c r="S534" s="591">
        <f t="array" ref="S534">IF(ISERROR(Q534/J534),"",Q534/J534)</f>
        <v>0.97368421052631582</v>
      </c>
      <c r="T534" s="59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+'15'!C535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591">
        <f t="array" ref="S535">IF(ISERROR(Q535/J535),"",Q535/J535)</f>
        <v>1</v>
      </c>
      <c r="T535" s="5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94</v>
      </c>
      <c r="D536" s="112">
        <f t="shared" ref="D536:N536" si="244">SUM(D533:D535)</f>
        <v>94</v>
      </c>
      <c r="E536" s="112">
        <f t="shared" si="244"/>
        <v>0</v>
      </c>
      <c r="F536" s="112">
        <f t="shared" si="244"/>
        <v>0</v>
      </c>
      <c r="G536" s="113">
        <f t="shared" si="244"/>
        <v>0</v>
      </c>
      <c r="H536" s="112">
        <f t="shared" si="244"/>
        <v>0</v>
      </c>
      <c r="I536" s="112">
        <f t="shared" si="244"/>
        <v>0</v>
      </c>
      <c r="J536" s="112">
        <f t="shared" si="244"/>
        <v>94</v>
      </c>
      <c r="K536" s="112">
        <f t="shared" si="244"/>
        <v>2</v>
      </c>
      <c r="L536" s="112">
        <f t="shared" si="244"/>
        <v>0</v>
      </c>
      <c r="M536" s="112">
        <f t="shared" si="244"/>
        <v>0</v>
      </c>
      <c r="N536" s="112">
        <f t="shared" si="244"/>
        <v>0</v>
      </c>
      <c r="O536" s="112">
        <f>SUM(O533:O535)</f>
        <v>0</v>
      </c>
      <c r="P536" s="112">
        <f>SUM(P533:P535)</f>
        <v>0</v>
      </c>
      <c r="Q536" s="112">
        <f>SUM(Q533:Q535)</f>
        <v>92</v>
      </c>
      <c r="R536" s="114">
        <f>SUM(R533:R535)</f>
        <v>1012</v>
      </c>
      <c r="S536" s="115">
        <f t="array" ref="S536">IF(ISERROR(Q536/J536),"",Q536/J536)</f>
        <v>0.97872340425531912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7:R527"/>
    <mergeCell ref="S527:T527"/>
    <mergeCell ref="A528:B528"/>
    <mergeCell ref="C528:D528"/>
    <mergeCell ref="E528:F528"/>
    <mergeCell ref="I528:J528"/>
    <mergeCell ref="K528:L528"/>
    <mergeCell ref="M528:N528"/>
    <mergeCell ref="O528:P528"/>
    <mergeCell ref="Q528:R528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T509:U509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R509:S509"/>
    <mergeCell ref="P510:Q510"/>
    <mergeCell ref="R510:S510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T337:U337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R337:S337"/>
    <mergeCell ref="P338:Q338"/>
    <mergeCell ref="R338:S338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R170:S170"/>
    <mergeCell ref="T170:U170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R167:S167"/>
    <mergeCell ref="T167:U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274" activePane="bottomRight" state="frozen"/>
      <selection activeCell="E487" sqref="E487"/>
      <selection pane="topRight" activeCell="E487" sqref="E487"/>
      <selection pane="bottomLeft" activeCell="E487" sqref="E487"/>
      <selection pane="bottomRight" activeCell="I51" sqref="I51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105" t="s">
        <v>50</v>
      </c>
      <c r="H6" s="216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2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7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7" si="60">IF(ISERROR(I138-K138),"",I138-K138)</f>
        <v>0</v>
      </c>
      <c r="N138" s="130">
        <f t="shared" ref="N138:N147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7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/>
      <c r="G144" s="128"/>
      <c r="H144" s="373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72"/>
      <c r="P144" s="372"/>
      <c r="Q144" s="372"/>
      <c r="R144" s="372"/>
      <c r="S144" s="372"/>
      <c r="T144" s="372"/>
      <c r="U144" s="372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377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76"/>
      <c r="P145" s="376"/>
      <c r="Q145" s="376"/>
      <c r="R145" s="376"/>
      <c r="S145" s="376"/>
      <c r="T145" s="376"/>
      <c r="U145" s="37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9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226">
        <f t="shared" si="59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si="60"/>
        <v>0</v>
      </c>
      <c r="N147" s="130">
        <f t="shared" si="61"/>
        <v>0</v>
      </c>
      <c r="O147" s="219"/>
      <c r="P147" s="219"/>
      <c r="Q147" s="219"/>
      <c r="R147" s="219"/>
      <c r="S147" s="219"/>
      <c r="T147" s="219"/>
      <c r="U147" s="219"/>
      <c r="V147" s="132">
        <f t="shared" si="62"/>
        <v>0</v>
      </c>
      <c r="W147" s="133" t="str">
        <f t="shared" si="58"/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224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58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customHeight="1">
      <c r="A149" s="299">
        <v>30700013</v>
      </c>
      <c r="B149" s="298" t="s">
        <v>103</v>
      </c>
      <c r="C149" s="217"/>
      <c r="D149" s="108">
        <v>3.65</v>
      </c>
      <c r="E149" s="108"/>
      <c r="F149" s="153"/>
      <c r="G149" s="128"/>
      <c r="H149" s="226">
        <f t="shared" ref="H149:H162" si="63">D149*G149</f>
        <v>0</v>
      </c>
      <c r="I149" s="129"/>
      <c r="J149" s="130" t="str">
        <f t="array" ref="J149">IF(ISERROR(G149/I149),"",G149/I149)</f>
        <v/>
      </c>
      <c r="K149" s="22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219"/>
      <c r="P149" s="219"/>
      <c r="Q149" s="219"/>
      <c r="R149" s="219"/>
      <c r="S149" s="219"/>
      <c r="T149" s="219"/>
      <c r="U149" s="219"/>
      <c r="V149" s="132">
        <f t="shared" ref="V149:V152" si="66">SUM(X149:AA149)</f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217"/>
      <c r="D150" s="108">
        <v>6.58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217"/>
      <c r="D151" s="108">
        <v>7.8</v>
      </c>
      <c r="E151" s="108"/>
      <c r="F151" s="127"/>
      <c r="G151" s="128"/>
      <c r="H151" s="22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217"/>
      <c r="D152" s="108">
        <v>4.4000000000000004</v>
      </c>
      <c r="E152" s="108"/>
      <c r="F152" s="127"/>
      <c r="G152" s="128"/>
      <c r="H152" s="292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219"/>
      <c r="P152" s="219"/>
      <c r="Q152" s="219"/>
      <c r="R152" s="219"/>
      <c r="S152" s="219"/>
      <c r="T152" s="219"/>
      <c r="U152" s="219"/>
      <c r="V152" s="132">
        <f t="shared" si="66"/>
        <v>0</v>
      </c>
      <c r="W152" s="133" t="str">
        <f t="shared" si="58"/>
        <v/>
      </c>
      <c r="X152" s="132"/>
      <c r="Y152" s="132"/>
      <c r="Z152" s="132"/>
      <c r="AA152" s="132"/>
    </row>
    <row r="153" spans="1:27" ht="20.10000000000000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292">
        <f t="shared" si="63"/>
        <v>0</v>
      </c>
      <c r="I153" s="129"/>
      <c r="J153" s="130"/>
      <c r="K153" s="131"/>
      <c r="L153" s="129">
        <v>6</v>
      </c>
      <c r="M153" s="109"/>
      <c r="N153" s="130"/>
      <c r="O153" s="219"/>
      <c r="P153" s="219"/>
      <c r="Q153" s="219"/>
      <c r="R153" s="219"/>
      <c r="S153" s="219"/>
      <c r="T153" s="219"/>
      <c r="U153" s="219"/>
      <c r="V153" s="132"/>
      <c r="W153" s="133"/>
      <c r="X153" s="132"/>
      <c r="Y153" s="132"/>
      <c r="Z153" s="132"/>
      <c r="AA153" s="132"/>
    </row>
    <row r="154" spans="1:27" ht="20.100000000000001" customHeight="1">
      <c r="A154" s="305"/>
      <c r="B154" s="217" t="s">
        <v>499</v>
      </c>
      <c r="C154" s="217" t="s">
        <v>179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219"/>
      <c r="P154" s="219"/>
      <c r="Q154" s="219"/>
      <c r="R154" s="219"/>
      <c r="S154" s="219"/>
      <c r="T154" s="219"/>
      <c r="U154" s="21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customHeight="1">
      <c r="A155" s="305">
        <v>30700019</v>
      </c>
      <c r="B155" s="217" t="s">
        <v>239</v>
      </c>
      <c r="C155" s="217" t="s">
        <v>186</v>
      </c>
      <c r="D155" s="108">
        <v>6.04</v>
      </c>
      <c r="E155" s="108"/>
      <c r="F155" s="127"/>
      <c r="G155" s="128"/>
      <c r="H155" s="292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219"/>
      <c r="P155" s="219"/>
      <c r="Q155" s="219"/>
      <c r="R155" s="219"/>
      <c r="S155" s="219"/>
      <c r="T155" s="219"/>
      <c r="U155" s="21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customHeight="1">
      <c r="A156" s="305">
        <v>30601015</v>
      </c>
      <c r="B156" s="277" t="s">
        <v>444</v>
      </c>
      <c r="C156" s="277" t="s">
        <v>179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/>
      <c r="M156" s="109"/>
      <c r="N156" s="130"/>
      <c r="O156" s="278"/>
      <c r="P156" s="278"/>
      <c r="Q156" s="278"/>
      <c r="R156" s="278"/>
      <c r="S156" s="278"/>
      <c r="T156" s="278"/>
      <c r="U156" s="278"/>
      <c r="V156" s="132"/>
      <c r="W156" s="133"/>
      <c r="X156" s="132"/>
      <c r="Y156" s="132"/>
      <c r="Z156" s="132"/>
      <c r="AA156" s="132"/>
    </row>
    <row r="157" spans="1:27" ht="20.100000000000001" customHeight="1">
      <c r="A157" s="305">
        <v>30101016</v>
      </c>
      <c r="B157" s="284" t="s">
        <v>443</v>
      </c>
      <c r="C157" s="284" t="s">
        <v>446</v>
      </c>
      <c r="D157" s="108">
        <v>6</v>
      </c>
      <c r="E157" s="108"/>
      <c r="F157" s="127"/>
      <c r="G157" s="128"/>
      <c r="H157" s="292">
        <f t="shared" si="63"/>
        <v>0</v>
      </c>
      <c r="I157" s="129"/>
      <c r="J157" s="130"/>
      <c r="K157" s="131"/>
      <c r="L157" s="129">
        <v>6</v>
      </c>
      <c r="M157" s="109"/>
      <c r="N157" s="130"/>
      <c r="O157" s="285"/>
      <c r="P157" s="285"/>
      <c r="Q157" s="285"/>
      <c r="R157" s="285"/>
      <c r="S157" s="285"/>
      <c r="T157" s="285"/>
      <c r="U157" s="285"/>
      <c r="V157" s="132"/>
      <c r="W157" s="133"/>
      <c r="X157" s="132"/>
      <c r="Y157" s="132"/>
      <c r="Z157" s="132"/>
      <c r="AA157" s="132"/>
    </row>
    <row r="158" spans="1:27" ht="20.100000000000001" customHeight="1">
      <c r="A158" s="299">
        <v>30700018</v>
      </c>
      <c r="B158" s="218" t="s">
        <v>240</v>
      </c>
      <c r="C158" s="126"/>
      <c r="D158" s="108">
        <v>7.3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219"/>
      <c r="P158" s="219"/>
      <c r="Q158" s="219"/>
      <c r="R158" s="219"/>
      <c r="S158" s="219"/>
      <c r="T158" s="219"/>
      <c r="U158" s="21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customHeight="1">
      <c r="A159" s="299">
        <v>30700010</v>
      </c>
      <c r="B159" s="218" t="s">
        <v>241</v>
      </c>
      <c r="C159" s="126"/>
      <c r="D159" s="108">
        <f>78*120/1000</f>
        <v>9.36</v>
      </c>
      <c r="E159" s="108"/>
      <c r="F159" s="127"/>
      <c r="G159" s="128"/>
      <c r="H159" s="292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219"/>
      <c r="P159" s="219"/>
      <c r="Q159" s="219"/>
      <c r="R159" s="219"/>
      <c r="S159" s="219"/>
      <c r="T159" s="219"/>
      <c r="U159" s="21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customHeight="1">
      <c r="A160" s="299">
        <v>30700015</v>
      </c>
      <c r="B160" s="218" t="s">
        <v>242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299">
        <v>30700012</v>
      </c>
      <c r="B161" s="218" t="s">
        <v>243</v>
      </c>
      <c r="C161" s="126"/>
      <c r="D161" s="108">
        <v>4.5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19"/>
      <c r="P161" s="219"/>
      <c r="Q161" s="219"/>
      <c r="R161" s="219"/>
      <c r="S161" s="219"/>
      <c r="T161" s="219"/>
      <c r="U161" s="219"/>
      <c r="V161" s="132"/>
      <c r="W161" s="133"/>
      <c r="X161" s="132"/>
      <c r="Y161" s="132"/>
      <c r="Z161" s="132"/>
      <c r="AA161" s="132"/>
    </row>
    <row r="162" spans="1:27" ht="20.10000000000000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292">
        <f t="shared" si="63"/>
        <v>0</v>
      </c>
      <c r="I162" s="129"/>
      <c r="J162" s="130"/>
      <c r="K162" s="131"/>
      <c r="L162" s="129"/>
      <c r="M162" s="109"/>
      <c r="N162" s="130"/>
      <c r="O162" s="253"/>
      <c r="P162" s="253"/>
      <c r="Q162" s="253"/>
      <c r="R162" s="253"/>
      <c r="S162" s="253"/>
      <c r="T162" s="253"/>
      <c r="U162" s="253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224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0</v>
      </c>
      <c r="H164" s="154">
        <f>SUM(H28,H86,H121,H137,H148,H163)</f>
        <v>0</v>
      </c>
      <c r="I164" s="154">
        <f>SUM(I28,I86,I121,I137,I148,I163)</f>
        <v>0</v>
      </c>
      <c r="J164" s="155" t="str">
        <f t="array" ref="J164">IF(ISERROR(G164/I164),"",G164/I164)</f>
        <v/>
      </c>
      <c r="K164" s="154">
        <f>SUM(K28,K86,K121,K137,K148,K163)</f>
        <v>0</v>
      </c>
      <c r="L164" s="155" t="str">
        <f>IF(ISERROR(G164/K164),"",G164/K164)</f>
        <v/>
      </c>
      <c r="M164" s="154">
        <f t="shared" ref="M164:AA164" si="76">SUM(M28,M86,M121,M137,M148,M163)</f>
        <v>0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222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222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222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222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222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222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222">
        <f>G164</f>
        <v>0</v>
      </c>
      <c r="C171" s="638" t="s">
        <v>269</v>
      </c>
      <c r="D171" s="639"/>
      <c r="E171" s="631">
        <f>H164</f>
        <v>0</v>
      </c>
      <c r="F171" s="631"/>
      <c r="G171" s="631" t="s">
        <v>270</v>
      </c>
      <c r="H171" s="631"/>
      <c r="I171" s="640" t="str">
        <f>L164</f>
        <v/>
      </c>
      <c r="J171" s="640"/>
      <c r="K171" s="628" t="s">
        <v>271</v>
      </c>
      <c r="L171" s="628"/>
      <c r="M171" s="640" t="str">
        <f>J164</f>
        <v/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222">
        <f>I164+C170</f>
        <v>4</v>
      </c>
      <c r="C172" s="641" t="s">
        <v>251</v>
      </c>
      <c r="D172" s="642"/>
      <c r="E172" s="643">
        <f>K164+I170</f>
        <v>41</v>
      </c>
      <c r="F172" s="643"/>
      <c r="G172" s="631" t="s">
        <v>274</v>
      </c>
      <c r="H172" s="631"/>
      <c r="I172" s="640">
        <f>B172-E172</f>
        <v>-37</v>
      </c>
      <c r="J172" s="640"/>
      <c r="K172" s="628" t="s">
        <v>275</v>
      </c>
      <c r="L172" s="628"/>
      <c r="M172" s="632">
        <f>IF(ISERROR(I172/E172),"",I172/E172)</f>
        <v>-0.90243902439024393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222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 t="str">
        <f t="array" ref="M173">IF(ISERROR(I173/B171),"",I173/B171)</f>
        <v/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157" t="s">
        <v>296</v>
      </c>
      <c r="H177" s="217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customHeight="1">
      <c r="A178" s="299">
        <v>30100030</v>
      </c>
      <c r="B178" s="218" t="s">
        <v>178</v>
      </c>
      <c r="C178" s="126" t="s">
        <v>179</v>
      </c>
      <c r="D178" s="108">
        <v>5.03</v>
      </c>
      <c r="E178" s="108"/>
      <c r="F178" s="127"/>
      <c r="G178" s="152"/>
      <c r="H178" s="22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22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226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22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226">
        <f t="shared" si="77"/>
        <v>0</v>
      </c>
      <c r="I187" s="226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219"/>
      <c r="P187" s="219"/>
      <c r="Q187" s="219"/>
      <c r="R187" s="219"/>
      <c r="S187" s="219"/>
      <c r="T187" s="219"/>
      <c r="U187" s="21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22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219"/>
      <c r="P189" s="219"/>
      <c r="Q189" s="219"/>
      <c r="R189" s="219"/>
      <c r="S189" s="219"/>
      <c r="T189" s="219"/>
      <c r="U189" s="21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226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219"/>
      <c r="P190" s="219"/>
      <c r="Q190" s="219"/>
      <c r="R190" s="219"/>
      <c r="S190" s="219"/>
      <c r="T190" s="219"/>
      <c r="U190" s="21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22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219"/>
      <c r="P192" s="219"/>
      <c r="Q192" s="219"/>
      <c r="R192" s="219"/>
      <c r="S192" s="219"/>
      <c r="T192" s="219"/>
      <c r="U192" s="21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customHeight="1">
      <c r="A193" s="300">
        <v>30100003</v>
      </c>
      <c r="B193" s="141" t="s">
        <v>198</v>
      </c>
      <c r="C193" s="217" t="s">
        <v>190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30100004</v>
      </c>
      <c r="B194" s="141" t="s">
        <v>198</v>
      </c>
      <c r="C194" s="217" t="s">
        <v>187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30100006</v>
      </c>
      <c r="B195" s="141" t="s">
        <v>198</v>
      </c>
      <c r="C195" s="217" t="s">
        <v>179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30100005</v>
      </c>
      <c r="B196" s="141" t="s">
        <v>198</v>
      </c>
      <c r="C196" s="217" t="s">
        <v>199</v>
      </c>
      <c r="D196" s="108">
        <v>4.8</v>
      </c>
      <c r="E196" s="108"/>
      <c r="F196" s="127"/>
      <c r="G196" s="128"/>
      <c r="H196" s="22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219"/>
      <c r="P196" s="219"/>
      <c r="Q196" s="219"/>
      <c r="R196" s="219"/>
      <c r="S196" s="219"/>
      <c r="T196" s="219"/>
      <c r="U196" s="21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219"/>
      <c r="P197" s="219"/>
      <c r="Q197" s="219"/>
      <c r="R197" s="219"/>
      <c r="S197" s="219"/>
      <c r="T197" s="219"/>
      <c r="U197" s="21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22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219"/>
      <c r="P198" s="219"/>
      <c r="Q198" s="219"/>
      <c r="R198" s="219"/>
      <c r="S198" s="219"/>
      <c r="T198" s="219"/>
      <c r="U198" s="21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224" t="s">
        <v>202</v>
      </c>
      <c r="D199" s="143"/>
      <c r="E199" s="143"/>
      <c r="F199" s="144"/>
      <c r="G199" s="145">
        <f>SUM(G178:G198)</f>
        <v>0</v>
      </c>
      <c r="H199" s="146">
        <f>SUM(H178:H198)</f>
        <v>0</v>
      </c>
      <c r="I199" s="146">
        <f>SUM(I178:I198)</f>
        <v>0</v>
      </c>
      <c r="J199" s="130" t="str">
        <f t="array" ref="J199">IF(ISERROR(G199/I199),"",G199/I199)</f>
        <v/>
      </c>
      <c r="K199" s="146">
        <f>SUM(K178:K198)</f>
        <v>0</v>
      </c>
      <c r="L199" s="147"/>
      <c r="M199" s="150">
        <f t="shared" ref="M199:AA199" si="90">SUM(M178:M198)</f>
        <v>0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customHeight="1">
      <c r="A200" s="300">
        <v>30100012</v>
      </c>
      <c r="B200" s="218" t="s">
        <v>206</v>
      </c>
      <c r="C200" s="126" t="s">
        <v>199</v>
      </c>
      <c r="D200" s="108">
        <v>5.03</v>
      </c>
      <c r="E200" s="108"/>
      <c r="F200" s="127"/>
      <c r="G200" s="128"/>
      <c r="H200" s="226">
        <f t="shared" ref="H200:H210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4" si="92">IF(ISERROR(I200-K200),"",I200-K200)</f>
        <v>0</v>
      </c>
      <c r="N200" s="130">
        <f t="shared" ref="N200:N204" si="93">SUM(O200:U200)</f>
        <v>0</v>
      </c>
      <c r="O200" s="221"/>
      <c r="P200" s="221"/>
      <c r="Q200" s="221"/>
      <c r="R200" s="221"/>
      <c r="S200" s="221"/>
      <c r="T200" s="221"/>
      <c r="U200" s="221"/>
      <c r="V200" s="132">
        <f t="shared" ref="V200:V204" si="94">SUM(X200:AA200)</f>
        <v>0</v>
      </c>
      <c r="W200" s="133" t="str">
        <f t="shared" ref="W200:W204" si="95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232" t="s">
        <v>426</v>
      </c>
      <c r="C201" s="187" t="s">
        <v>428</v>
      </c>
      <c r="D201" s="108">
        <v>5.03</v>
      </c>
      <c r="E201" s="108"/>
      <c r="F201" s="127"/>
      <c r="G201" s="128"/>
      <c r="H201" s="235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234"/>
      <c r="P201" s="234"/>
      <c r="Q201" s="234"/>
      <c r="R201" s="234"/>
      <c r="S201" s="234"/>
      <c r="T201" s="234"/>
      <c r="U201" s="234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218" t="s">
        <v>206</v>
      </c>
      <c r="C202" s="126" t="s">
        <v>186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2"/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218" t="s">
        <v>206</v>
      </c>
      <c r="C203" s="126" t="s">
        <v>203</v>
      </c>
      <c r="D203" s="108">
        <v>5.03</v>
      </c>
      <c r="E203" s="108"/>
      <c r="F203" s="127"/>
      <c r="G203" s="128"/>
      <c r="H203" s="22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218" t="s">
        <v>206</v>
      </c>
      <c r="C204" s="126" t="s">
        <v>207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2"/>
        <v>0</v>
      </c>
      <c r="N204" s="130">
        <f t="shared" si="93"/>
        <v>0</v>
      </c>
      <c r="O204" s="221"/>
      <c r="P204" s="221"/>
      <c r="Q204" s="221"/>
      <c r="R204" s="221"/>
      <c r="S204" s="221"/>
      <c r="T204" s="221"/>
      <c r="U204" s="221"/>
      <c r="V204" s="132">
        <f t="shared" si="94"/>
        <v>0</v>
      </c>
      <c r="W204" s="133" t="str">
        <f t="shared" si="95"/>
        <v/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218" t="s">
        <v>414</v>
      </c>
      <c r="C205" s="187" t="s">
        <v>415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30100017</v>
      </c>
      <c r="B206" s="218" t="s">
        <v>414</v>
      </c>
      <c r="C206" s="187" t="s">
        <v>416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218" t="s">
        <v>414</v>
      </c>
      <c r="C207" s="187" t="s">
        <v>61</v>
      </c>
      <c r="D207" s="108">
        <v>5.03</v>
      </c>
      <c r="E207" s="108"/>
      <c r="F207" s="127"/>
      <c r="G207" s="128"/>
      <c r="H207" s="292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221"/>
      <c r="P207" s="221"/>
      <c r="Q207" s="221"/>
      <c r="R207" s="221"/>
      <c r="S207" s="221"/>
      <c r="T207" s="221"/>
      <c r="U207" s="221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218" t="s">
        <v>208</v>
      </c>
      <c r="C208" s="126" t="s">
        <v>179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27" si="96">IF(ISERROR(I208-K208),"",I208-K208)</f>
        <v>0</v>
      </c>
      <c r="N208" s="130">
        <f t="shared" ref="N208:N228" si="97">SUM(O208:U208)</f>
        <v>0</v>
      </c>
      <c r="O208" s="221"/>
      <c r="P208" s="221"/>
      <c r="Q208" s="221"/>
      <c r="R208" s="221"/>
      <c r="S208" s="221"/>
      <c r="T208" s="221"/>
      <c r="U208" s="221"/>
      <c r="V208" s="132">
        <f t="shared" ref="V208:V219" si="98">SUM(X208:AA208)</f>
        <v>0</v>
      </c>
      <c r="W208" s="133" t="str">
        <f t="shared" ref="W208:W219" si="99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218" t="s">
        <v>208</v>
      </c>
      <c r="C209" s="126" t="s">
        <v>204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30100024</v>
      </c>
      <c r="B210" s="218" t="s">
        <v>208</v>
      </c>
      <c r="C210" s="126" t="s">
        <v>205</v>
      </c>
      <c r="D210" s="108">
        <v>5.08</v>
      </c>
      <c r="E210" s="108"/>
      <c r="F210" s="127"/>
      <c r="G210" s="128"/>
      <c r="H210" s="292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218" t="s">
        <v>208</v>
      </c>
      <c r="C211" s="126" t="s">
        <v>186</v>
      </c>
      <c r="D211" s="108">
        <v>5.08</v>
      </c>
      <c r="E211" s="108"/>
      <c r="F211" s="127"/>
      <c r="G211" s="128"/>
      <c r="H211" s="226">
        <f t="shared" ref="H211:H229" si="100">D211*G211</f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218" t="s">
        <v>208</v>
      </c>
      <c r="C212" s="126" t="s">
        <v>203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21"/>
      <c r="P212" s="221"/>
      <c r="Q212" s="221"/>
      <c r="R212" s="221"/>
      <c r="S212" s="221"/>
      <c r="T212" s="221"/>
      <c r="U212" s="221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218" t="s">
        <v>208</v>
      </c>
      <c r="C213" s="126" t="s">
        <v>199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19"/>
      <c r="P213" s="219"/>
      <c r="Q213" s="219"/>
      <c r="R213" s="219"/>
      <c r="S213" s="219"/>
      <c r="T213" s="219"/>
      <c r="U213" s="219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30100025</v>
      </c>
      <c r="B214" s="218" t="s">
        <v>208</v>
      </c>
      <c r="C214" s="126" t="s">
        <v>187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21"/>
      <c r="P214" s="221"/>
      <c r="Q214" s="221"/>
      <c r="R214" s="221"/>
      <c r="S214" s="221"/>
      <c r="T214" s="221"/>
      <c r="U214" s="221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218" t="s">
        <v>208</v>
      </c>
      <c r="C215" s="126" t="s">
        <v>207</v>
      </c>
      <c r="D215" s="108">
        <v>5.08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96"/>
        <v>0</v>
      </c>
      <c r="N215" s="130">
        <f t="shared" si="97"/>
        <v>0</v>
      </c>
      <c r="O215" s="219"/>
      <c r="P215" s="219"/>
      <c r="Q215" s="219"/>
      <c r="R215" s="219"/>
      <c r="S215" s="219"/>
      <c r="T215" s="219"/>
      <c r="U215" s="219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218" t="s">
        <v>209</v>
      </c>
      <c r="C216" s="126" t="s">
        <v>194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218" t="s">
        <v>209</v>
      </c>
      <c r="C217" s="126" t="s">
        <v>179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218" t="s">
        <v>209</v>
      </c>
      <c r="C218" s="126" t="s">
        <v>195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30100031</v>
      </c>
      <c r="B219" s="218" t="s">
        <v>209</v>
      </c>
      <c r="C219" s="126" t="s">
        <v>204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>
        <f t="shared" si="98"/>
        <v>0</v>
      </c>
      <c r="W219" s="133" t="str">
        <f t="shared" si="99"/>
        <v/>
      </c>
      <c r="X219" s="132"/>
      <c r="Y219" s="132"/>
      <c r="Z219" s="132"/>
      <c r="AA219" s="132"/>
    </row>
    <row r="220" spans="1:27" ht="20.100000000000001" customHeight="1">
      <c r="A220" s="300">
        <v>30100019</v>
      </c>
      <c r="B220" s="218" t="s">
        <v>382</v>
      </c>
      <c r="C220" s="187" t="s">
        <v>383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218" t="s">
        <v>382</v>
      </c>
      <c r="C221" s="187" t="s">
        <v>384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218" t="s">
        <v>382</v>
      </c>
      <c r="C222" s="187" t="s">
        <v>389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218" t="s">
        <v>382</v>
      </c>
      <c r="C223" s="187" t="s">
        <v>391</v>
      </c>
      <c r="D223" s="108">
        <v>5.03</v>
      </c>
      <c r="E223" s="108"/>
      <c r="F223" s="127"/>
      <c r="G223" s="128"/>
      <c r="H223" s="226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30700007</v>
      </c>
      <c r="B224" s="230" t="s">
        <v>418</v>
      </c>
      <c r="C224" s="187" t="s">
        <v>364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30700006</v>
      </c>
      <c r="B225" s="230" t="s">
        <v>418</v>
      </c>
      <c r="C225" s="187" t="s">
        <v>365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30700008</v>
      </c>
      <c r="B226" s="230" t="s">
        <v>418</v>
      </c>
      <c r="C226" s="187" t="s">
        <v>366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3">
        <v>30700009</v>
      </c>
      <c r="B227" s="230" t="s">
        <v>418</v>
      </c>
      <c r="C227" s="187" t="s">
        <v>367</v>
      </c>
      <c r="D227" s="108">
        <v>5.03</v>
      </c>
      <c r="E227" s="108"/>
      <c r="F227" s="127"/>
      <c r="G227" s="128"/>
      <c r="H227" s="292">
        <f t="shared" si="100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96"/>
        <v>0</v>
      </c>
      <c r="N227" s="130">
        <f t="shared" si="97"/>
        <v>0</v>
      </c>
      <c r="O227" s="221"/>
      <c r="P227" s="221"/>
      <c r="Q227" s="221"/>
      <c r="R227" s="221"/>
      <c r="S227" s="221"/>
      <c r="T227" s="221"/>
      <c r="U227" s="221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ref="M228:M242" si="101">IF(ISERROR(I228-K228),"",I228-K228)</f>
        <v>0</v>
      </c>
      <c r="N228" s="130">
        <f t="shared" si="97"/>
        <v>0</v>
      </c>
      <c r="O228" s="219"/>
      <c r="P228" s="219"/>
      <c r="Q228" s="219"/>
      <c r="R228" s="219"/>
      <c r="S228" s="219"/>
      <c r="T228" s="219"/>
      <c r="U228" s="219"/>
      <c r="V228" s="132">
        <f t="shared" ref="V228:V237" si="102">SUM(X228:AA228)</f>
        <v>0</v>
      </c>
      <c r="W228" s="133" t="str">
        <f t="shared" ref="W228:W237" si="103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292">
        <f t="shared" si="100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ref="N229:N237" si="104">SUM(O229:U229)</f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226">
        <f t="shared" ref="H230:H256" si="105">D230*G230</f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226">
        <f t="shared" si="105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4"/>
        <v>0</v>
      </c>
      <c r="O237" s="219"/>
      <c r="P237" s="219"/>
      <c r="Q237" s="219"/>
      <c r="R237" s="219"/>
      <c r="S237" s="219"/>
      <c r="T237" s="219"/>
      <c r="U237" s="219"/>
      <c r="V237" s="132">
        <f t="shared" si="102"/>
        <v>0</v>
      </c>
      <c r="W237" s="133" t="str">
        <f t="shared" si="103"/>
        <v/>
      </c>
      <c r="X237" s="132"/>
      <c r="Y237" s="132"/>
      <c r="Z237" s="132"/>
      <c r="AA237" s="132"/>
    </row>
    <row r="238" spans="1:27" ht="20.100000000000001" customHeight="1">
      <c r="A238" s="300">
        <v>30100043</v>
      </c>
      <c r="B238" s="134" t="s">
        <v>430</v>
      </c>
      <c r="C238" s="187" t="s">
        <v>428</v>
      </c>
      <c r="D238" s="108">
        <v>5.03</v>
      </c>
      <c r="E238" s="108"/>
      <c r="F238" s="127"/>
      <c r="G238" s="128"/>
      <c r="H238" s="235">
        <f t="shared" si="105"/>
        <v>0</v>
      </c>
      <c r="I238" s="129"/>
      <c r="J238" s="130"/>
      <c r="K238" s="131"/>
      <c r="L238" s="129">
        <v>50</v>
      </c>
      <c r="M238" s="109"/>
      <c r="N238" s="130"/>
      <c r="O238" s="233"/>
      <c r="P238" s="233"/>
      <c r="Q238" s="233"/>
      <c r="R238" s="233"/>
      <c r="S238" s="233"/>
      <c r="T238" s="233"/>
      <c r="U238" s="23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226">
        <f t="shared" si="105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si="101"/>
        <v>0</v>
      </c>
      <c r="N239" s="130"/>
      <c r="O239" s="219"/>
      <c r="P239" s="219"/>
      <c r="Q239" s="219"/>
      <c r="R239" s="219"/>
      <c r="S239" s="219"/>
      <c r="T239" s="219"/>
      <c r="U239" s="21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ref="N240:N241" si="106">SUM(O240:U240)</f>
        <v>0</v>
      </c>
      <c r="O240" s="219"/>
      <c r="P240" s="219"/>
      <c r="Q240" s="219"/>
      <c r="R240" s="219"/>
      <c r="S240" s="219"/>
      <c r="T240" s="219"/>
      <c r="U240" s="219"/>
      <c r="V240" s="132">
        <f t="shared" ref="V240:V241" si="107">SUM(X240:AA240)</f>
        <v>0</v>
      </c>
      <c r="W240" s="133" t="str">
        <f t="shared" ref="W240:W241" si="108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292">
        <f t="shared" si="105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1"/>
        <v>0</v>
      </c>
      <c r="N241" s="130">
        <f t="shared" si="106"/>
        <v>0</v>
      </c>
      <c r="O241" s="219"/>
      <c r="P241" s="219"/>
      <c r="Q241" s="219"/>
      <c r="R241" s="219"/>
      <c r="S241" s="219"/>
      <c r="T241" s="219"/>
      <c r="U241" s="219"/>
      <c r="V241" s="132">
        <f t="shared" si="107"/>
        <v>0</v>
      </c>
      <c r="W241" s="133" t="str">
        <f t="shared" si="108"/>
        <v/>
      </c>
      <c r="X241" s="132"/>
      <c r="Y241" s="132"/>
      <c r="Z241" s="132"/>
      <c r="AA241" s="132"/>
    </row>
    <row r="242" spans="1:27" ht="20.10000000000000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292">
        <f t="shared" si="105"/>
        <v>0</v>
      </c>
      <c r="I242" s="129"/>
      <c r="J242" s="130"/>
      <c r="K242" s="131"/>
      <c r="L242" s="129"/>
      <c r="M242" s="109">
        <f t="shared" si="101"/>
        <v>0</v>
      </c>
      <c r="N242" s="130"/>
      <c r="O242" s="219"/>
      <c r="P242" s="219"/>
      <c r="Q242" s="219"/>
      <c r="R242" s="219"/>
      <c r="S242" s="219"/>
      <c r="T242" s="219"/>
      <c r="U242" s="219"/>
      <c r="V242" s="132"/>
      <c r="W242" s="133"/>
      <c r="X242" s="132"/>
      <c r="Y242" s="132"/>
      <c r="Z242" s="132"/>
      <c r="AA242" s="132"/>
    </row>
    <row r="243" spans="1:27" ht="20.10000000000000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ref="M243:M250" si="109">IF(ISERROR(I243-K243),"",I243-K243)</f>
        <v/>
      </c>
      <c r="N243" s="130">
        <f t="shared" ref="N243:N246" si="110">SUM(O243:U243)</f>
        <v>0</v>
      </c>
      <c r="O243" s="219"/>
      <c r="P243" s="219"/>
      <c r="Q243" s="219"/>
      <c r="R243" s="219"/>
      <c r="S243" s="219"/>
      <c r="T243" s="219"/>
      <c r="U243" s="219"/>
      <c r="V243" s="132">
        <f t="shared" ref="V243:V246" si="111">SUM(X243:AA243)</f>
        <v>0</v>
      </c>
      <c r="W243" s="133" t="str">
        <f t="shared" ref="W243:W246" si="112">IF(ISERROR(V243/G243),"",V243/G243)</f>
        <v/>
      </c>
      <c r="X243" s="132"/>
      <c r="Y243" s="132"/>
      <c r="Z243" s="132"/>
      <c r="AA243" s="132"/>
    </row>
    <row r="244" spans="1:27" ht="20.10000000000000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292">
        <f t="shared" si="105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9"/>
        <v/>
      </c>
      <c r="N246" s="130">
        <f t="shared" si="110"/>
        <v>0</v>
      </c>
      <c r="O246" s="219"/>
      <c r="P246" s="219"/>
      <c r="Q246" s="219"/>
      <c r="R246" s="219"/>
      <c r="S246" s="219"/>
      <c r="T246" s="219"/>
      <c r="U246" s="219"/>
      <c r="V246" s="132">
        <f t="shared" si="111"/>
        <v>0</v>
      </c>
      <c r="W246" s="133" t="str">
        <f t="shared" si="112"/>
        <v/>
      </c>
      <c r="X246" s="132"/>
      <c r="Y246" s="132"/>
      <c r="Z246" s="132"/>
      <c r="AA246" s="132"/>
    </row>
    <row r="247" spans="1:27" ht="20.10000000000000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9"/>
        <v>0</v>
      </c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292">
        <f t="shared" si="105"/>
        <v>0</v>
      </c>
      <c r="I256" s="129"/>
      <c r="J256" s="130"/>
      <c r="K256" s="131"/>
      <c r="L256" s="129">
        <v>4</v>
      </c>
      <c r="M256" s="109"/>
      <c r="N256" s="130"/>
      <c r="O256" s="219"/>
      <c r="P256" s="219"/>
      <c r="Q256" s="219"/>
      <c r="R256" s="219"/>
      <c r="S256" s="219"/>
      <c r="T256" s="219"/>
      <c r="U256" s="21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224" t="s">
        <v>202</v>
      </c>
      <c r="D257" s="143"/>
      <c r="E257" s="143"/>
      <c r="F257" s="144"/>
      <c r="G257" s="145">
        <f>SUM(G200:G256)</f>
        <v>0</v>
      </c>
      <c r="H257" s="146">
        <f>SUM(H200:H256)</f>
        <v>0</v>
      </c>
      <c r="I257" s="146">
        <f>SUM(I200:I256)</f>
        <v>0</v>
      </c>
      <c r="J257" s="130" t="str">
        <f t="array" ref="J257">IF(ISERROR(G257/I257),"",G257/I257)</f>
        <v/>
      </c>
      <c r="K257" s="146">
        <f>SUM(K200:K256)</f>
        <v>0</v>
      </c>
      <c r="L257" s="147"/>
      <c r="M257" s="150">
        <f t="shared" ref="M257:V257" si="113">SUM(M200:M256)</f>
        <v>0</v>
      </c>
      <c r="N257" s="146">
        <f t="shared" si="113"/>
        <v>0</v>
      </c>
      <c r="O257" s="148">
        <f t="shared" si="113"/>
        <v>0</v>
      </c>
      <c r="P257" s="148">
        <f t="shared" si="113"/>
        <v>0</v>
      </c>
      <c r="Q257" s="148">
        <f t="shared" si="113"/>
        <v>0</v>
      </c>
      <c r="R257" s="148">
        <f t="shared" si="113"/>
        <v>0</v>
      </c>
      <c r="S257" s="148">
        <f t="shared" si="113"/>
        <v>0</v>
      </c>
      <c r="T257" s="148">
        <f t="shared" si="113"/>
        <v>0</v>
      </c>
      <c r="U257" s="148">
        <f t="shared" si="113"/>
        <v>0</v>
      </c>
      <c r="V257" s="149">
        <f t="shared" si="113"/>
        <v>0</v>
      </c>
      <c r="W257" s="133" t="str">
        <f t="shared" ref="W257:W264" si="114">IF(ISERROR(V257/G257),"",V257/G257)</f>
        <v/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customHeight="1">
      <c r="A258" s="299">
        <v>30400012</v>
      </c>
      <c r="B258" s="218" t="s">
        <v>217</v>
      </c>
      <c r="C258" s="126" t="s">
        <v>179</v>
      </c>
      <c r="D258" s="108">
        <v>5.03</v>
      </c>
      <c r="E258" s="108"/>
      <c r="F258" s="127"/>
      <c r="G258" s="128"/>
      <c r="H258" s="226">
        <f t="shared" ref="H258:H288" si="115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6">IF(ISERROR(I258-K258),"",I258-K258)</f>
        <v>0</v>
      </c>
      <c r="N258" s="130">
        <f t="shared" ref="N258:N265" si="117">SUM(O258:U258)</f>
        <v>0</v>
      </c>
      <c r="O258" s="219"/>
      <c r="P258" s="219"/>
      <c r="Q258" s="219"/>
      <c r="R258" s="219"/>
      <c r="S258" s="219"/>
      <c r="T258" s="219"/>
      <c r="U258" s="219"/>
      <c r="V258" s="132">
        <f t="shared" ref="V258:V264" si="118">SUM(X258:AA258)</f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30400010</v>
      </c>
      <c r="B259" s="218" t="s">
        <v>217</v>
      </c>
      <c r="C259" s="126" t="s">
        <v>186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218" t="s">
        <v>217</v>
      </c>
      <c r="C260" s="126" t="s">
        <v>204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>
        <f t="shared" si="118"/>
        <v>0</v>
      </c>
      <c r="W264" s="133" t="str">
        <f t="shared" si="114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226">
        <f t="shared" si="115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6"/>
        <v>0</v>
      </c>
      <c r="N265" s="130">
        <f t="shared" si="117"/>
        <v>0</v>
      </c>
      <c r="O265" s="219"/>
      <c r="P265" s="219"/>
      <c r="Q265" s="219"/>
      <c r="R265" s="219"/>
      <c r="S265" s="219"/>
      <c r="T265" s="219"/>
      <c r="U265" s="219"/>
      <c r="V265" s="132"/>
      <c r="W265" s="133"/>
      <c r="X265" s="132"/>
      <c r="Y265" s="132"/>
      <c r="Z265" s="132"/>
      <c r="AA265" s="132"/>
    </row>
    <row r="266" spans="1:27" ht="20.10000000000000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19">IF(ISERROR(I270-K270),"",I270-K270)</f>
        <v>0</v>
      </c>
      <c r="N270" s="130">
        <f t="shared" ref="N270:N285" si="120">SUM(O270:U270)</f>
        <v>0</v>
      </c>
      <c r="O270" s="219"/>
      <c r="P270" s="219"/>
      <c r="Q270" s="219"/>
      <c r="R270" s="219"/>
      <c r="S270" s="219"/>
      <c r="T270" s="219"/>
      <c r="U270" s="219"/>
      <c r="V270" s="132">
        <f t="shared" ref="V270:V273" si="121">SUM(X270:AA270)</f>
        <v>0</v>
      </c>
      <c r="W270" s="133" t="str">
        <f t="shared" ref="W270:W277" si="122">IF(ISERROR(V270/G270),"",V270/G270)</f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19"/>
        <v/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si="121"/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30600005</v>
      </c>
      <c r="B274" s="218" t="s">
        <v>222</v>
      </c>
      <c r="C274" s="126" t="s">
        <v>181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ref="V274:V277" si="123">SUM(X274:AA274)</f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30600008</v>
      </c>
      <c r="B275" s="218" t="s">
        <v>222</v>
      </c>
      <c r="C275" s="126" t="s">
        <v>179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30600007</v>
      </c>
      <c r="B276" s="218" t="s">
        <v>222</v>
      </c>
      <c r="C276" s="126" t="s">
        <v>221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304">
        <v>30600006</v>
      </c>
      <c r="B277" s="218" t="s">
        <v>222</v>
      </c>
      <c r="C277" s="126" t="s">
        <v>186</v>
      </c>
      <c r="D277" s="108">
        <v>9.36</v>
      </c>
      <c r="E277" s="108"/>
      <c r="F277" s="127"/>
      <c r="G277" s="128"/>
      <c r="H277" s="226">
        <f t="shared" si="115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>
        <f t="shared" si="123"/>
        <v>0</v>
      </c>
      <c r="W277" s="133" t="str">
        <f t="shared" si="122"/>
        <v/>
      </c>
      <c r="X277" s="132"/>
      <c r="Y277" s="132"/>
      <c r="Z277" s="132"/>
      <c r="AA277" s="132"/>
    </row>
    <row r="278" spans="1:27" ht="20.100000000000001" customHeight="1">
      <c r="A278" s="299">
        <v>30400026</v>
      </c>
      <c r="B278" s="218" t="s">
        <v>393</v>
      </c>
      <c r="C278" s="187" t="s">
        <v>395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218" t="s">
        <v>393</v>
      </c>
      <c r="C279" s="187" t="s">
        <v>402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>
        <v>30400027</v>
      </c>
      <c r="B280" s="218" t="s">
        <v>404</v>
      </c>
      <c r="C280" s="187" t="s">
        <v>405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/>
      <c r="B281" s="218" t="s">
        <v>342</v>
      </c>
      <c r="C281" s="187" t="s">
        <v>372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30600009</v>
      </c>
      <c r="B282" s="218" t="s">
        <v>343</v>
      </c>
      <c r="C282" s="126" t="s">
        <v>345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218" t="s">
        <v>343</v>
      </c>
      <c r="C283" s="126" t="s">
        <v>347</v>
      </c>
      <c r="D283" s="108">
        <v>5</v>
      </c>
      <c r="E283" s="108"/>
      <c r="F283" s="127"/>
      <c r="G283" s="128"/>
      <c r="H283" s="226">
        <f t="shared" si="115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ref="V284:V285" si="124">SUM(X284:AA284)</f>
        <v>0</v>
      </c>
      <c r="W284" s="133" t="str">
        <f t="shared" ref="W284:W285" si="125">IF(ISERROR(V284/G284),"",V284/G284)</f>
        <v/>
      </c>
      <c r="X284" s="132"/>
      <c r="Y284" s="132"/>
      <c r="Z284" s="132"/>
      <c r="AA284" s="132"/>
    </row>
    <row r="285" spans="1:27" ht="20.10000000000000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226">
        <f t="shared" si="115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19"/>
        <v>0</v>
      </c>
      <c r="N285" s="130">
        <f t="shared" si="120"/>
        <v>0</v>
      </c>
      <c r="O285" s="219"/>
      <c r="P285" s="219"/>
      <c r="Q285" s="219"/>
      <c r="R285" s="219"/>
      <c r="S285" s="219"/>
      <c r="T285" s="219"/>
      <c r="U285" s="219"/>
      <c r="V285" s="132">
        <f t="shared" si="124"/>
        <v>0</v>
      </c>
      <c r="W285" s="133" t="str">
        <f t="shared" si="125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420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231">
        <f t="shared" si="115"/>
        <v>0</v>
      </c>
      <c r="I288" s="129"/>
      <c r="J288" s="130"/>
      <c r="K288" s="131"/>
      <c r="L288" s="129">
        <v>24</v>
      </c>
      <c r="M288" s="109"/>
      <c r="N288" s="130"/>
      <c r="O288" s="219"/>
      <c r="P288" s="219"/>
      <c r="Q288" s="219"/>
      <c r="R288" s="219"/>
      <c r="S288" s="219"/>
      <c r="T288" s="219"/>
      <c r="U288" s="21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226">
        <f t="shared" ref="H289:H291" si="126">D289*G289</f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219"/>
      <c r="P289" s="219"/>
      <c r="Q289" s="219"/>
      <c r="R289" s="219"/>
      <c r="S289" s="219"/>
      <c r="T289" s="219"/>
      <c r="U289" s="219"/>
      <c r="V289" s="132">
        <f t="shared" ref="V289:V291" si="129">SUM(X289:AA289)</f>
        <v>0</v>
      </c>
      <c r="W289" s="133" t="str">
        <f t="shared" ref="W289:W305" si="130">IF(ISERROR(V289/G289),"",V289/G289)</f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226">
        <f t="shared" si="126"/>
        <v>0</v>
      </c>
      <c r="I291" s="129"/>
      <c r="J291" s="130" t="str">
        <f t="array" ref="J291">IF(ISERROR(G291/I291),"",G291/I291)</f>
        <v/>
      </c>
      <c r="K291" s="22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219"/>
      <c r="P291" s="219"/>
      <c r="Q291" s="219"/>
      <c r="R291" s="219"/>
      <c r="S291" s="219"/>
      <c r="T291" s="219"/>
      <c r="U291" s="21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224" t="s">
        <v>202</v>
      </c>
      <c r="D292" s="143"/>
      <c r="E292" s="143"/>
      <c r="F292" s="144"/>
      <c r="G292" s="145">
        <f>SUM(G258:G291)</f>
        <v>0</v>
      </c>
      <c r="H292" s="146">
        <f>SUM(H258:H291)</f>
        <v>0</v>
      </c>
      <c r="I292" s="146">
        <f>SUM(I258:I291)</f>
        <v>0</v>
      </c>
      <c r="J292" s="130" t="str">
        <f t="array" ref="J292">IF(ISERROR(G292/I292),"",G292/I292)</f>
        <v/>
      </c>
      <c r="K292" s="146">
        <f>SUM(K258:K291)</f>
        <v>0</v>
      </c>
      <c r="L292" s="147"/>
      <c r="M292" s="150">
        <f t="shared" ref="M292:V292" si="131">SUM(M258:M291)</f>
        <v>0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 t="str">
        <f t="shared" si="130"/>
        <v/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226">
        <f t="shared" ref="H293:H305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5" si="133">IF(ISERROR(I293-K293),"",I293-K293)</f>
        <v>0</v>
      </c>
      <c r="N293" s="130">
        <f t="shared" ref="N293:N305" si="134">SUM(O293:U293)</f>
        <v>0</v>
      </c>
      <c r="O293" s="219"/>
      <c r="P293" s="219"/>
      <c r="Q293" s="219"/>
      <c r="R293" s="219"/>
      <c r="S293" s="219"/>
      <c r="T293" s="219"/>
      <c r="U293" s="219"/>
      <c r="V293" s="132">
        <f t="shared" ref="V293:V305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30100054</v>
      </c>
      <c r="B297" s="140" t="s">
        <v>227</v>
      </c>
      <c r="C297" s="223" t="s">
        <v>203</v>
      </c>
      <c r="D297" s="108">
        <v>5.03</v>
      </c>
      <c r="E297" s="108"/>
      <c r="F297" s="127"/>
      <c r="G297" s="152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/>
      <c r="B300" s="140" t="s">
        <v>227</v>
      </c>
      <c r="C300" s="223" t="s">
        <v>228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30101067</v>
      </c>
      <c r="B301" s="140" t="s">
        <v>229</v>
      </c>
      <c r="C301" s="223" t="s">
        <v>212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30101068</v>
      </c>
      <c r="B302" s="140" t="s">
        <v>229</v>
      </c>
      <c r="C302" s="223" t="s">
        <v>203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30101069</v>
      </c>
      <c r="B303" s="140" t="s">
        <v>229</v>
      </c>
      <c r="C303" s="223" t="s">
        <v>186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30101070</v>
      </c>
      <c r="B304" s="140" t="s">
        <v>229</v>
      </c>
      <c r="C304" s="223" t="s">
        <v>228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299">
        <v>30101071</v>
      </c>
      <c r="B305" s="140" t="s">
        <v>229</v>
      </c>
      <c r="C305" s="223" t="s">
        <v>199</v>
      </c>
      <c r="D305" s="108">
        <v>5.03</v>
      </c>
      <c r="E305" s="108"/>
      <c r="F305" s="127"/>
      <c r="G305" s="128"/>
      <c r="H305" s="22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219"/>
      <c r="P305" s="219"/>
      <c r="Q305" s="219"/>
      <c r="R305" s="219"/>
      <c r="S305" s="219"/>
      <c r="T305" s="219"/>
      <c r="U305" s="21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226">
        <f t="shared" ref="H306:H307" si="136">D306*G306</f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ref="M306:M307" si="137">IF(ISERROR(I306-K306),"",I306-K306)</f>
        <v>0</v>
      </c>
      <c r="N306" s="130">
        <f t="shared" ref="N306:N307" si="138">SUM(O306:U306)</f>
        <v>0</v>
      </c>
      <c r="O306" s="219"/>
      <c r="P306" s="219"/>
      <c r="Q306" s="219"/>
      <c r="R306" s="219"/>
      <c r="S306" s="219"/>
      <c r="T306" s="219"/>
      <c r="U306" s="219"/>
      <c r="V306" s="132">
        <f t="shared" ref="V306:V307" si="139">SUM(X306:AA306)</f>
        <v>0</v>
      </c>
      <c r="W306" s="133" t="str">
        <f t="shared" ref="W306:W323" si="140">IF(ISERROR(V306/G306),"",V306/G306)</f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226">
        <f t="shared" si="136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7"/>
        <v>0</v>
      </c>
      <c r="N307" s="130">
        <f t="shared" si="138"/>
        <v>0</v>
      </c>
      <c r="O307" s="219"/>
      <c r="P307" s="219"/>
      <c r="Q307" s="219"/>
      <c r="R307" s="219"/>
      <c r="S307" s="219"/>
      <c r="T307" s="219"/>
      <c r="U307" s="219"/>
      <c r="V307" s="132">
        <f t="shared" si="139"/>
        <v>0</v>
      </c>
      <c r="W307" s="133" t="str">
        <f t="shared" si="140"/>
        <v/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224" t="s">
        <v>202</v>
      </c>
      <c r="D308" s="143"/>
      <c r="E308" s="143"/>
      <c r="F308" s="144"/>
      <c r="G308" s="145">
        <f>SUM(G293:G307)</f>
        <v>0</v>
      </c>
      <c r="H308" s="146">
        <f>SUM(H293:H307)</f>
        <v>0</v>
      </c>
      <c r="I308" s="146">
        <f>SUM(I293:I307)</f>
        <v>0</v>
      </c>
      <c r="J308" s="130" t="str">
        <f t="array" ref="J308">IF(ISERROR(G308/I308),"",G308/I308)</f>
        <v/>
      </c>
      <c r="K308" s="146">
        <f>SUM(K293:K307)</f>
        <v>0</v>
      </c>
      <c r="L308" s="146"/>
      <c r="M308" s="150">
        <f>SUM(M293:M307)</f>
        <v>0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 t="str">
        <f t="shared" si="140"/>
        <v/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226">
        <f t="shared" ref="H309:H318" si="141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8" si="142">IF(ISERROR(I309-K309),"",I309-K309)</f>
        <v>0</v>
      </c>
      <c r="N309" s="130">
        <f t="shared" ref="N309:N318" si="143">SUM(O309:U309)</f>
        <v>0</v>
      </c>
      <c r="O309" s="219"/>
      <c r="P309" s="219"/>
      <c r="Q309" s="219"/>
      <c r="R309" s="219"/>
      <c r="S309" s="219"/>
      <c r="T309" s="219"/>
      <c r="U309" s="219"/>
      <c r="V309" s="132">
        <f t="shared" ref="V309:V318" si="144">SUM(X309:AA309)</f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226">
        <f t="shared" si="141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42"/>
        <v>0</v>
      </c>
      <c r="N313" s="130">
        <f t="shared" si="143"/>
        <v>0</v>
      </c>
      <c r="O313" s="219"/>
      <c r="P313" s="219"/>
      <c r="Q313" s="219"/>
      <c r="R313" s="219"/>
      <c r="S313" s="219"/>
      <c r="T313" s="219"/>
      <c r="U313" s="219"/>
      <c r="V313" s="132">
        <f t="shared" si="144"/>
        <v>0</v>
      </c>
      <c r="W313" s="133" t="str">
        <f t="shared" si="14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73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261"/>
      <c r="P314" s="261"/>
      <c r="Q314" s="261"/>
      <c r="R314" s="261"/>
      <c r="S314" s="261"/>
      <c r="T314" s="261"/>
      <c r="U314" s="261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373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372"/>
      <c r="P315" s="372"/>
      <c r="Q315" s="372"/>
      <c r="R315" s="372"/>
      <c r="S315" s="372"/>
      <c r="T315" s="372"/>
      <c r="U315" s="372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377">
        <f t="shared" si="141"/>
        <v>0</v>
      </c>
      <c r="I316" s="129"/>
      <c r="J316" s="130"/>
      <c r="K316" s="131"/>
      <c r="L316" s="129">
        <v>13.5</v>
      </c>
      <c r="M316" s="109"/>
      <c r="N316" s="130"/>
      <c r="O316" s="376"/>
      <c r="P316" s="376"/>
      <c r="Q316" s="376"/>
      <c r="R316" s="376"/>
      <c r="S316" s="376"/>
      <c r="T316" s="376"/>
      <c r="U316" s="37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41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226">
        <f t="shared" si="141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si="142"/>
        <v>0</v>
      </c>
      <c r="N318" s="130">
        <f t="shared" si="143"/>
        <v>0</v>
      </c>
      <c r="O318" s="219"/>
      <c r="P318" s="219"/>
      <c r="Q318" s="219"/>
      <c r="R318" s="219"/>
      <c r="S318" s="219"/>
      <c r="T318" s="219"/>
      <c r="U318" s="219"/>
      <c r="V318" s="132">
        <f t="shared" si="144"/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224" t="s">
        <v>202</v>
      </c>
      <c r="D319" s="143"/>
      <c r="E319" s="143"/>
      <c r="F319" s="144"/>
      <c r="G319" s="145">
        <f>SUM(G309:G318)</f>
        <v>0</v>
      </c>
      <c r="H319" s="146">
        <f>SUM(H309:H318)</f>
        <v>0</v>
      </c>
      <c r="I319" s="146">
        <f>SUM(I309:I318)</f>
        <v>0</v>
      </c>
      <c r="J319" s="130" t="str">
        <f t="array" ref="J319">IF(ISERROR(G319/I319),"",G319/I319)</f>
        <v/>
      </c>
      <c r="K319" s="146">
        <f>SUM(K309:K318)</f>
        <v>0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 t="str">
        <f t="shared" si="140"/>
        <v/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customHeight="1">
      <c r="A320" s="299">
        <v>30700013</v>
      </c>
      <c r="B320" s="141" t="s">
        <v>235</v>
      </c>
      <c r="C320" s="217"/>
      <c r="D320" s="108">
        <v>3.65</v>
      </c>
      <c r="E320" s="108"/>
      <c r="F320" s="153"/>
      <c r="G320" s="128"/>
      <c r="H320" s="226">
        <f t="shared" ref="H320:H329" si="145">D320*G320</f>
        <v>0</v>
      </c>
      <c r="I320" s="129"/>
      <c r="J320" s="130" t="str">
        <f t="array" ref="J320">IF(ISERROR(G320/I320),"",G320/I320)</f>
        <v/>
      </c>
      <c r="K320" s="226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219"/>
      <c r="P320" s="219"/>
      <c r="Q320" s="219"/>
      <c r="R320" s="219"/>
      <c r="S320" s="219"/>
      <c r="T320" s="219"/>
      <c r="U320" s="219"/>
      <c r="V320" s="132">
        <f t="shared" ref="V320:V323" si="148">SUM(X320:AA320)</f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217"/>
      <c r="D321" s="108">
        <v>6.58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217"/>
      <c r="D322" s="108">
        <v>7.8</v>
      </c>
      <c r="E322" s="108"/>
      <c r="F322" s="127"/>
      <c r="G322" s="128"/>
      <c r="H322" s="226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219"/>
      <c r="P322" s="219"/>
      <c r="Q322" s="219"/>
      <c r="R322" s="219"/>
      <c r="S322" s="219"/>
      <c r="T322" s="219"/>
      <c r="U322" s="219"/>
      <c r="V322" s="132">
        <f t="shared" si="148"/>
        <v>0</v>
      </c>
      <c r="W322" s="133" t="str">
        <f t="shared" si="140"/>
        <v/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217"/>
      <c r="D323" s="108">
        <v>4.4000000000000004</v>
      </c>
      <c r="E323" s="108"/>
      <c r="F323" s="127"/>
      <c r="G323" s="128"/>
      <c r="H323" s="22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219"/>
      <c r="P323" s="219"/>
      <c r="Q323" s="219"/>
      <c r="R323" s="219"/>
      <c r="S323" s="219"/>
      <c r="T323" s="219"/>
      <c r="U323" s="219"/>
      <c r="V323" s="132">
        <f t="shared" si="148"/>
        <v>0</v>
      </c>
      <c r="W323" s="133" t="str">
        <f t="shared" si="140"/>
        <v/>
      </c>
      <c r="X323" s="132"/>
      <c r="Y323" s="132"/>
      <c r="Z323" s="132"/>
      <c r="AA323" s="132"/>
    </row>
    <row r="324" spans="1:27" ht="20.100000000000001" customHeight="1">
      <c r="A324" s="299">
        <v>30700001</v>
      </c>
      <c r="B324" s="127" t="s">
        <v>359</v>
      </c>
      <c r="C324" s="217"/>
      <c r="D324" s="108"/>
      <c r="E324" s="108"/>
      <c r="F324" s="127"/>
      <c r="G324" s="128"/>
      <c r="H324" s="292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219"/>
      <c r="P324" s="219"/>
      <c r="Q324" s="219"/>
      <c r="R324" s="219"/>
      <c r="S324" s="219"/>
      <c r="T324" s="219"/>
      <c r="U324" s="219"/>
      <c r="V324" s="132"/>
      <c r="W324" s="133"/>
      <c r="X324" s="132"/>
      <c r="Y324" s="132"/>
      <c r="Z324" s="132"/>
      <c r="AA324" s="132"/>
    </row>
    <row r="325" spans="1:27" ht="20.100000000000001" customHeight="1">
      <c r="A325" s="305"/>
      <c r="B325" s="217" t="s">
        <v>239</v>
      </c>
      <c r="C325" s="217" t="s">
        <v>179</v>
      </c>
      <c r="D325" s="108">
        <v>6.04</v>
      </c>
      <c r="E325" s="108"/>
      <c r="F325" s="127"/>
      <c r="G325" s="128"/>
      <c r="H325" s="292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219"/>
      <c r="P325" s="219"/>
      <c r="Q325" s="219"/>
      <c r="R325" s="219"/>
      <c r="S325" s="219"/>
      <c r="T325" s="219"/>
      <c r="U325" s="219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customHeight="1">
      <c r="A326" s="305">
        <v>30700019</v>
      </c>
      <c r="B326" s="217" t="s">
        <v>239</v>
      </c>
      <c r="C326" s="217" t="s">
        <v>186</v>
      </c>
      <c r="D326" s="108">
        <v>6.04</v>
      </c>
      <c r="E326" s="108"/>
      <c r="F326" s="127"/>
      <c r="G326" s="128"/>
      <c r="H326" s="292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219"/>
      <c r="P326" s="219"/>
      <c r="Q326" s="219"/>
      <c r="R326" s="219"/>
      <c r="S326" s="219"/>
      <c r="T326" s="219"/>
      <c r="U326" s="219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customHeight="1">
      <c r="A327" s="305">
        <v>30601015</v>
      </c>
      <c r="B327" s="277" t="s">
        <v>444</v>
      </c>
      <c r="C327" s="277" t="s">
        <v>179</v>
      </c>
      <c r="D327" s="108">
        <v>6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78"/>
      <c r="P327" s="278"/>
      <c r="Q327" s="278"/>
      <c r="R327" s="278"/>
      <c r="S327" s="278"/>
      <c r="T327" s="278"/>
      <c r="U327" s="278"/>
      <c r="V327" s="132"/>
      <c r="W327" s="133"/>
      <c r="X327" s="132"/>
      <c r="Y327" s="132"/>
      <c r="Z327" s="132"/>
      <c r="AA327" s="132"/>
    </row>
    <row r="328" spans="1:27" ht="20.100000000000001" customHeight="1">
      <c r="A328" s="305">
        <v>30101016</v>
      </c>
      <c r="B328" s="282" t="s">
        <v>443</v>
      </c>
      <c r="C328" s="282" t="s">
        <v>445</v>
      </c>
      <c r="D328" s="108">
        <v>6</v>
      </c>
      <c r="E328" s="108"/>
      <c r="F328" s="127"/>
      <c r="G328" s="128"/>
      <c r="H328" s="292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219"/>
      <c r="P328" s="219"/>
      <c r="Q328" s="219"/>
      <c r="R328" s="219"/>
      <c r="S328" s="219"/>
      <c r="T328" s="219"/>
      <c r="U328" s="219"/>
      <c r="V328" s="132"/>
      <c r="W328" s="133"/>
      <c r="X328" s="132"/>
      <c r="Y328" s="132"/>
      <c r="Z328" s="132"/>
      <c r="AA328" s="132"/>
    </row>
    <row r="329" spans="1:27" ht="20.100000000000001" customHeight="1">
      <c r="A329" s="299">
        <v>30700018</v>
      </c>
      <c r="B329" s="291" t="s">
        <v>240</v>
      </c>
      <c r="C329" s="126"/>
      <c r="D329" s="108">
        <v>7.3</v>
      </c>
      <c r="E329" s="108"/>
      <c r="F329" s="127"/>
      <c r="G329" s="128"/>
      <c r="H329" s="292">
        <f t="shared" si="145"/>
        <v>0</v>
      </c>
      <c r="I329" s="129"/>
      <c r="J329" s="130"/>
      <c r="K329" s="131"/>
      <c r="L329" s="129"/>
      <c r="M329" s="109"/>
      <c r="N329" s="130"/>
      <c r="O329" s="293"/>
      <c r="P329" s="293"/>
      <c r="Q329" s="293"/>
      <c r="R329" s="293"/>
      <c r="S329" s="293"/>
      <c r="T329" s="293"/>
      <c r="U329" s="293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30700010</v>
      </c>
      <c r="B330" s="291" t="s">
        <v>241</v>
      </c>
      <c r="C330" s="126"/>
      <c r="D330" s="108">
        <f>78*120/1000</f>
        <v>9.36</v>
      </c>
      <c r="E330" s="108"/>
      <c r="F330" s="127"/>
      <c r="G330" s="128"/>
      <c r="H330" s="255">
        <f t="shared" ref="H330:H333" si="153">D330*G330</f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219"/>
      <c r="P330" s="219"/>
      <c r="Q330" s="219"/>
      <c r="R330" s="219"/>
      <c r="S330" s="219"/>
      <c r="T330" s="219"/>
      <c r="U330" s="21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customHeight="1">
      <c r="A331" s="299">
        <v>30700015</v>
      </c>
      <c r="B331" s="291" t="s">
        <v>242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299">
        <v>30700012</v>
      </c>
      <c r="B332" s="291" t="s">
        <v>243</v>
      </c>
      <c r="C332" s="126"/>
      <c r="D332" s="108">
        <v>4.5</v>
      </c>
      <c r="E332" s="108"/>
      <c r="F332" s="127"/>
      <c r="G332" s="128"/>
      <c r="H332" s="255">
        <f t="shared" si="153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219"/>
      <c r="P332" s="219"/>
      <c r="Q332" s="219"/>
      <c r="R332" s="219"/>
      <c r="S332" s="219"/>
      <c r="T332" s="219"/>
      <c r="U332" s="219"/>
      <c r="V332" s="132"/>
      <c r="W332" s="133"/>
      <c r="X332" s="132"/>
      <c r="Y332" s="132"/>
      <c r="Z332" s="132"/>
      <c r="AA332" s="132"/>
    </row>
    <row r="333" spans="1:27" ht="20.10000000000000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255">
        <f t="shared" si="153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219"/>
      <c r="P333" s="219"/>
      <c r="Q333" s="219"/>
      <c r="R333" s="219"/>
      <c r="S333" s="219"/>
      <c r="T333" s="219"/>
      <c r="U333" s="219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224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0</v>
      </c>
      <c r="H335" s="154">
        <f>SUM(H199,H257,H292,H308,H319,H334)</f>
        <v>0</v>
      </c>
      <c r="I335" s="154">
        <f>SUM(I199,I257,I292,I308,I319,I334)</f>
        <v>0</v>
      </c>
      <c r="J335" s="155" t="str">
        <f t="array" ref="J335">IF(ISERROR(G335/I335),"",G335/I335)</f>
        <v/>
      </c>
      <c r="K335" s="154">
        <f>SUM(K199,K257,K292,K308,K319,K334)</f>
        <v>0</v>
      </c>
      <c r="L335" s="155" t="str">
        <f>IF(ISERROR(G335/K335),"",G335/K335)</f>
        <v/>
      </c>
      <c r="M335" s="154">
        <f t="shared" ref="M335:AA335" si="158">SUM(M199,M257,M292,M308,M319,M334)</f>
        <v>0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3" t="s">
        <v>476</v>
      </c>
      <c r="B336" s="222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222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222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222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222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222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222">
        <f>G335</f>
        <v>0</v>
      </c>
      <c r="C342" s="638" t="s">
        <v>269</v>
      </c>
      <c r="D342" s="639"/>
      <c r="E342" s="631">
        <f>H335</f>
        <v>0</v>
      </c>
      <c r="F342" s="631"/>
      <c r="G342" s="631" t="s">
        <v>270</v>
      </c>
      <c r="H342" s="631"/>
      <c r="I342" s="640" t="str">
        <f>L335</f>
        <v/>
      </c>
      <c r="J342" s="640"/>
      <c r="K342" s="628" t="s">
        <v>271</v>
      </c>
      <c r="L342" s="628"/>
      <c r="M342" s="640" t="str">
        <f>J335</f>
        <v/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222">
        <f>I335+C341</f>
        <v>2</v>
      </c>
      <c r="C343" s="641" t="s">
        <v>251</v>
      </c>
      <c r="D343" s="642"/>
      <c r="E343" s="643">
        <f>K335+I341</f>
        <v>30</v>
      </c>
      <c r="F343" s="643"/>
      <c r="G343" s="631" t="s">
        <v>274</v>
      </c>
      <c r="H343" s="631"/>
      <c r="I343" s="640">
        <f>B343-E343</f>
        <v>-28</v>
      </c>
      <c r="J343" s="640"/>
      <c r="K343" s="628" t="s">
        <v>275</v>
      </c>
      <c r="L343" s="628"/>
      <c r="M343" s="632">
        <f>IF(ISERROR(I343/E343),"",I343/E343)</f>
        <v>-0.93333333333333335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222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 t="str">
        <f t="array" ref="M344">IF(ISERROR(I344/B342),"",I344/B342)</f>
        <v/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157" t="s">
        <v>296</v>
      </c>
      <c r="H348" s="217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customHeight="1">
      <c r="A349" s="299">
        <v>30100030</v>
      </c>
      <c r="B349" s="218" t="s">
        <v>178</v>
      </c>
      <c r="C349" s="126" t="s">
        <v>179</v>
      </c>
      <c r="D349" s="108">
        <v>5.03</v>
      </c>
      <c r="E349" s="108"/>
      <c r="F349" s="127"/>
      <c r="G349" s="128"/>
      <c r="H349" s="226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69" si="160">IF(ISERROR(I349-K349),"",I349-K349)</f>
        <v>0</v>
      </c>
      <c r="N349" s="130">
        <f t="shared" ref="N349:N354" si="161">SUM(O349:U349)</f>
        <v>0</v>
      </c>
      <c r="O349" s="219"/>
      <c r="P349" s="219"/>
      <c r="Q349" s="219"/>
      <c r="R349" s="219"/>
      <c r="S349" s="219"/>
      <c r="T349" s="219"/>
      <c r="U349" s="21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226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219"/>
      <c r="P353" s="219"/>
      <c r="Q353" s="219"/>
      <c r="R353" s="219"/>
      <c r="S353" s="219"/>
      <c r="T353" s="219"/>
      <c r="U353" s="21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226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219"/>
      <c r="P354" s="219"/>
      <c r="Q354" s="219"/>
      <c r="R354" s="219"/>
      <c r="S354" s="219"/>
      <c r="T354" s="219"/>
      <c r="U354" s="21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226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219"/>
      <c r="P355" s="219"/>
      <c r="Q355" s="219"/>
      <c r="R355" s="219"/>
      <c r="S355" s="219"/>
      <c r="T355" s="219"/>
      <c r="U355" s="219"/>
      <c r="V355" s="132"/>
      <c r="W355" s="133"/>
      <c r="X355" s="132"/>
      <c r="Y355" s="132"/>
      <c r="Z355" s="132"/>
      <c r="AA355" s="132"/>
    </row>
    <row r="356" spans="1:27" ht="20.10000000000000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226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219"/>
      <c r="P356" s="219"/>
      <c r="Q356" s="219"/>
      <c r="R356" s="219"/>
      <c r="S356" s="219"/>
      <c r="T356" s="219"/>
      <c r="U356" s="219"/>
      <c r="V356" s="132"/>
      <c r="W356" s="133"/>
      <c r="X356" s="132"/>
      <c r="Y356" s="132"/>
      <c r="Z356" s="132"/>
      <c r="AA356" s="132"/>
    </row>
    <row r="357" spans="1:27" ht="20.10000000000000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226">
        <f t="shared" si="159"/>
        <v>0</v>
      </c>
      <c r="I357" s="22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219"/>
      <c r="P357" s="219"/>
      <c r="Q357" s="219"/>
      <c r="R357" s="219"/>
      <c r="S357" s="219"/>
      <c r="T357" s="219"/>
      <c r="U357" s="21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226">
        <f t="shared" si="159"/>
        <v>0</v>
      </c>
      <c r="I358" s="22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219"/>
      <c r="P358" s="219"/>
      <c r="Q358" s="219"/>
      <c r="R358" s="219"/>
      <c r="S358" s="219"/>
      <c r="T358" s="219"/>
      <c r="U358" s="21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292">
        <f t="shared" si="159"/>
        <v>0</v>
      </c>
      <c r="I359" s="292"/>
      <c r="J359" s="130"/>
      <c r="K359" s="131"/>
      <c r="L359" s="129"/>
      <c r="M359" s="109"/>
      <c r="N359" s="130"/>
      <c r="O359" s="293"/>
      <c r="P359" s="293"/>
      <c r="Q359" s="293"/>
      <c r="R359" s="293"/>
      <c r="S359" s="293"/>
      <c r="T359" s="293"/>
      <c r="U359" s="293"/>
      <c r="V359" s="132"/>
      <c r="W359" s="133"/>
      <c r="X359" s="132"/>
      <c r="Y359" s="132"/>
      <c r="Z359" s="132"/>
      <c r="AA359" s="132"/>
    </row>
    <row r="360" spans="1:27" ht="20.10000000000000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292">
        <f t="shared" si="159"/>
        <v>0</v>
      </c>
      <c r="I360" s="292"/>
      <c r="J360" s="130"/>
      <c r="K360" s="131"/>
      <c r="L360" s="129"/>
      <c r="M360" s="109"/>
      <c r="N360" s="130"/>
      <c r="O360" s="293"/>
      <c r="P360" s="293"/>
      <c r="Q360" s="293"/>
      <c r="R360" s="293"/>
      <c r="S360" s="293"/>
      <c r="T360" s="293"/>
      <c r="U360" s="293"/>
      <c r="V360" s="132"/>
      <c r="W360" s="133"/>
      <c r="X360" s="132"/>
      <c r="Y360" s="132"/>
      <c r="Z360" s="132"/>
      <c r="AA360" s="132"/>
    </row>
    <row r="361" spans="1:27" ht="20.10000000000000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si="160"/>
        <v>0</v>
      </c>
      <c r="N361" s="130">
        <f t="shared" ref="N361:N363" si="164">SUM(O361:U361)</f>
        <v>0</v>
      </c>
      <c r="O361" s="219"/>
      <c r="P361" s="219"/>
      <c r="Q361" s="219"/>
      <c r="R361" s="219"/>
      <c r="S361" s="219"/>
      <c r="T361" s="219"/>
      <c r="U361" s="219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292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0"/>
        <v>0</v>
      </c>
      <c r="N362" s="130">
        <f t="shared" si="164"/>
        <v>0</v>
      </c>
      <c r="O362" s="219"/>
      <c r="P362" s="219"/>
      <c r="Q362" s="219"/>
      <c r="R362" s="219"/>
      <c r="S362" s="219"/>
      <c r="T362" s="219"/>
      <c r="U362" s="219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292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0"/>
        <v>0</v>
      </c>
      <c r="N363" s="130">
        <f t="shared" si="164"/>
        <v>0</v>
      </c>
      <c r="O363" s="219"/>
      <c r="P363" s="219"/>
      <c r="Q363" s="219"/>
      <c r="R363" s="219"/>
      <c r="S363" s="219"/>
      <c r="T363" s="219"/>
      <c r="U363" s="219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customHeight="1">
      <c r="A364" s="300">
        <v>30100003</v>
      </c>
      <c r="B364" s="141" t="s">
        <v>198</v>
      </c>
      <c r="C364" s="217" t="s">
        <v>190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30100004</v>
      </c>
      <c r="B365" s="141" t="s">
        <v>198</v>
      </c>
      <c r="C365" s="217" t="s">
        <v>187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30100006</v>
      </c>
      <c r="B366" s="141" t="s">
        <v>198</v>
      </c>
      <c r="C366" s="217" t="s">
        <v>179</v>
      </c>
      <c r="D366" s="108">
        <v>4.8</v>
      </c>
      <c r="E366" s="108"/>
      <c r="F366" s="127"/>
      <c r="G366" s="128"/>
      <c r="H366" s="226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0"/>
        <v>0</v>
      </c>
      <c r="N366" s="130"/>
      <c r="O366" s="219"/>
      <c r="P366" s="219"/>
      <c r="Q366" s="219"/>
      <c r="R366" s="219"/>
      <c r="S366" s="219"/>
      <c r="T366" s="219"/>
      <c r="U366" s="219"/>
      <c r="V366" s="132"/>
      <c r="W366" s="133"/>
      <c r="X366" s="132"/>
      <c r="Y366" s="132"/>
      <c r="Z366" s="132"/>
      <c r="AA366" s="132"/>
    </row>
    <row r="367" spans="1:27" ht="20.100000000000001" customHeight="1">
      <c r="A367" s="300">
        <v>30100005</v>
      </c>
      <c r="B367" s="141" t="s">
        <v>198</v>
      </c>
      <c r="C367" s="217" t="s">
        <v>199</v>
      </c>
      <c r="D367" s="108">
        <v>4.8</v>
      </c>
      <c r="E367" s="108"/>
      <c r="F367" s="127"/>
      <c r="G367" s="128"/>
      <c r="H367" s="226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0"/>
        <v>0</v>
      </c>
      <c r="N367" s="130"/>
      <c r="O367" s="219"/>
      <c r="P367" s="219"/>
      <c r="Q367" s="219"/>
      <c r="R367" s="219"/>
      <c r="S367" s="219"/>
      <c r="T367" s="219"/>
      <c r="U367" s="219"/>
      <c r="V367" s="132"/>
      <c r="W367" s="133"/>
      <c r="X367" s="132"/>
      <c r="Y367" s="132"/>
      <c r="Z367" s="132"/>
      <c r="AA367" s="132"/>
    </row>
    <row r="368" spans="1:27" ht="20.10000000000000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226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0"/>
        <v>0</v>
      </c>
      <c r="N368" s="130">
        <f t="shared" ref="N368:N369" si="167">SUM(O368:U368)</f>
        <v>0</v>
      </c>
      <c r="O368" s="219"/>
      <c r="P368" s="219"/>
      <c r="Q368" s="219"/>
      <c r="R368" s="219"/>
      <c r="S368" s="219"/>
      <c r="T368" s="219"/>
      <c r="U368" s="219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226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0"/>
        <v>0</v>
      </c>
      <c r="N369" s="130">
        <f t="shared" si="167"/>
        <v>0</v>
      </c>
      <c r="O369" s="219"/>
      <c r="P369" s="219"/>
      <c r="Q369" s="219"/>
      <c r="R369" s="219"/>
      <c r="S369" s="219"/>
      <c r="T369" s="219"/>
      <c r="U369" s="219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customHeight="1">
      <c r="A370" s="618" t="s">
        <v>201</v>
      </c>
      <c r="B370" s="619"/>
      <c r="C370" s="22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customHeight="1">
      <c r="A371" s="300">
        <v>30100012</v>
      </c>
      <c r="B371" s="218" t="s">
        <v>206</v>
      </c>
      <c r="C371" s="126" t="s">
        <v>199</v>
      </c>
      <c r="D371" s="108">
        <v>5.03</v>
      </c>
      <c r="E371" s="108"/>
      <c r="F371" s="127"/>
      <c r="G371" s="128"/>
      <c r="H371" s="226">
        <f t="shared" ref="H371:H378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378" si="172">IF(ISERROR(I371-K371),"",I371-K371)</f>
        <v>0</v>
      </c>
      <c r="N371" s="130">
        <f t="shared" ref="N371:N375" si="173">SUM(O371:U371)</f>
        <v>0</v>
      </c>
      <c r="O371" s="221"/>
      <c r="P371" s="221"/>
      <c r="Q371" s="221"/>
      <c r="R371" s="221"/>
      <c r="S371" s="221"/>
      <c r="T371" s="221"/>
      <c r="U371" s="221"/>
      <c r="V371" s="132">
        <f t="shared" ref="V371:V375" si="174">SUM(X371:AA371)</f>
        <v>0</v>
      </c>
      <c r="W371" s="133" t="str">
        <f t="shared" ref="W371:W375" si="175">IF(ISERROR(V371/G371),"",V371/G371)</f>
        <v/>
      </c>
      <c r="X371" s="132"/>
      <c r="Y371" s="132"/>
      <c r="Z371" s="132"/>
      <c r="AA371" s="132"/>
    </row>
    <row r="372" spans="1:27" ht="20.100000000000001" customHeight="1">
      <c r="A372" s="300">
        <v>30100011</v>
      </c>
      <c r="B372" s="236" t="s">
        <v>431</v>
      </c>
      <c r="C372" s="187" t="s">
        <v>432</v>
      </c>
      <c r="D372" s="108">
        <v>5.03</v>
      </c>
      <c r="E372" s="108"/>
      <c r="F372" s="127"/>
      <c r="G372" s="128"/>
      <c r="H372" s="239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238"/>
      <c r="P372" s="238"/>
      <c r="Q372" s="238"/>
      <c r="R372" s="238"/>
      <c r="S372" s="238"/>
      <c r="T372" s="238"/>
      <c r="U372" s="238"/>
      <c r="V372" s="132"/>
      <c r="W372" s="133"/>
      <c r="X372" s="132"/>
      <c r="Y372" s="132"/>
      <c r="Z372" s="132"/>
      <c r="AA372" s="132"/>
    </row>
    <row r="373" spans="1:27" ht="20.100000000000001" customHeight="1">
      <c r="A373" s="300">
        <v>30100010</v>
      </c>
      <c r="B373" s="218" t="s">
        <v>206</v>
      </c>
      <c r="C373" s="126" t="s">
        <v>186</v>
      </c>
      <c r="D373" s="108">
        <v>5.03</v>
      </c>
      <c r="E373" s="108"/>
      <c r="F373" s="127"/>
      <c r="G373" s="128"/>
      <c r="H373" s="23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30100014</v>
      </c>
      <c r="B374" s="218" t="s">
        <v>206</v>
      </c>
      <c r="C374" s="126" t="s">
        <v>203</v>
      </c>
      <c r="D374" s="108">
        <v>5.03</v>
      </c>
      <c r="E374" s="108"/>
      <c r="F374" s="127"/>
      <c r="G374" s="128"/>
      <c r="H374" s="226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>
        <f t="shared" si="173"/>
        <v>0</v>
      </c>
      <c r="O374" s="221"/>
      <c r="P374" s="221"/>
      <c r="Q374" s="221"/>
      <c r="R374" s="221"/>
      <c r="S374" s="221"/>
      <c r="T374" s="221"/>
      <c r="U374" s="221"/>
      <c r="V374" s="132">
        <f t="shared" si="174"/>
        <v>0</v>
      </c>
      <c r="W374" s="133" t="str">
        <f t="shared" si="175"/>
        <v/>
      </c>
      <c r="X374" s="132"/>
      <c r="Y374" s="132"/>
      <c r="Z374" s="132"/>
      <c r="AA374" s="132"/>
    </row>
    <row r="375" spans="1:27" ht="20.100000000000001" customHeight="1">
      <c r="A375" s="300">
        <v>30100013</v>
      </c>
      <c r="B375" s="218" t="s">
        <v>206</v>
      </c>
      <c r="C375" s="126" t="s">
        <v>207</v>
      </c>
      <c r="D375" s="108">
        <v>5.03</v>
      </c>
      <c r="E375" s="108"/>
      <c r="F375" s="127"/>
      <c r="G375" s="128"/>
      <c r="H375" s="226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>
        <f t="shared" si="173"/>
        <v>0</v>
      </c>
      <c r="O375" s="221"/>
      <c r="P375" s="221"/>
      <c r="Q375" s="221"/>
      <c r="R375" s="221"/>
      <c r="S375" s="221"/>
      <c r="T375" s="221"/>
      <c r="U375" s="221"/>
      <c r="V375" s="132">
        <f t="shared" si="174"/>
        <v>0</v>
      </c>
      <c r="W375" s="133" t="str">
        <f t="shared" si="175"/>
        <v/>
      </c>
      <c r="X375" s="132"/>
      <c r="Y375" s="132"/>
      <c r="Z375" s="132"/>
      <c r="AA375" s="132"/>
    </row>
    <row r="376" spans="1:27" ht="20.100000000000001" customHeight="1">
      <c r="A376" s="300">
        <v>30100016</v>
      </c>
      <c r="B376" s="218" t="s">
        <v>414</v>
      </c>
      <c r="C376" s="187" t="s">
        <v>415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30100017</v>
      </c>
      <c r="B377" s="218" t="s">
        <v>414</v>
      </c>
      <c r="C377" s="187" t="s">
        <v>416</v>
      </c>
      <c r="D377" s="108"/>
      <c r="E377" s="108"/>
      <c r="F377" s="127"/>
      <c r="G377" s="128"/>
      <c r="H377" s="239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2"/>
        <v>0</v>
      </c>
      <c r="N377" s="130"/>
      <c r="O377" s="221"/>
      <c r="P377" s="221"/>
      <c r="Q377" s="221"/>
      <c r="R377" s="221"/>
      <c r="S377" s="221"/>
      <c r="T377" s="221"/>
      <c r="U377" s="221"/>
      <c r="V377" s="132"/>
      <c r="W377" s="133"/>
      <c r="X377" s="132"/>
      <c r="Y377" s="132"/>
      <c r="Z377" s="132"/>
      <c r="AA377" s="132"/>
    </row>
    <row r="378" spans="1:27" ht="20.100000000000001" customHeight="1">
      <c r="A378" s="300">
        <v>30100015</v>
      </c>
      <c r="B378" s="218" t="s">
        <v>414</v>
      </c>
      <c r="C378" s="187" t="s">
        <v>61</v>
      </c>
      <c r="D378" s="108"/>
      <c r="E378" s="108"/>
      <c r="F378" s="127"/>
      <c r="G378" s="128"/>
      <c r="H378" s="239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2"/>
        <v>0</v>
      </c>
      <c r="N378" s="130"/>
      <c r="O378" s="221"/>
      <c r="P378" s="221"/>
      <c r="Q378" s="221"/>
      <c r="R378" s="221"/>
      <c r="S378" s="221"/>
      <c r="T378" s="221"/>
      <c r="U378" s="221"/>
      <c r="V378" s="132"/>
      <c r="W378" s="133"/>
      <c r="X378" s="132"/>
      <c r="Y378" s="132"/>
      <c r="Z378" s="132"/>
      <c r="AA378" s="132"/>
    </row>
    <row r="379" spans="1:27" ht="20.100000000000001" customHeight="1">
      <c r="A379" s="300">
        <v>30100027</v>
      </c>
      <c r="B379" s="218" t="s">
        <v>208</v>
      </c>
      <c r="C379" s="126" t="s">
        <v>179</v>
      </c>
      <c r="D379" s="108">
        <v>5.08</v>
      </c>
      <c r="E379" s="108"/>
      <c r="F379" s="127"/>
      <c r="G379" s="128"/>
      <c r="H379" s="226">
        <f t="shared" ref="H379:H427" si="176">D379*G379</f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ref="M379:M398" si="177">IF(ISERROR(I379-K379),"",I379-K379)</f>
        <v>0</v>
      </c>
      <c r="N379" s="130">
        <f t="shared" ref="N379:N394" si="178">SUM(O379:U379)</f>
        <v>0</v>
      </c>
      <c r="O379" s="221"/>
      <c r="P379" s="221"/>
      <c r="Q379" s="221"/>
      <c r="R379" s="221"/>
      <c r="S379" s="221"/>
      <c r="T379" s="221"/>
      <c r="U379" s="221"/>
      <c r="V379" s="132">
        <f t="shared" ref="V379:V390" si="179">SUM(X379:AA379)</f>
        <v>0</v>
      </c>
      <c r="W379" s="133" t="str">
        <f t="shared" ref="W379:W390" si="180">IF(ISERROR(V379/G379),"",V379/G379)</f>
        <v/>
      </c>
      <c r="X379" s="132"/>
      <c r="Y379" s="132"/>
      <c r="Z379" s="132"/>
      <c r="AA379" s="132"/>
    </row>
    <row r="380" spans="1:27" ht="20.100000000000001" customHeight="1">
      <c r="A380" s="300">
        <v>30100023</v>
      </c>
      <c r="B380" s="218" t="s">
        <v>208</v>
      </c>
      <c r="C380" s="126" t="s">
        <v>204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30100024</v>
      </c>
      <c r="B381" s="218" t="s">
        <v>208</v>
      </c>
      <c r="C381" s="126" t="s">
        <v>205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30100022</v>
      </c>
      <c r="B382" s="218" t="s">
        <v>208</v>
      </c>
      <c r="C382" s="126" t="s">
        <v>186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21"/>
      <c r="P382" s="221"/>
      <c r="Q382" s="221"/>
      <c r="R382" s="221"/>
      <c r="S382" s="221"/>
      <c r="T382" s="221"/>
      <c r="U382" s="221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30100029</v>
      </c>
      <c r="B383" s="218" t="s">
        <v>208</v>
      </c>
      <c r="C383" s="126" t="s">
        <v>203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30100026</v>
      </c>
      <c r="B384" s="218" t="s">
        <v>208</v>
      </c>
      <c r="C384" s="126" t="s">
        <v>199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30100025</v>
      </c>
      <c r="B385" s="218" t="s">
        <v>208</v>
      </c>
      <c r="C385" s="126" t="s">
        <v>187</v>
      </c>
      <c r="D385" s="108">
        <v>5.08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30100028</v>
      </c>
      <c r="B386" s="218" t="s">
        <v>208</v>
      </c>
      <c r="C386" s="126" t="s">
        <v>207</v>
      </c>
      <c r="D386" s="108">
        <v>5.08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78"/>
        <v>0</v>
      </c>
      <c r="O386" s="219"/>
      <c r="P386" s="219"/>
      <c r="Q386" s="219"/>
      <c r="R386" s="219"/>
      <c r="S386" s="219"/>
      <c r="T386" s="219"/>
      <c r="U386" s="219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30100032</v>
      </c>
      <c r="B387" s="218" t="s">
        <v>209</v>
      </c>
      <c r="C387" s="126" t="s">
        <v>194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30100033</v>
      </c>
      <c r="B388" s="218" t="s">
        <v>209</v>
      </c>
      <c r="C388" s="126" t="s">
        <v>179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30100062</v>
      </c>
      <c r="B389" s="218" t="s">
        <v>209</v>
      </c>
      <c r="C389" s="126" t="s">
        <v>195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>
        <f t="shared" si="179"/>
        <v>0</v>
      </c>
      <c r="W389" s="133" t="str">
        <f t="shared" si="180"/>
        <v/>
      </c>
      <c r="X389" s="132"/>
      <c r="Y389" s="132"/>
      <c r="Z389" s="132"/>
      <c r="AA389" s="132"/>
    </row>
    <row r="390" spans="1:27" ht="20.100000000000001" customHeight="1">
      <c r="A390" s="300">
        <v>30100031</v>
      </c>
      <c r="B390" s="218" t="s">
        <v>209</v>
      </c>
      <c r="C390" s="126" t="s">
        <v>204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>
        <f t="shared" si="179"/>
        <v>0</v>
      </c>
      <c r="W390" s="133" t="str">
        <f t="shared" si="180"/>
        <v/>
      </c>
      <c r="X390" s="132"/>
      <c r="Y390" s="132"/>
      <c r="Z390" s="132"/>
      <c r="AA390" s="132"/>
    </row>
    <row r="391" spans="1:27" ht="20.100000000000001" customHeight="1">
      <c r="A391" s="300">
        <v>30100019</v>
      </c>
      <c r="B391" s="218" t="s">
        <v>382</v>
      </c>
      <c r="C391" s="187" t="s">
        <v>383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30100020</v>
      </c>
      <c r="B392" s="218" t="s">
        <v>382</v>
      </c>
      <c r="C392" s="187" t="s">
        <v>384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0">
        <v>30100021</v>
      </c>
      <c r="B393" s="218" t="s">
        <v>382</v>
      </c>
      <c r="C393" s="187" t="s">
        <v>389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78"/>
        <v>0</v>
      </c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0">
        <v>30100018</v>
      </c>
      <c r="B394" s="218" t="s">
        <v>382</v>
      </c>
      <c r="C394" s="187" t="s">
        <v>391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78"/>
        <v>0</v>
      </c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30700007</v>
      </c>
      <c r="B395" s="230" t="s">
        <v>418</v>
      </c>
      <c r="C395" s="187" t="s">
        <v>364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30700006</v>
      </c>
      <c r="B396" s="230" t="s">
        <v>418</v>
      </c>
      <c r="C396" s="187" t="s">
        <v>365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3">
        <v>30700008</v>
      </c>
      <c r="B397" s="230" t="s">
        <v>418</v>
      </c>
      <c r="C397" s="187" t="s">
        <v>366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221"/>
      <c r="P397" s="221"/>
      <c r="Q397" s="221"/>
      <c r="R397" s="221"/>
      <c r="S397" s="221"/>
      <c r="T397" s="221"/>
      <c r="U397" s="221"/>
      <c r="V397" s="132"/>
      <c r="W397" s="133"/>
      <c r="X397" s="132"/>
      <c r="Y397" s="132"/>
      <c r="Z397" s="132"/>
      <c r="AA397" s="132"/>
    </row>
    <row r="398" spans="1:27" ht="20.100000000000001" customHeight="1">
      <c r="A398" s="303">
        <v>30700009</v>
      </c>
      <c r="B398" s="230" t="s">
        <v>418</v>
      </c>
      <c r="C398" s="187" t="s">
        <v>367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221"/>
      <c r="P398" s="221"/>
      <c r="Q398" s="221"/>
      <c r="R398" s="221"/>
      <c r="S398" s="221"/>
      <c r="T398" s="221"/>
      <c r="U398" s="221"/>
      <c r="V398" s="132"/>
      <c r="W398" s="133"/>
      <c r="X398" s="132"/>
      <c r="Y398" s="132"/>
      <c r="Z398" s="132"/>
      <c r="AA398" s="132"/>
    </row>
    <row r="399" spans="1:27" ht="20.10000000000000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ref="M399:M408" si="181">IF(ISERROR(I399-K399),"",I399-K399)</f>
        <v>0</v>
      </c>
      <c r="N399" s="130">
        <f t="shared" ref="N399:N408" si="182">SUM(O399:U399)</f>
        <v>0</v>
      </c>
      <c r="O399" s="219"/>
      <c r="P399" s="219"/>
      <c r="Q399" s="219"/>
      <c r="R399" s="219"/>
      <c r="S399" s="219"/>
      <c r="T399" s="219"/>
      <c r="U399" s="21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226">
        <f t="shared" si="176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81"/>
        <v>0</v>
      </c>
      <c r="N407" s="130">
        <f t="shared" si="182"/>
        <v>0</v>
      </c>
      <c r="O407" s="219"/>
      <c r="P407" s="219"/>
      <c r="Q407" s="219"/>
      <c r="R407" s="219"/>
      <c r="S407" s="219"/>
      <c r="T407" s="219"/>
      <c r="U407" s="21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226">
        <f t="shared" si="176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81"/>
        <v>0</v>
      </c>
      <c r="N408" s="130">
        <f t="shared" si="182"/>
        <v>0</v>
      </c>
      <c r="O408" s="219"/>
      <c r="P408" s="219"/>
      <c r="Q408" s="219"/>
      <c r="R408" s="219"/>
      <c r="S408" s="219"/>
      <c r="T408" s="219"/>
      <c r="U408" s="21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customHeight="1">
      <c r="A409" s="300">
        <v>30100043</v>
      </c>
      <c r="B409" s="134" t="s">
        <v>433</v>
      </c>
      <c r="C409" s="187" t="s">
        <v>432</v>
      </c>
      <c r="D409" s="108">
        <v>50.3</v>
      </c>
      <c r="E409" s="108"/>
      <c r="F409" s="127"/>
      <c r="G409" s="128"/>
      <c r="H409" s="239">
        <f t="shared" si="176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237"/>
      <c r="P409" s="237"/>
      <c r="Q409" s="237"/>
      <c r="R409" s="237"/>
      <c r="S409" s="237"/>
      <c r="T409" s="237"/>
      <c r="U409" s="237"/>
      <c r="V409" s="132"/>
      <c r="W409" s="133"/>
      <c r="X409" s="132"/>
      <c r="Y409" s="132"/>
      <c r="Z409" s="132"/>
      <c r="AA409" s="132"/>
    </row>
    <row r="410" spans="1:27" ht="20.10000000000000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226">
        <f t="shared" si="176"/>
        <v>0</v>
      </c>
      <c r="I410" s="129"/>
      <c r="J410" s="130"/>
      <c r="K410" s="131"/>
      <c r="L410" s="129">
        <v>50</v>
      </c>
      <c r="M410" s="109"/>
      <c r="N410" s="130"/>
      <c r="O410" s="219"/>
      <c r="P410" s="219"/>
      <c r="Q410" s="219"/>
      <c r="R410" s="219"/>
      <c r="S410" s="219"/>
      <c r="T410" s="219"/>
      <c r="U410" s="219"/>
      <c r="V410" s="132"/>
      <c r="W410" s="133"/>
      <c r="X410" s="132"/>
      <c r="Y410" s="132"/>
      <c r="Z410" s="132"/>
      <c r="AA410" s="132"/>
    </row>
    <row r="411" spans="1:27" ht="20.10000000000000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226">
        <f t="shared" si="176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219"/>
      <c r="P411" s="219"/>
      <c r="Q411" s="219"/>
      <c r="R411" s="219"/>
      <c r="S411" s="219"/>
      <c r="T411" s="219"/>
      <c r="U411" s="21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219"/>
      <c r="P412" s="219"/>
      <c r="Q412" s="219"/>
      <c r="R412" s="219"/>
      <c r="S412" s="219"/>
      <c r="T412" s="219"/>
      <c r="U412" s="21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226">
        <f t="shared" si="176"/>
        <v>0</v>
      </c>
      <c r="I413" s="129"/>
      <c r="J413" s="130"/>
      <c r="K413" s="131"/>
      <c r="L413" s="129"/>
      <c r="M413" s="109"/>
      <c r="N413" s="130"/>
      <c r="O413" s="219"/>
      <c r="P413" s="219"/>
      <c r="Q413" s="219"/>
      <c r="R413" s="219"/>
      <c r="S413" s="219"/>
      <c r="T413" s="219"/>
      <c r="U413" s="219"/>
      <c r="V413" s="132"/>
      <c r="W413" s="133"/>
      <c r="X413" s="132"/>
      <c r="Y413" s="132"/>
      <c r="Z413" s="132"/>
      <c r="AA413" s="132"/>
    </row>
    <row r="414" spans="1:27" ht="20.10000000000000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219"/>
      <c r="P414" s="219"/>
      <c r="Q414" s="219"/>
      <c r="R414" s="219"/>
      <c r="S414" s="219"/>
      <c r="T414" s="219"/>
      <c r="U414" s="21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226">
        <f t="shared" si="176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219"/>
      <c r="P416" s="219"/>
      <c r="Q416" s="219"/>
      <c r="R416" s="219"/>
      <c r="S416" s="219"/>
      <c r="T416" s="219"/>
      <c r="U416" s="21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226">
        <f t="shared" si="176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219"/>
      <c r="P417" s="219"/>
      <c r="Q417" s="219"/>
      <c r="R417" s="219"/>
      <c r="S417" s="219"/>
      <c r="T417" s="219"/>
      <c r="U417" s="21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226">
        <f t="shared" si="176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219"/>
      <c r="P426" s="219"/>
      <c r="Q426" s="219"/>
      <c r="R426" s="219"/>
      <c r="S426" s="219"/>
      <c r="T426" s="219"/>
      <c r="U426" s="219"/>
      <c r="V426" s="132"/>
      <c r="W426" s="133"/>
      <c r="X426" s="132"/>
      <c r="Y426" s="132"/>
      <c r="Z426" s="132"/>
      <c r="AA426" s="132"/>
    </row>
    <row r="427" spans="1:27" ht="20.10000000000000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226">
        <f t="shared" si="176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219"/>
      <c r="P427" s="219"/>
      <c r="Q427" s="219"/>
      <c r="R427" s="219"/>
      <c r="S427" s="219"/>
      <c r="T427" s="219"/>
      <c r="U427" s="219"/>
      <c r="V427" s="132"/>
      <c r="W427" s="133"/>
      <c r="X427" s="132"/>
      <c r="Y427" s="132"/>
      <c r="Z427" s="132"/>
      <c r="AA427" s="132"/>
    </row>
    <row r="428" spans="1:27" ht="20.100000000000001" customHeight="1">
      <c r="A428" s="629" t="s">
        <v>216</v>
      </c>
      <c r="B428" s="629"/>
      <c r="C428" s="22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218" t="s">
        <v>217</v>
      </c>
      <c r="C429" s="126" t="s">
        <v>179</v>
      </c>
      <c r="D429" s="108">
        <v>5.03</v>
      </c>
      <c r="E429" s="108"/>
      <c r="F429" s="127"/>
      <c r="G429" s="128"/>
      <c r="H429" s="226">
        <f t="shared" ref="H429:H461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219"/>
      <c r="P429" s="219"/>
      <c r="Q429" s="219"/>
      <c r="R429" s="219"/>
      <c r="S429" s="219"/>
      <c r="T429" s="219"/>
      <c r="U429" s="21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218" t="s">
        <v>217</v>
      </c>
      <c r="C430" s="126" t="s">
        <v>186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218" t="s">
        <v>217</v>
      </c>
      <c r="C431" s="126" t="s">
        <v>204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219"/>
      <c r="P435" s="219"/>
      <c r="Q435" s="219"/>
      <c r="R435" s="219"/>
      <c r="S435" s="219"/>
      <c r="T435" s="219"/>
      <c r="U435" s="21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219"/>
      <c r="P436" s="219"/>
      <c r="Q436" s="219"/>
      <c r="R436" s="219"/>
      <c r="S436" s="219"/>
      <c r="T436" s="219"/>
      <c r="U436" s="219"/>
      <c r="V436" s="132"/>
      <c r="W436" s="133"/>
      <c r="X436" s="132"/>
      <c r="Y436" s="132"/>
      <c r="Z436" s="132"/>
      <c r="AA436" s="132"/>
    </row>
    <row r="437" spans="1:27" ht="20.10000000000000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219"/>
      <c r="P440" s="219"/>
      <c r="Q440" s="219"/>
      <c r="R440" s="219"/>
      <c r="S440" s="219"/>
      <c r="T440" s="219"/>
      <c r="U440" s="21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0" si="199">IF(ISERROR(I441-K441),"",I441-K441)</f>
        <v>0</v>
      </c>
      <c r="N441" s="130">
        <f t="shared" ref="N441:N456" si="200">SUM(O441:U441)</f>
        <v>0</v>
      </c>
      <c r="O441" s="219"/>
      <c r="P441" s="219"/>
      <c r="Q441" s="219"/>
      <c r="R441" s="219"/>
      <c r="S441" s="219"/>
      <c r="T441" s="219"/>
      <c r="U441" s="21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30600005</v>
      </c>
      <c r="B445" s="218" t="s">
        <v>222</v>
      </c>
      <c r="C445" s="126" t="s">
        <v>181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30600008</v>
      </c>
      <c r="B446" s="218" t="s">
        <v>222</v>
      </c>
      <c r="C446" s="126" t="s">
        <v>179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304">
        <v>30600007</v>
      </c>
      <c r="B447" s="218" t="s">
        <v>222</v>
      </c>
      <c r="C447" s="126" t="s">
        <v>221</v>
      </c>
      <c r="D447" s="108">
        <v>9.36</v>
      </c>
      <c r="E447" s="108"/>
      <c r="F447" s="127"/>
      <c r="G447" s="128"/>
      <c r="H447" s="22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customHeight="1">
      <c r="A448" s="304">
        <v>30600006</v>
      </c>
      <c r="B448" s="218" t="s">
        <v>222</v>
      </c>
      <c r="C448" s="126" t="s">
        <v>186</v>
      </c>
      <c r="D448" s="108">
        <v>9.36</v>
      </c>
      <c r="E448" s="108"/>
      <c r="F448" s="127"/>
      <c r="G448" s="128"/>
      <c r="H448" s="22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customHeight="1">
      <c r="A449" s="299">
        <v>30400026</v>
      </c>
      <c r="B449" s="218" t="s">
        <v>393</v>
      </c>
      <c r="C449" s="187" t="s">
        <v>395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>
        <v>30400028</v>
      </c>
      <c r="B450" s="218" t="s">
        <v>393</v>
      </c>
      <c r="C450" s="187" t="s">
        <v>402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30400027</v>
      </c>
      <c r="B451" s="218" t="s">
        <v>404</v>
      </c>
      <c r="C451" s="187" t="s">
        <v>405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/>
      <c r="B452" s="218" t="s">
        <v>342</v>
      </c>
      <c r="C452" s="187" t="s">
        <v>372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30600009</v>
      </c>
      <c r="B453" s="218" t="s">
        <v>343</v>
      </c>
      <c r="C453" s="126" t="s">
        <v>345</v>
      </c>
      <c r="D453" s="108">
        <v>5</v>
      </c>
      <c r="E453" s="108"/>
      <c r="F453" s="127"/>
      <c r="G453" s="128"/>
      <c r="H453" s="22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/>
      <c r="W453" s="133"/>
      <c r="X453" s="132"/>
      <c r="Y453" s="132"/>
      <c r="Z453" s="132"/>
      <c r="AA453" s="132"/>
    </row>
    <row r="454" spans="1:27" ht="20.100000000000001" customHeight="1">
      <c r="A454" s="299">
        <v>30600010</v>
      </c>
      <c r="B454" s="218" t="s">
        <v>343</v>
      </c>
      <c r="C454" s="126" t="s">
        <v>347</v>
      </c>
      <c r="D454" s="108">
        <v>5</v>
      </c>
      <c r="E454" s="108"/>
      <c r="F454" s="127"/>
      <c r="G454" s="128"/>
      <c r="H454" s="22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/>
      <c r="W454" s="133"/>
      <c r="X454" s="132"/>
      <c r="Y454" s="132"/>
      <c r="Z454" s="132"/>
      <c r="AA454" s="132"/>
    </row>
    <row r="455" spans="1:27" ht="20.10000000000000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22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219"/>
      <c r="P455" s="219"/>
      <c r="Q455" s="219"/>
      <c r="R455" s="219"/>
      <c r="S455" s="219"/>
      <c r="T455" s="219"/>
      <c r="U455" s="21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22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219"/>
      <c r="P456" s="219"/>
      <c r="Q456" s="219"/>
      <c r="R456" s="219"/>
      <c r="S456" s="219"/>
      <c r="T456" s="219"/>
      <c r="U456" s="21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customHeight="1">
      <c r="A457" s="299">
        <v>30400004</v>
      </c>
      <c r="B457" s="151" t="s">
        <v>419</v>
      </c>
      <c r="C457" s="187" t="s">
        <v>420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229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219"/>
      <c r="P458" s="219"/>
      <c r="Q458" s="219"/>
      <c r="R458" s="219"/>
      <c r="S458" s="219"/>
      <c r="T458" s="219"/>
      <c r="U458" s="219"/>
      <c r="V458" s="132"/>
      <c r="W458" s="133"/>
      <c r="X458" s="132"/>
      <c r="Y458" s="132"/>
      <c r="Z458" s="132"/>
      <c r="AA458" s="132"/>
    </row>
    <row r="459" spans="1:27" ht="20.10000000000000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229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219"/>
      <c r="P459" s="219"/>
      <c r="Q459" s="219"/>
      <c r="R459" s="219"/>
      <c r="S459" s="219"/>
      <c r="T459" s="219"/>
      <c r="U459" s="219"/>
      <c r="V459" s="132"/>
      <c r="W459" s="133"/>
      <c r="X459" s="132"/>
      <c r="Y459" s="132"/>
      <c r="Z459" s="132"/>
      <c r="AA459" s="132"/>
    </row>
    <row r="460" spans="1:27" ht="20.10000000000000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229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219"/>
      <c r="P460" s="219"/>
      <c r="Q460" s="219"/>
      <c r="R460" s="219"/>
      <c r="S460" s="219"/>
      <c r="T460" s="219"/>
      <c r="U460" s="219"/>
      <c r="V460" s="132">
        <f t="shared" ref="V460:V462" si="207">SUM(X460:AA460)</f>
        <v>0</v>
      </c>
      <c r="W460" s="133" t="str">
        <f t="shared" ref="W460:W476" si="208">IF(ISERROR(V460/G460),"",V460/G460)</f>
        <v/>
      </c>
      <c r="X460" s="132"/>
      <c r="Y460" s="132"/>
      <c r="Z460" s="132"/>
      <c r="AA460" s="132"/>
    </row>
    <row r="461" spans="1:27" ht="20.10000000000000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229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ref="M461:M462" si="209">IF(ISERROR(I461-K461),"",I461-K461)</f>
        <v>0</v>
      </c>
      <c r="N461" s="130">
        <f t="shared" si="206"/>
        <v>0</v>
      </c>
      <c r="O461" s="219"/>
      <c r="P461" s="219"/>
      <c r="Q461" s="219"/>
      <c r="R461" s="219"/>
      <c r="S461" s="219"/>
      <c r="T461" s="219"/>
      <c r="U461" s="21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226">
        <f t="shared" ref="H462" si="210">D462*G462</f>
        <v>0</v>
      </c>
      <c r="I462" s="129"/>
      <c r="J462" s="130" t="str">
        <f t="array" ref="J462">IF(ISERROR(G462/I462),"",G462/I462)</f>
        <v/>
      </c>
      <c r="K462" s="226">
        <f t="array" ref="K462">IF(ISERROR(G462/L462),"",G462/L462)</f>
        <v>0</v>
      </c>
      <c r="L462" s="129">
        <v>9</v>
      </c>
      <c r="M462" s="109">
        <f t="shared" si="209"/>
        <v>0</v>
      </c>
      <c r="N462" s="130">
        <f t="shared" si="206"/>
        <v>0</v>
      </c>
      <c r="O462" s="219"/>
      <c r="P462" s="219"/>
      <c r="Q462" s="219"/>
      <c r="R462" s="219"/>
      <c r="S462" s="219"/>
      <c r="T462" s="219"/>
      <c r="U462" s="21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224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08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226">
        <f t="shared" ref="H464:H476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6" si="213">IF(ISERROR(I464-K464),"",I464-K464)</f>
        <v>0</v>
      </c>
      <c r="N464" s="130">
        <f t="shared" ref="N464:N476" si="214">SUM(O464:U464)</f>
        <v>0</v>
      </c>
      <c r="O464" s="219"/>
      <c r="P464" s="219"/>
      <c r="Q464" s="219"/>
      <c r="R464" s="219"/>
      <c r="S464" s="219"/>
      <c r="T464" s="219"/>
      <c r="U464" s="219"/>
      <c r="V464" s="132">
        <f t="shared" ref="V464:V476" si="215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>
        <v>30100054</v>
      </c>
      <c r="B468" s="140" t="s">
        <v>227</v>
      </c>
      <c r="C468" s="223" t="s">
        <v>203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/>
      <c r="B471" s="140" t="s">
        <v>227</v>
      </c>
      <c r="C471" s="223" t="s">
        <v>228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30101067</v>
      </c>
      <c r="B472" s="140" t="s">
        <v>229</v>
      </c>
      <c r="C472" s="223" t="s">
        <v>212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30101068</v>
      </c>
      <c r="B473" s="140" t="s">
        <v>229</v>
      </c>
      <c r="C473" s="223" t="s">
        <v>203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30101069</v>
      </c>
      <c r="B474" s="140" t="s">
        <v>229</v>
      </c>
      <c r="C474" s="223" t="s">
        <v>186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299">
        <v>30101070</v>
      </c>
      <c r="B475" s="140" t="s">
        <v>229</v>
      </c>
      <c r="C475" s="223" t="s">
        <v>228</v>
      </c>
      <c r="D475" s="108">
        <v>5.03</v>
      </c>
      <c r="E475" s="108"/>
      <c r="F475" s="127"/>
      <c r="G475" s="128"/>
      <c r="H475" s="226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219"/>
      <c r="P475" s="219"/>
      <c r="Q475" s="219"/>
      <c r="R475" s="219"/>
      <c r="S475" s="219"/>
      <c r="T475" s="219"/>
      <c r="U475" s="219"/>
      <c r="V475" s="132">
        <f t="shared" si="215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customHeight="1">
      <c r="A476" s="299">
        <v>30101071</v>
      </c>
      <c r="B476" s="140" t="s">
        <v>229</v>
      </c>
      <c r="C476" s="223" t="s">
        <v>199</v>
      </c>
      <c r="D476" s="108">
        <v>5.03</v>
      </c>
      <c r="E476" s="108"/>
      <c r="F476" s="127"/>
      <c r="G476" s="128"/>
      <c r="H476" s="226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5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226">
        <f t="shared" ref="H477:H478" si="216">D477*G477</f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ref="M477:M478" si="217">IF(ISERROR(I477-K477),"",I477-K477)</f>
        <v>0</v>
      </c>
      <c r="N477" s="130">
        <f t="shared" ref="N477:N478" si="218">SUM(O477:U477)</f>
        <v>0</v>
      </c>
      <c r="O477" s="219"/>
      <c r="P477" s="219"/>
      <c r="Q477" s="219"/>
      <c r="R477" s="219"/>
      <c r="S477" s="219"/>
      <c r="T477" s="219"/>
      <c r="U477" s="219"/>
      <c r="V477" s="132">
        <f t="shared" ref="V477:V478" si="219">SUM(X477:AA477)</f>
        <v>0</v>
      </c>
      <c r="W477" s="133" t="str">
        <f t="shared" ref="W477:W494" si="220">IF(ISERROR(V477/G477),"",V477/G477)</f>
        <v/>
      </c>
      <c r="X477" s="132"/>
      <c r="Y477" s="132"/>
      <c r="Z477" s="132"/>
      <c r="AA477" s="132"/>
    </row>
    <row r="478" spans="1:27" ht="20.10000000000000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226">
        <f t="shared" si="216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7"/>
        <v>0</v>
      </c>
      <c r="N478" s="130">
        <f t="shared" si="218"/>
        <v>0</v>
      </c>
      <c r="O478" s="219"/>
      <c r="P478" s="219"/>
      <c r="Q478" s="219"/>
      <c r="R478" s="219"/>
      <c r="S478" s="219"/>
      <c r="T478" s="219"/>
      <c r="U478" s="219"/>
      <c r="V478" s="132">
        <f t="shared" si="219"/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618" t="s">
        <v>231</v>
      </c>
      <c r="B479" s="619"/>
      <c r="C479" s="22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2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226">
        <f t="shared" ref="H480:H489" si="221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9" si="222">IF(ISERROR(I480-K480),"",I480-K480)</f>
        <v>0</v>
      </c>
      <c r="N480" s="130">
        <f t="shared" ref="N480:N489" si="223">SUM(O480:U480)</f>
        <v>0</v>
      </c>
      <c r="O480" s="219"/>
      <c r="P480" s="219"/>
      <c r="Q480" s="219"/>
      <c r="R480" s="219"/>
      <c r="S480" s="219"/>
      <c r="T480" s="219"/>
      <c r="U480" s="219"/>
      <c r="V480" s="132">
        <f t="shared" ref="V480:V489" si="224">SUM(X480:AA480)</f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226">
        <f t="shared" si="221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22"/>
        <v>0</v>
      </c>
      <c r="N483" s="130">
        <f t="shared" si="223"/>
        <v>0</v>
      </c>
      <c r="O483" s="219"/>
      <c r="P483" s="219"/>
      <c r="Q483" s="219"/>
      <c r="R483" s="219"/>
      <c r="S483" s="219"/>
      <c r="T483" s="219"/>
      <c r="U483" s="219"/>
      <c r="V483" s="132">
        <f t="shared" si="224"/>
        <v>0</v>
      </c>
      <c r="W483" s="133" t="str">
        <f t="shared" si="220"/>
        <v/>
      </c>
      <c r="X483" s="132"/>
      <c r="Y483" s="132"/>
      <c r="Z483" s="132"/>
      <c r="AA483" s="132"/>
    </row>
    <row r="484" spans="1:27" ht="20.10000000000000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226">
        <f t="shared" si="221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22"/>
        <v>0</v>
      </c>
      <c r="N484" s="130">
        <f t="shared" si="223"/>
        <v>0</v>
      </c>
      <c r="O484" s="219"/>
      <c r="P484" s="219"/>
      <c r="Q484" s="219"/>
      <c r="R484" s="219"/>
      <c r="S484" s="219"/>
      <c r="T484" s="219"/>
      <c r="U484" s="219"/>
      <c r="V484" s="132">
        <f t="shared" si="224"/>
        <v>0</v>
      </c>
      <c r="W484" s="133" t="str">
        <f t="shared" si="220"/>
        <v/>
      </c>
      <c r="X484" s="132"/>
      <c r="Y484" s="132"/>
      <c r="Z484" s="132"/>
      <c r="AA484" s="132"/>
    </row>
    <row r="485" spans="1:27" ht="20.10000000000000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292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261"/>
      <c r="P485" s="261"/>
      <c r="Q485" s="261"/>
      <c r="R485" s="261"/>
      <c r="S485" s="261"/>
      <c r="T485" s="261"/>
      <c r="U485" s="261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377">
        <f t="shared" si="221"/>
        <v>0</v>
      </c>
      <c r="I486" s="129"/>
      <c r="J486" s="130"/>
      <c r="K486" s="131"/>
      <c r="L486" s="129">
        <v>13.5</v>
      </c>
      <c r="M486" s="109"/>
      <c r="N486" s="130"/>
      <c r="O486" s="372"/>
      <c r="P486" s="372"/>
      <c r="Q486" s="372"/>
      <c r="R486" s="372"/>
      <c r="S486" s="372"/>
      <c r="T486" s="372"/>
      <c r="U486" s="372"/>
      <c r="V486" s="132"/>
      <c r="W486" s="133"/>
      <c r="X486" s="132"/>
      <c r="Y486" s="132"/>
      <c r="Z486" s="132"/>
      <c r="AA486" s="132"/>
    </row>
    <row r="487" spans="1:27" ht="20.10000000000000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377">
        <f t="shared" si="221"/>
        <v>0</v>
      </c>
      <c r="I487" s="129"/>
      <c r="J487" s="130"/>
      <c r="K487" s="131"/>
      <c r="L487" s="129">
        <v>13.5</v>
      </c>
      <c r="M487" s="109"/>
      <c r="N487" s="130"/>
      <c r="O487" s="376"/>
      <c r="P487" s="376"/>
      <c r="Q487" s="376"/>
      <c r="R487" s="376"/>
      <c r="S487" s="376"/>
      <c r="T487" s="376"/>
      <c r="U487" s="376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21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226">
        <f t="shared" si="221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si="222"/>
        <v>0</v>
      </c>
      <c r="N489" s="130">
        <f t="shared" si="223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4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618" t="s">
        <v>234</v>
      </c>
      <c r="B490" s="619"/>
      <c r="C490" s="22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0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customHeight="1">
      <c r="A491" s="299">
        <v>30700013</v>
      </c>
      <c r="B491" s="141" t="s">
        <v>235</v>
      </c>
      <c r="C491" s="217"/>
      <c r="D491" s="108">
        <v>3.65</v>
      </c>
      <c r="E491" s="108"/>
      <c r="F491" s="153"/>
      <c r="G491" s="128"/>
      <c r="H491" s="226">
        <f t="shared" ref="H491:H505" si="225">D491*G491</f>
        <v>0</v>
      </c>
      <c r="I491" s="129"/>
      <c r="J491" s="130" t="str">
        <f t="array" ref="J491">IF(ISERROR(G491/I491),"",G491/I491)</f>
        <v/>
      </c>
      <c r="K491" s="226">
        <f t="array" ref="K491">IF(ISERROR(G491/L491),"",G491/L491)</f>
        <v>0</v>
      </c>
      <c r="L491" s="129">
        <v>5</v>
      </c>
      <c r="M491" s="109">
        <f t="shared" ref="M491:M494" si="226">IF(ISERROR(I491-K491),"",I491-K491)</f>
        <v>0</v>
      </c>
      <c r="N491" s="130">
        <f t="shared" ref="N491:N494" si="227">SUM(O491:U491)</f>
        <v>0</v>
      </c>
      <c r="O491" s="219"/>
      <c r="P491" s="219"/>
      <c r="Q491" s="219"/>
      <c r="R491" s="219"/>
      <c r="S491" s="219"/>
      <c r="T491" s="219"/>
      <c r="U491" s="219"/>
      <c r="V491" s="132">
        <f t="shared" ref="V491:V494" si="228">SUM(X491:AA491)</f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>
        <v>30700014</v>
      </c>
      <c r="B492" s="141" t="s">
        <v>236</v>
      </c>
      <c r="C492" s="217"/>
      <c r="D492" s="108">
        <v>6.58</v>
      </c>
      <c r="E492" s="108"/>
      <c r="F492" s="127"/>
      <c r="G492" s="128"/>
      <c r="H492" s="226">
        <f t="shared" si="225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6"/>
        <v>0</v>
      </c>
      <c r="N492" s="130">
        <f t="shared" si="227"/>
        <v>0</v>
      </c>
      <c r="O492" s="219"/>
      <c r="P492" s="219"/>
      <c r="Q492" s="219"/>
      <c r="R492" s="219"/>
      <c r="S492" s="219"/>
      <c r="T492" s="219"/>
      <c r="U492" s="219"/>
      <c r="V492" s="132">
        <f t="shared" si="228"/>
        <v>0</v>
      </c>
      <c r="W492" s="133" t="str">
        <f t="shared" si="220"/>
        <v/>
      </c>
      <c r="X492" s="132"/>
      <c r="Y492" s="132"/>
      <c r="Z492" s="132"/>
      <c r="AA492" s="132"/>
    </row>
    <row r="493" spans="1:27" ht="20.100000000000001" customHeight="1">
      <c r="A493" s="299">
        <v>30700016</v>
      </c>
      <c r="B493" s="141" t="s">
        <v>237</v>
      </c>
      <c r="C493" s="217"/>
      <c r="D493" s="108">
        <v>7.8</v>
      </c>
      <c r="E493" s="108"/>
      <c r="F493" s="127"/>
      <c r="G493" s="128"/>
      <c r="H493" s="292">
        <f t="shared" si="225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6"/>
        <v>0</v>
      </c>
      <c r="N493" s="130">
        <f t="shared" si="227"/>
        <v>0</v>
      </c>
      <c r="O493" s="219"/>
      <c r="P493" s="219"/>
      <c r="Q493" s="219"/>
      <c r="R493" s="219"/>
      <c r="S493" s="219"/>
      <c r="T493" s="219"/>
      <c r="U493" s="219"/>
      <c r="V493" s="132">
        <f t="shared" si="228"/>
        <v>0</v>
      </c>
      <c r="W493" s="133" t="str">
        <f t="shared" si="220"/>
        <v/>
      </c>
      <c r="X493" s="132"/>
      <c r="Y493" s="132"/>
      <c r="Z493" s="132"/>
      <c r="AA493" s="132"/>
    </row>
    <row r="494" spans="1:27" ht="20.100000000000001" customHeight="1">
      <c r="A494" s="299">
        <v>30700017</v>
      </c>
      <c r="B494" s="141" t="s">
        <v>238</v>
      </c>
      <c r="C494" s="217"/>
      <c r="D494" s="108">
        <v>4.4000000000000004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6"/>
        <v>0</v>
      </c>
      <c r="N494" s="130">
        <f t="shared" si="227"/>
        <v>0</v>
      </c>
      <c r="O494" s="219"/>
      <c r="P494" s="219"/>
      <c r="Q494" s="219"/>
      <c r="R494" s="219"/>
      <c r="S494" s="219"/>
      <c r="T494" s="219"/>
      <c r="U494" s="219"/>
      <c r="V494" s="132">
        <f t="shared" si="228"/>
        <v>0</v>
      </c>
      <c r="W494" s="133" t="str">
        <f t="shared" si="220"/>
        <v/>
      </c>
      <c r="X494" s="132"/>
      <c r="Y494" s="132"/>
      <c r="Z494" s="132"/>
      <c r="AA494" s="132"/>
    </row>
    <row r="495" spans="1:27" ht="20.10000000000000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292">
        <f t="shared" si="225"/>
        <v>0</v>
      </c>
      <c r="I495" s="129"/>
      <c r="J495" s="130"/>
      <c r="K495" s="131"/>
      <c r="L495" s="129"/>
      <c r="M495" s="109"/>
      <c r="N495" s="130"/>
      <c r="O495" s="219"/>
      <c r="P495" s="219"/>
      <c r="Q495" s="219"/>
      <c r="R495" s="219"/>
      <c r="S495" s="219"/>
      <c r="T495" s="219"/>
      <c r="U495" s="219"/>
      <c r="V495" s="132"/>
      <c r="W495" s="133"/>
      <c r="X495" s="132"/>
      <c r="Y495" s="132"/>
      <c r="Z495" s="132"/>
      <c r="AA495" s="132"/>
    </row>
    <row r="496" spans="1:27" ht="20.100000000000001" customHeight="1">
      <c r="A496" s="299">
        <v>30700001</v>
      </c>
      <c r="B496" s="127" t="s">
        <v>359</v>
      </c>
      <c r="C496" s="217"/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>
        <v>6</v>
      </c>
      <c r="M496" s="109"/>
      <c r="N496" s="130"/>
      <c r="O496" s="219"/>
      <c r="P496" s="219"/>
      <c r="Q496" s="219"/>
      <c r="R496" s="219"/>
      <c r="S496" s="219"/>
      <c r="T496" s="219"/>
      <c r="U496" s="219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/>
      <c r="B497" s="217" t="s">
        <v>239</v>
      </c>
      <c r="C497" s="217" t="s">
        <v>179</v>
      </c>
      <c r="D497" s="108">
        <v>6.04</v>
      </c>
      <c r="E497" s="108"/>
      <c r="F497" s="127"/>
      <c r="G497" s="128"/>
      <c r="H497" s="292">
        <f t="shared" si="225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501" si="229">IF(ISERROR(I497-K497),"",I497-K497)</f>
        <v>0</v>
      </c>
      <c r="N497" s="130">
        <f t="shared" ref="N497:N501" si="230">SUM(O497:U497)</f>
        <v>0</v>
      </c>
      <c r="O497" s="219"/>
      <c r="P497" s="219"/>
      <c r="Q497" s="219"/>
      <c r="R497" s="219"/>
      <c r="S497" s="219"/>
      <c r="T497" s="219"/>
      <c r="U497" s="219"/>
      <c r="V497" s="132">
        <f t="shared" ref="V497:V501" si="231">SUM(X497:AA497)</f>
        <v>0</v>
      </c>
      <c r="W497" s="133" t="str">
        <f t="shared" ref="W497:W501" si="232">IF(ISERROR(V497/G497),"",V497/G497)</f>
        <v/>
      </c>
      <c r="X497" s="132"/>
      <c r="Y497" s="132"/>
      <c r="Z497" s="132"/>
      <c r="AA497" s="132"/>
    </row>
    <row r="498" spans="1:27" ht="20.100000000000001" customHeight="1">
      <c r="A498" s="305">
        <v>30700019</v>
      </c>
      <c r="B498" s="217" t="s">
        <v>239</v>
      </c>
      <c r="C498" s="217" t="s">
        <v>186</v>
      </c>
      <c r="D498" s="108">
        <v>6.04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305">
        <v>30601015</v>
      </c>
      <c r="B499" s="287" t="s">
        <v>443</v>
      </c>
      <c r="C499" s="287" t="s">
        <v>179</v>
      </c>
      <c r="D499" s="108"/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88"/>
      <c r="P499" s="288"/>
      <c r="Q499" s="288"/>
      <c r="R499" s="288"/>
      <c r="S499" s="288"/>
      <c r="T499" s="288"/>
      <c r="U499" s="288"/>
      <c r="V499" s="132"/>
      <c r="W499" s="133"/>
      <c r="X499" s="132"/>
      <c r="Y499" s="132"/>
      <c r="Z499" s="132"/>
      <c r="AA499" s="132"/>
    </row>
    <row r="500" spans="1:27" ht="20.100000000000001" customHeight="1">
      <c r="A500" s="305">
        <v>30101016</v>
      </c>
      <c r="B500" s="287" t="s">
        <v>443</v>
      </c>
      <c r="C500" s="287" t="s">
        <v>186</v>
      </c>
      <c r="D500" s="108"/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88"/>
      <c r="P500" s="288"/>
      <c r="Q500" s="288"/>
      <c r="R500" s="288"/>
      <c r="S500" s="288"/>
      <c r="T500" s="288"/>
      <c r="U500" s="288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30700018</v>
      </c>
      <c r="B501" s="291" t="s">
        <v>240</v>
      </c>
      <c r="C501" s="126"/>
      <c r="D501" s="108">
        <v>7.3</v>
      </c>
      <c r="E501" s="108"/>
      <c r="F501" s="127"/>
      <c r="G501" s="128"/>
      <c r="H501" s="292">
        <f t="shared" si="225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si="229"/>
        <v>0</v>
      </c>
      <c r="N501" s="130">
        <f t="shared" si="230"/>
        <v>0</v>
      </c>
      <c r="O501" s="219"/>
      <c r="P501" s="219"/>
      <c r="Q501" s="219"/>
      <c r="R501" s="219"/>
      <c r="S501" s="219"/>
      <c r="T501" s="219"/>
      <c r="U501" s="219"/>
      <c r="V501" s="132">
        <f t="shared" si="231"/>
        <v>0</v>
      </c>
      <c r="W501" s="133" t="str">
        <f t="shared" si="232"/>
        <v/>
      </c>
      <c r="X501" s="132"/>
      <c r="Y501" s="132"/>
      <c r="Z501" s="132"/>
      <c r="AA501" s="132"/>
    </row>
    <row r="502" spans="1:27" ht="20.100000000000001" customHeight="1">
      <c r="A502" s="299">
        <v>30700010</v>
      </c>
      <c r="B502" s="291" t="s">
        <v>241</v>
      </c>
      <c r="C502" s="126"/>
      <c r="D502" s="108">
        <f>78*120/1000</f>
        <v>9.36</v>
      </c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299">
        <v>30700015</v>
      </c>
      <c r="B503" s="291" t="s">
        <v>242</v>
      </c>
      <c r="C503" s="126"/>
      <c r="D503" s="108">
        <v>4.5</v>
      </c>
      <c r="E503" s="108"/>
      <c r="F503" s="127"/>
      <c r="G503" s="128"/>
      <c r="H503" s="292">
        <f t="shared" si="225"/>
        <v>0</v>
      </c>
      <c r="I503" s="129"/>
      <c r="J503" s="130"/>
      <c r="K503" s="131"/>
      <c r="L503" s="129"/>
      <c r="M503" s="109"/>
      <c r="N503" s="130"/>
      <c r="O503" s="227"/>
      <c r="P503" s="227"/>
      <c r="Q503" s="227"/>
      <c r="R503" s="227"/>
      <c r="S503" s="227"/>
      <c r="T503" s="227"/>
      <c r="U503" s="227"/>
      <c r="V503" s="132"/>
      <c r="W503" s="133"/>
      <c r="X503" s="132"/>
      <c r="Y503" s="132"/>
      <c r="Z503" s="132"/>
      <c r="AA503" s="132"/>
    </row>
    <row r="504" spans="1:27" ht="20.100000000000001" customHeight="1">
      <c r="A504" s="299">
        <v>30700012</v>
      </c>
      <c r="B504" s="291" t="s">
        <v>243</v>
      </c>
      <c r="C504" s="126"/>
      <c r="D504" s="108">
        <v>4.5</v>
      </c>
      <c r="E504" s="108"/>
      <c r="F504" s="127"/>
      <c r="G504" s="128"/>
      <c r="H504" s="292">
        <f t="shared" si="225"/>
        <v>0</v>
      </c>
      <c r="I504" s="129"/>
      <c r="J504" s="130"/>
      <c r="K504" s="131"/>
      <c r="L504" s="129"/>
      <c r="M504" s="109"/>
      <c r="N504" s="130"/>
      <c r="O504" s="219"/>
      <c r="P504" s="219"/>
      <c r="Q504" s="219"/>
      <c r="R504" s="219"/>
      <c r="S504" s="219"/>
      <c r="T504" s="219"/>
      <c r="U504" s="219"/>
      <c r="V504" s="132"/>
      <c r="W504" s="133"/>
      <c r="X504" s="132"/>
      <c r="Y504" s="132"/>
      <c r="Z504" s="132"/>
      <c r="AA504" s="132"/>
    </row>
    <row r="505" spans="1:27" ht="20.100000000000001" customHeight="1">
      <c r="A505" s="299"/>
      <c r="B505" s="218"/>
      <c r="C505" s="126"/>
      <c r="D505" s="108"/>
      <c r="E505" s="108"/>
      <c r="F505" s="127"/>
      <c r="G505" s="128"/>
      <c r="H505" s="292">
        <f t="shared" si="225"/>
        <v>0</v>
      </c>
      <c r="I505" s="129"/>
      <c r="J505" s="130"/>
      <c r="K505" s="131"/>
      <c r="L505" s="129"/>
      <c r="M505" s="109"/>
      <c r="N505" s="130"/>
      <c r="O505" s="219"/>
      <c r="P505" s="219"/>
      <c r="Q505" s="219"/>
      <c r="R505" s="219"/>
      <c r="S505" s="219"/>
      <c r="T505" s="219"/>
      <c r="U505" s="219"/>
      <c r="V505" s="132"/>
      <c r="W505" s="133"/>
      <c r="X505" s="132"/>
      <c r="Y505" s="132"/>
      <c r="Z505" s="132"/>
      <c r="AA505" s="132"/>
    </row>
    <row r="506" spans="1:27" ht="20.100000000000001" customHeight="1">
      <c r="A506" s="618" t="s">
        <v>244</v>
      </c>
      <c r="B506" s="619"/>
      <c r="C506" s="22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3">SUM(M491:M501)</f>
        <v>0</v>
      </c>
      <c r="N506" s="146">
        <f t="shared" si="233"/>
        <v>0</v>
      </c>
      <c r="O506" s="148">
        <f t="shared" si="233"/>
        <v>0</v>
      </c>
      <c r="P506" s="148">
        <f t="shared" si="233"/>
        <v>0</v>
      </c>
      <c r="Q506" s="148">
        <f t="shared" si="233"/>
        <v>0</v>
      </c>
      <c r="R506" s="148">
        <f t="shared" si="233"/>
        <v>0</v>
      </c>
      <c r="S506" s="148">
        <f t="shared" si="233"/>
        <v>0</v>
      </c>
      <c r="T506" s="148">
        <f t="shared" si="233"/>
        <v>0</v>
      </c>
      <c r="U506" s="148">
        <f t="shared" si="233"/>
        <v>0</v>
      </c>
      <c r="V506" s="149">
        <f t="shared" si="233"/>
        <v>0</v>
      </c>
      <c r="W506" s="133">
        <f t="shared" si="233"/>
        <v>0</v>
      </c>
      <c r="X506" s="149">
        <f t="shared" si="233"/>
        <v>0</v>
      </c>
      <c r="Y506" s="149">
        <f t="shared" si="233"/>
        <v>0</v>
      </c>
      <c r="Z506" s="149">
        <f t="shared" si="233"/>
        <v>0</v>
      </c>
      <c r="AA506" s="149">
        <f t="shared" si="233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4">SUM(M370,M428,M463,M479,M490,M506)</f>
        <v>0</v>
      </c>
      <c r="N507" s="154">
        <f t="shared" si="234"/>
        <v>0</v>
      </c>
      <c r="O507" s="154">
        <f t="shared" si="234"/>
        <v>0</v>
      </c>
      <c r="P507" s="154">
        <f t="shared" si="234"/>
        <v>0</v>
      </c>
      <c r="Q507" s="154">
        <f t="shared" si="234"/>
        <v>0</v>
      </c>
      <c r="R507" s="154">
        <f t="shared" si="234"/>
        <v>0</v>
      </c>
      <c r="S507" s="154">
        <f t="shared" si="234"/>
        <v>0</v>
      </c>
      <c r="T507" s="154">
        <f t="shared" si="234"/>
        <v>0</v>
      </c>
      <c r="U507" s="154">
        <f t="shared" si="234"/>
        <v>0</v>
      </c>
      <c r="V507" s="154">
        <f t="shared" si="234"/>
        <v>0</v>
      </c>
      <c r="W507" s="156" t="str">
        <f t="shared" ref="W507" si="235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222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222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222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222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222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222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222">
        <f>G507</f>
        <v>0</v>
      </c>
      <c r="C514" s="638" t="s">
        <v>269</v>
      </c>
      <c r="D514" s="639"/>
      <c r="E514" s="631">
        <f>H507</f>
        <v>0</v>
      </c>
      <c r="F514" s="631"/>
      <c r="G514" s="631" t="s">
        <v>270</v>
      </c>
      <c r="H514" s="631"/>
      <c r="I514" s="640" t="str">
        <f>L507</f>
        <v/>
      </c>
      <c r="J514" s="640"/>
      <c r="K514" s="628" t="s">
        <v>271</v>
      </c>
      <c r="L514" s="628"/>
      <c r="M514" s="640" t="str">
        <f>J507</f>
        <v/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222">
        <f>I507+C513</f>
        <v>1</v>
      </c>
      <c r="C515" s="641" t="s">
        <v>251</v>
      </c>
      <c r="D515" s="642"/>
      <c r="E515" s="643">
        <f>K507+I513</f>
        <v>11</v>
      </c>
      <c r="F515" s="643"/>
      <c r="G515" s="631" t="s">
        <v>274</v>
      </c>
      <c r="H515" s="631"/>
      <c r="I515" s="640">
        <f>B515-E515</f>
        <v>-10</v>
      </c>
      <c r="J515" s="640"/>
      <c r="K515" s="628" t="s">
        <v>275</v>
      </c>
      <c r="L515" s="628"/>
      <c r="M515" s="632">
        <f>IF(ISERROR(I515/E515),"",I515/E515)</f>
        <v>-0.90909090909090906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222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 t="str">
        <f t="array" ref="M516">IF(ISERROR(I516/B514),"",I516/B514)</f>
        <v/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225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0</v>
      </c>
      <c r="D519" s="627"/>
      <c r="E519" s="673" t="s">
        <v>269</v>
      </c>
      <c r="F519" s="673"/>
      <c r="G519" s="643">
        <f>SUM(E171,E342,E514)</f>
        <v>0</v>
      </c>
      <c r="H519" s="643"/>
      <c r="I519" s="631" t="s">
        <v>270</v>
      </c>
      <c r="J519" s="673"/>
      <c r="K519" s="626">
        <f>IF(ISERROR(C519/G520),"",C519/G520)</f>
        <v>0</v>
      </c>
      <c r="L519" s="627"/>
      <c r="M519" s="631" t="s">
        <v>271</v>
      </c>
      <c r="N519" s="631"/>
      <c r="O519" s="668">
        <f t="array" ref="O519">IF(ISERROR(C519/C520),"",C519/C520)</f>
        <v>0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</v>
      </c>
      <c r="D520" s="627"/>
      <c r="E520" s="631" t="s">
        <v>251</v>
      </c>
      <c r="F520" s="631"/>
      <c r="G520" s="643">
        <f>SUM(E172,E343,E515)</f>
        <v>82</v>
      </c>
      <c r="H520" s="643"/>
      <c r="I520" s="641" t="s">
        <v>274</v>
      </c>
      <c r="J520" s="642"/>
      <c r="K520" s="638">
        <f>C520-G520</f>
        <v>-75</v>
      </c>
      <c r="L520" s="639"/>
      <c r="M520" s="638" t="s">
        <v>275</v>
      </c>
      <c r="N520" s="639"/>
      <c r="O520" s="671">
        <f>IF(ISERROR(K520/C520),"",K520/C520)</f>
        <v>-10.714285714285714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 t="str">
        <f t="array" ref="O521">IF(ISERROR(K521/C519),"",K521/C519)</f>
        <v/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167"/>
      <c r="H522" s="168"/>
      <c r="I522" s="225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0</v>
      </c>
      <c r="D524" s="642"/>
      <c r="E524" s="681" t="str">
        <f>IF(ISERROR(C524/C530),"",C524/C530)</f>
        <v/>
      </c>
      <c r="F524" s="682"/>
      <c r="G524" s="676"/>
      <c r="H524" s="677"/>
      <c r="I524" s="683" t="s">
        <v>301</v>
      </c>
      <c r="J524" s="684"/>
      <c r="K524" s="638">
        <f t="shared" ref="K524:K529" si="236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7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0</v>
      </c>
      <c r="D525" s="642"/>
      <c r="E525" s="681" t="str">
        <f>IF(ISERROR(C525/C530),"",C525/C530)</f>
        <v/>
      </c>
      <c r="F525" s="682"/>
      <c r="G525" s="676"/>
      <c r="H525" s="677"/>
      <c r="I525" s="683" t="s">
        <v>302</v>
      </c>
      <c r="J525" s="684"/>
      <c r="K525" s="638">
        <f t="shared" si="236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7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0</v>
      </c>
      <c r="D526" s="642"/>
      <c r="E526" s="681" t="str">
        <f>IF(ISERROR(C526/C530),"",C526/C530)</f>
        <v/>
      </c>
      <c r="F526" s="682"/>
      <c r="G526" s="676"/>
      <c r="H526" s="677"/>
      <c r="I526" s="683" t="s">
        <v>303</v>
      </c>
      <c r="J526" s="684"/>
      <c r="K526" s="638">
        <f t="shared" si="236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7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0</v>
      </c>
      <c r="D527" s="642"/>
      <c r="E527" s="681" t="str">
        <f>IF(ISERROR(C527/C530),"",C527/C530)</f>
        <v/>
      </c>
      <c r="F527" s="682"/>
      <c r="G527" s="676"/>
      <c r="H527" s="677"/>
      <c r="I527" s="683" t="s">
        <v>304</v>
      </c>
      <c r="J527" s="684"/>
      <c r="K527" s="638">
        <f t="shared" si="236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7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0</v>
      </c>
      <c r="D528" s="642"/>
      <c r="E528" s="681" t="str">
        <f>IF(ISERROR(C528/C530),"",C528/C530)</f>
        <v/>
      </c>
      <c r="F528" s="682"/>
      <c r="G528" s="676"/>
      <c r="H528" s="677"/>
      <c r="I528" s="683" t="s">
        <v>306</v>
      </c>
      <c r="J528" s="684"/>
      <c r="K528" s="638">
        <f t="shared" si="236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7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0</v>
      </c>
      <c r="D529" s="642"/>
      <c r="E529" s="681" t="str">
        <f>IF(ISERROR(C529/C530),"",C529/C530)</f>
        <v/>
      </c>
      <c r="F529" s="682"/>
      <c r="G529" s="676"/>
      <c r="H529" s="677"/>
      <c r="I529" s="683" t="s">
        <v>307</v>
      </c>
      <c r="J529" s="684"/>
      <c r="K529" s="638">
        <f t="shared" si="236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7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0</v>
      </c>
      <c r="D530" s="642"/>
      <c r="E530" s="681">
        <f>SUM(E524:F529)</f>
        <v>0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217" t="s">
        <v>309</v>
      </c>
      <c r="D532" s="217" t="s">
        <v>310</v>
      </c>
      <c r="E532" s="217" t="s">
        <v>311</v>
      </c>
      <c r="F532" s="217" t="s">
        <v>312</v>
      </c>
      <c r="G532" s="157" t="s">
        <v>313</v>
      </c>
      <c r="H532" s="129" t="s">
        <v>314</v>
      </c>
      <c r="I532" s="129" t="s">
        <v>315</v>
      </c>
      <c r="J532" s="129" t="s">
        <v>316</v>
      </c>
      <c r="K532" s="21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226" t="s">
        <v>322</v>
      </c>
      <c r="Q532" s="129" t="s">
        <v>323</v>
      </c>
      <c r="R532" s="109" t="s">
        <v>324</v>
      </c>
      <c r="S532" s="217" t="s">
        <v>325</v>
      </c>
      <c r="T532" s="217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0</v>
      </c>
      <c r="D533" s="106"/>
      <c r="E533" s="106"/>
      <c r="F533" s="106"/>
      <c r="G533" s="107"/>
      <c r="H533" s="106"/>
      <c r="I533" s="106"/>
      <c r="J533" s="106">
        <f>C533-H533-I533</f>
        <v>0</v>
      </c>
      <c r="K533" s="106"/>
      <c r="L533" s="106"/>
      <c r="M533" s="106"/>
      <c r="N533" s="106"/>
      <c r="O533" s="106"/>
      <c r="P533" s="108"/>
      <c r="Q533" s="106">
        <f>J533-K533-L533</f>
        <v>0</v>
      </c>
      <c r="R533" s="109">
        <f>Q533*11-M533-N533</f>
        <v>0</v>
      </c>
      <c r="S533" s="220" t="str">
        <f t="array" ref="S533">IF(ISERROR(Q533/J533),"",Q533/J533)</f>
        <v/>
      </c>
      <c r="T533" s="220" t="str">
        <f t="array" ref="T533">IF(ISERROR((O533:P533)/C533),"",SUM(O533:P533)/C533)</f>
        <v/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0</v>
      </c>
      <c r="D534" s="110"/>
      <c r="E534" s="110"/>
      <c r="F534" s="110"/>
      <c r="G534" s="107"/>
      <c r="H534" s="106"/>
      <c r="I534" s="106"/>
      <c r="J534" s="106">
        <f>C534-H534-I534</f>
        <v>0</v>
      </c>
      <c r="K534" s="106"/>
      <c r="L534" s="106"/>
      <c r="M534" s="106"/>
      <c r="N534" s="106"/>
      <c r="O534" s="110"/>
      <c r="P534" s="111"/>
      <c r="Q534" s="106">
        <f>J534-K534-L534</f>
        <v>0</v>
      </c>
      <c r="R534" s="109">
        <f>Q534*11-M534-N534</f>
        <v>0</v>
      </c>
      <c r="S534" s="220" t="str">
        <f t="array" ref="S534">IF(ISERROR(Q534/J534),"",Q534/J534)</f>
        <v/>
      </c>
      <c r="T534" s="220" t="str">
        <f t="array" ref="T534">IF(ISERROR((O534:P534)/C534),"",SUM(O534:P534)/C534)</f>
        <v/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0</v>
      </c>
      <c r="D535" s="110"/>
      <c r="E535" s="110"/>
      <c r="F535" s="110"/>
      <c r="G535" s="107"/>
      <c r="H535" s="106"/>
      <c r="I535" s="106"/>
      <c r="J535" s="106">
        <f>C535-H535-I535</f>
        <v>0</v>
      </c>
      <c r="K535" s="106"/>
      <c r="L535" s="106"/>
      <c r="M535" s="106"/>
      <c r="N535" s="106"/>
      <c r="O535" s="110"/>
      <c r="P535" s="111"/>
      <c r="Q535" s="106">
        <f>J535-K535-L535</f>
        <v>0</v>
      </c>
      <c r="R535" s="109">
        <f>Q535*11-M535-N535</f>
        <v>0</v>
      </c>
      <c r="S535" s="220" t="str">
        <f t="array" ref="S535">IF(ISERROR(Q535/J535),"",Q535/J535)</f>
        <v/>
      </c>
      <c r="T535" s="220" t="str">
        <f t="array" ref="T535">IF(ISERROR((O535:P535)/C535),"",SUM(O535:P535)/C535)</f>
        <v/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0</v>
      </c>
      <c r="D536" s="112">
        <f t="shared" ref="D536:N536" si="238">SUM(D533:D535)</f>
        <v>0</v>
      </c>
      <c r="E536" s="112">
        <f t="shared" si="238"/>
        <v>0</v>
      </c>
      <c r="F536" s="112">
        <f t="shared" si="238"/>
        <v>0</v>
      </c>
      <c r="G536" s="113">
        <f t="shared" si="238"/>
        <v>0</v>
      </c>
      <c r="H536" s="112">
        <f t="shared" si="238"/>
        <v>0</v>
      </c>
      <c r="I536" s="112">
        <f t="shared" si="238"/>
        <v>0</v>
      </c>
      <c r="J536" s="112">
        <f t="shared" si="238"/>
        <v>0</v>
      </c>
      <c r="K536" s="112">
        <f t="shared" si="238"/>
        <v>0</v>
      </c>
      <c r="L536" s="112">
        <f t="shared" si="238"/>
        <v>0</v>
      </c>
      <c r="M536" s="112">
        <f t="shared" si="238"/>
        <v>0</v>
      </c>
      <c r="N536" s="112">
        <f t="shared" si="238"/>
        <v>0</v>
      </c>
      <c r="O536" s="112">
        <f>SUM(O533:O535)</f>
        <v>0</v>
      </c>
      <c r="P536" s="112">
        <f>SUM(P533:P535)</f>
        <v>0</v>
      </c>
      <c r="Q536" s="112">
        <f>SUM(Q533:Q535)</f>
        <v>0</v>
      </c>
      <c r="R536" s="114">
        <f>SUM(R533:R535)</f>
        <v>0</v>
      </c>
      <c r="S536" s="115" t="str">
        <f t="array" ref="S536">IF(ISERROR(Q536/J536),"",Q536/J536)</f>
        <v/>
      </c>
      <c r="T536" s="115" t="str">
        <f t="array" ref="T536">IF(ISERROR((O536:P536)/C536),"",SUM(O536:P536)/C536)</f>
        <v/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448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6:B536"/>
    <mergeCell ref="Q530:R530"/>
    <mergeCell ref="S530:T530"/>
    <mergeCell ref="A532:B532"/>
    <mergeCell ref="A533:B533"/>
    <mergeCell ref="A534:B534"/>
    <mergeCell ref="A535:B535"/>
    <mergeCell ref="A530:B530"/>
    <mergeCell ref="C530:D530"/>
    <mergeCell ref="E530:F530"/>
    <mergeCell ref="I530:J530"/>
    <mergeCell ref="K530:L530"/>
    <mergeCell ref="M530:N530"/>
    <mergeCell ref="O530:P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1:D511"/>
    <mergeCell ref="E511:F511"/>
    <mergeCell ref="G511:H511"/>
    <mergeCell ref="I511:J511"/>
    <mergeCell ref="K511:L511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V512:W512"/>
    <mergeCell ref="X512:Y512"/>
    <mergeCell ref="Z512:AA512"/>
    <mergeCell ref="Z509:AA509"/>
    <mergeCell ref="C510:D510"/>
    <mergeCell ref="E510:F510"/>
    <mergeCell ref="G510:H510"/>
    <mergeCell ref="I510:J510"/>
    <mergeCell ref="K510:L510"/>
    <mergeCell ref="R510:S510"/>
    <mergeCell ref="T510:U510"/>
    <mergeCell ref="V510:W510"/>
    <mergeCell ref="X510:Y510"/>
    <mergeCell ref="Z510:AA510"/>
    <mergeCell ref="R508:S508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G508:H508"/>
    <mergeCell ref="I508:J508"/>
    <mergeCell ref="K508:L508"/>
    <mergeCell ref="M508:N508"/>
    <mergeCell ref="O508:O516"/>
    <mergeCell ref="P508:Q508"/>
    <mergeCell ref="M509:N509"/>
    <mergeCell ref="P509:Q509"/>
    <mergeCell ref="M510:N510"/>
    <mergeCell ref="P510:Q510"/>
    <mergeCell ref="R509:S509"/>
    <mergeCell ref="T509:U509"/>
    <mergeCell ref="V509:W509"/>
    <mergeCell ref="X509:Y509"/>
    <mergeCell ref="A506:B506"/>
    <mergeCell ref="A507:F507"/>
    <mergeCell ref="A508:A513"/>
    <mergeCell ref="C508:D508"/>
    <mergeCell ref="E508:F508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A346:A348"/>
    <mergeCell ref="B346:B348"/>
    <mergeCell ref="C346:C348"/>
    <mergeCell ref="D346:D348"/>
    <mergeCell ref="E346:E348"/>
    <mergeCell ref="X346:AA346"/>
    <mergeCell ref="O347:O348"/>
    <mergeCell ref="P347:P348"/>
    <mergeCell ref="Q347:Q348"/>
    <mergeCell ref="R347:R348"/>
    <mergeCell ref="F346:F348"/>
    <mergeCell ref="G346:H347"/>
    <mergeCell ref="I346:I348"/>
    <mergeCell ref="J346:J348"/>
    <mergeCell ref="K346:K348"/>
    <mergeCell ref="L346:L348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V343:W343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C339:D339"/>
    <mergeCell ref="E339:F339"/>
    <mergeCell ref="G339:H339"/>
    <mergeCell ref="I339:J339"/>
    <mergeCell ref="K339:L339"/>
    <mergeCell ref="M339:N339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A308:B308"/>
    <mergeCell ref="A319:B319"/>
    <mergeCell ref="A334:B334"/>
    <mergeCell ref="U176:U177"/>
    <mergeCell ref="X176:X177"/>
    <mergeCell ref="Y176:Y177"/>
    <mergeCell ref="A199:B199"/>
    <mergeCell ref="I175:I177"/>
    <mergeCell ref="J175:J177"/>
    <mergeCell ref="K175:K177"/>
    <mergeCell ref="L175:L177"/>
    <mergeCell ref="M175:M177"/>
    <mergeCell ref="N175:N177"/>
    <mergeCell ref="X175:AA175"/>
    <mergeCell ref="O176:O177"/>
    <mergeCell ref="P176:P177"/>
    <mergeCell ref="Q176:Q177"/>
    <mergeCell ref="R176:R177"/>
    <mergeCell ref="S176:S177"/>
    <mergeCell ref="T176:T177"/>
    <mergeCell ref="A257:B257"/>
    <mergeCell ref="A292:B292"/>
    <mergeCell ref="V173:W173"/>
    <mergeCell ref="X173:Y173"/>
    <mergeCell ref="Z173:AA173"/>
    <mergeCell ref="A175:A177"/>
    <mergeCell ref="B175:B177"/>
    <mergeCell ref="C175:C177"/>
    <mergeCell ref="D175:D177"/>
    <mergeCell ref="E175:E177"/>
    <mergeCell ref="F175:F177"/>
    <mergeCell ref="G175:H176"/>
    <mergeCell ref="Z176:Z177"/>
    <mergeCell ref="AA176:AA177"/>
    <mergeCell ref="C173:D173"/>
    <mergeCell ref="E173:F173"/>
    <mergeCell ref="G173:H173"/>
    <mergeCell ref="I173:J173"/>
    <mergeCell ref="K173:L173"/>
    <mergeCell ref="M173:N173"/>
    <mergeCell ref="P173:Q173"/>
    <mergeCell ref="R173:S173"/>
    <mergeCell ref="T173:U173"/>
    <mergeCell ref="O175:U175"/>
    <mergeCell ref="V175:V177"/>
    <mergeCell ref="W175:W177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Z172:AA172"/>
    <mergeCell ref="M172:N172"/>
    <mergeCell ref="P172:Q172"/>
    <mergeCell ref="R172:S172"/>
    <mergeCell ref="T172:U172"/>
    <mergeCell ref="V172:W172"/>
    <mergeCell ref="X172:Y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K169:L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M169:N169"/>
    <mergeCell ref="P169:Q169"/>
    <mergeCell ref="R169:S169"/>
    <mergeCell ref="T169:U169"/>
    <mergeCell ref="V169:W169"/>
    <mergeCell ref="X169:Y169"/>
    <mergeCell ref="V170:W170"/>
    <mergeCell ref="X170:Y170"/>
    <mergeCell ref="Z170:AA170"/>
    <mergeCell ref="K167:L167"/>
    <mergeCell ref="M167:N167"/>
    <mergeCell ref="P167:Q167"/>
    <mergeCell ref="V167:W167"/>
    <mergeCell ref="X167:Y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V168:W168"/>
    <mergeCell ref="X168:Y168"/>
    <mergeCell ref="Z168:AA168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M166:N166"/>
    <mergeCell ref="P166:Q166"/>
    <mergeCell ref="K165:L165"/>
    <mergeCell ref="M165:N165"/>
    <mergeCell ref="O165:O173"/>
    <mergeCell ref="P165:Q165"/>
    <mergeCell ref="R165:S165"/>
    <mergeCell ref="T165:U165"/>
    <mergeCell ref="R166:S166"/>
    <mergeCell ref="T166:U166"/>
    <mergeCell ref="R167:S167"/>
    <mergeCell ref="T167:U167"/>
    <mergeCell ref="V166:W166"/>
    <mergeCell ref="X166:Y166"/>
    <mergeCell ref="Z166:AA166"/>
    <mergeCell ref="C167:D167"/>
    <mergeCell ref="A164:F164"/>
    <mergeCell ref="A165:A170"/>
    <mergeCell ref="C165:D165"/>
    <mergeCell ref="E165:F165"/>
    <mergeCell ref="G165:H165"/>
    <mergeCell ref="I165:J165"/>
    <mergeCell ref="A121:B121"/>
    <mergeCell ref="A137:B137"/>
    <mergeCell ref="A148:B148"/>
    <mergeCell ref="A163:B163"/>
    <mergeCell ref="E167:F167"/>
    <mergeCell ref="G167:H167"/>
    <mergeCell ref="I167:J167"/>
    <mergeCell ref="C169:D169"/>
    <mergeCell ref="E169:F169"/>
    <mergeCell ref="G169:H169"/>
    <mergeCell ref="I169:J169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76" zoomScaleNormal="100" workbookViewId="0">
      <selection activeCell="E487" sqref="E487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65" t="s">
        <v>23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5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44" t="s">
        <v>502</v>
      </c>
      <c r="B4" s="745" t="s">
        <v>25</v>
      </c>
      <c r="C4" s="745" t="s">
        <v>26</v>
      </c>
      <c r="D4" s="745" t="s">
        <v>27</v>
      </c>
      <c r="E4" s="757" t="s">
        <v>28</v>
      </c>
      <c r="F4" s="760" t="s">
        <v>29</v>
      </c>
      <c r="G4" s="724" t="s">
        <v>30</v>
      </c>
      <c r="H4" s="724"/>
      <c r="I4" s="745" t="s">
        <v>31</v>
      </c>
      <c r="J4" s="748" t="s">
        <v>32</v>
      </c>
      <c r="K4" s="751" t="s">
        <v>33</v>
      </c>
      <c r="L4" s="745" t="s">
        <v>34</v>
      </c>
      <c r="M4" s="754" t="s">
        <v>35</v>
      </c>
      <c r="N4" s="742" t="s">
        <v>36</v>
      </c>
      <c r="O4" s="724" t="s">
        <v>37</v>
      </c>
      <c r="P4" s="724"/>
      <c r="Q4" s="724"/>
      <c r="R4" s="724"/>
      <c r="S4" s="724"/>
      <c r="T4" s="724"/>
      <c r="U4" s="724"/>
      <c r="V4" s="743" t="s">
        <v>38</v>
      </c>
      <c r="W4" s="742" t="s">
        <v>39</v>
      </c>
      <c r="X4" s="724" t="s">
        <v>40</v>
      </c>
      <c r="Y4" s="724"/>
      <c r="Z4" s="724"/>
      <c r="AA4" s="724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45"/>
      <c r="B5" s="746"/>
      <c r="C5" s="746"/>
      <c r="D5" s="746"/>
      <c r="E5" s="758"/>
      <c r="F5" s="761"/>
      <c r="G5" s="724"/>
      <c r="H5" s="724"/>
      <c r="I5" s="746"/>
      <c r="J5" s="749"/>
      <c r="K5" s="752"/>
      <c r="L5" s="746"/>
      <c r="M5" s="755"/>
      <c r="N5" s="742"/>
      <c r="O5" s="724" t="s">
        <v>41</v>
      </c>
      <c r="P5" s="724" t="s">
        <v>42</v>
      </c>
      <c r="Q5" s="724" t="s">
        <v>43</v>
      </c>
      <c r="R5" s="741" t="s">
        <v>44</v>
      </c>
      <c r="S5" s="694" t="s">
        <v>45</v>
      </c>
      <c r="T5" s="724" t="s">
        <v>46</v>
      </c>
      <c r="U5" s="724" t="s">
        <v>47</v>
      </c>
      <c r="V5" s="743"/>
      <c r="W5" s="742"/>
      <c r="X5" s="724" t="s">
        <v>13</v>
      </c>
      <c r="Y5" s="724" t="s">
        <v>48</v>
      </c>
      <c r="Z5" s="724" t="s">
        <v>49</v>
      </c>
      <c r="AA5" s="724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46"/>
      <c r="B6" s="747"/>
      <c r="C6" s="747"/>
      <c r="D6" s="747"/>
      <c r="E6" s="759"/>
      <c r="F6" s="762"/>
      <c r="G6" s="358" t="s">
        <v>50</v>
      </c>
      <c r="H6" s="358" t="s">
        <v>51</v>
      </c>
      <c r="I6" s="747"/>
      <c r="J6" s="750"/>
      <c r="K6" s="753"/>
      <c r="L6" s="747"/>
      <c r="M6" s="755"/>
      <c r="N6" s="742"/>
      <c r="O6" s="724"/>
      <c r="P6" s="724"/>
      <c r="Q6" s="724"/>
      <c r="R6" s="741"/>
      <c r="S6" s="694"/>
      <c r="T6" s="724"/>
      <c r="U6" s="724"/>
      <c r="V6" s="743"/>
      <c r="W6" s="742"/>
      <c r="X6" s="724"/>
      <c r="Y6" s="724"/>
      <c r="Z6" s="724"/>
      <c r="AA6" s="724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4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4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5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4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5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6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6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8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37" t="s">
        <v>70</v>
      </c>
      <c r="B28" s="738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9">SUM(M7:M27)</f>
        <v>54.742280253062319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364">
        <f t="shared" ref="H29:H85" si="10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364">
        <f t="shared" si="10"/>
        <v>0</v>
      </c>
      <c r="I30" s="93">
        <f>SUM('1:2'!I30)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364">
        <f t="shared" si="10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364">
        <f t="shared" si="10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5"/>
        <v>0</v>
      </c>
      <c r="W32" s="33" t="str">
        <f t="shared" si="16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364">
        <f t="shared" si="10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5"/>
        <v>0</v>
      </c>
      <c r="W33" s="33" t="str">
        <f t="shared" si="16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SUM('1:2'!G34)</f>
        <v>0</v>
      </c>
      <c r="H34" s="364">
        <f t="shared" si="10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SUM('1:2'!G35)</f>
        <v>0</v>
      </c>
      <c r="H35" s="364">
        <f t="shared" si="10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SUM('1:2'!G36)</f>
        <v>0</v>
      </c>
      <c r="H36" s="364">
        <f t="shared" si="10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364">
        <f t="shared" si="10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7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364">
        <f t="shared" si="10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7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8"/>
        <v>0</v>
      </c>
      <c r="W38" s="33">
        <f t="shared" si="19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364">
        <f t="shared" si="10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8"/>
        <v>0</v>
      </c>
      <c r="W39" s="33" t="str">
        <f t="shared" si="19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364">
        <f t="shared" si="10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8"/>
        <v>0</v>
      </c>
      <c r="W40" s="33" t="str">
        <f t="shared" si="19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364">
        <f t="shared" si="10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8"/>
        <v>0</v>
      </c>
      <c r="W41" s="33" t="str">
        <f t="shared" si="19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364">
        <f t="shared" si="10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8"/>
        <v>0</v>
      </c>
      <c r="W42" s="33" t="str">
        <f t="shared" si="19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364">
        <f t="shared" si="10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8"/>
        <v>0</v>
      </c>
      <c r="W43" s="33" t="str">
        <f t="shared" si="19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364">
        <f t="shared" si="10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8"/>
        <v>0</v>
      </c>
      <c r="W44" s="33" t="str">
        <f t="shared" si="19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364">
        <f t="shared" si="10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7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8"/>
        <v>0</v>
      </c>
      <c r="W45" s="33">
        <f t="shared" si="19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364">
        <f t="shared" si="10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7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8"/>
        <v>0</v>
      </c>
      <c r="W46" s="33">
        <f t="shared" si="19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364">
        <f t="shared" si="10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8"/>
        <v>0</v>
      </c>
      <c r="W47" s="33" t="str">
        <f t="shared" si="19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364">
        <f t="shared" si="10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7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8"/>
        <v>0</v>
      </c>
      <c r="W48" s="33">
        <f t="shared" si="19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364">
        <f t="shared" si="10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364">
        <f t="shared" si="10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364">
        <f t="shared" si="10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364">
        <f t="shared" si="10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SUM('1:2'!G53)</f>
        <v>0</v>
      </c>
      <c r="H53" s="364">
        <f t="shared" si="10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SUM('1:2'!G54)</f>
        <v>0</v>
      </c>
      <c r="H54" s="364">
        <f t="shared" si="10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SUM('1:2'!G55)</f>
        <v>0</v>
      </c>
      <c r="H55" s="364">
        <f t="shared" si="10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SUM('1:2'!G56)</f>
        <v>0</v>
      </c>
      <c r="H56" s="364">
        <f t="shared" si="10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364">
        <f t="shared" si="10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364">
        <f t="shared" si="10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0"/>
        <v>0</v>
      </c>
      <c r="W58" s="33" t="str">
        <f t="shared" si="21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364">
        <f t="shared" si="10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0"/>
        <v>0</v>
      </c>
      <c r="W59" s="33" t="str">
        <f t="shared" si="21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364">
        <f t="shared" si="10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0"/>
        <v>0</v>
      </c>
      <c r="W60" s="33" t="str">
        <f t="shared" si="21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364">
        <f t="shared" si="10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0"/>
        <v>0</v>
      </c>
      <c r="W61" s="33" t="str">
        <f t="shared" si="21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364">
        <f t="shared" si="10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0"/>
        <v>0</v>
      </c>
      <c r="W62" s="33" t="str">
        <f t="shared" si="21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364">
        <f t="shared" si="10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0"/>
        <v>0</v>
      </c>
      <c r="W63" s="33" t="str">
        <f t="shared" si="21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364">
        <f t="shared" si="10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0"/>
        <v>0</v>
      </c>
      <c r="W64" s="33" t="str">
        <f t="shared" si="21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364">
        <f t="shared" si="10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0"/>
        <v>0</v>
      </c>
      <c r="W65" s="33" t="str">
        <f t="shared" si="21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364">
        <f t="shared" si="10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0"/>
        <v>0</v>
      </c>
      <c r="W66" s="33" t="str">
        <f t="shared" si="21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364">
        <f t="shared" si="10"/>
        <v>0</v>
      </c>
      <c r="I67" s="93">
        <f>SUM('1:2'!I67)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364">
        <f t="shared" si="10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364">
        <f t="shared" si="10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2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364">
        <f t="shared" si="10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3"/>
        <v>0</v>
      </c>
      <c r="W70" s="33" t="str">
        <f t="shared" si="24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SUM('1:2'!G71)</f>
        <v>0</v>
      </c>
      <c r="H71" s="364">
        <f t="shared" si="10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364">
        <f t="shared" si="10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364">
        <f t="shared" si="10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6"/>
        <v>0</v>
      </c>
      <c r="W73" s="33" t="str">
        <f t="shared" si="27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364">
        <f t="shared" si="10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6"/>
        <v>0</v>
      </c>
      <c r="W74" s="33" t="str">
        <f t="shared" si="27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364">
        <f t="shared" si="10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6"/>
        <v>0</v>
      </c>
      <c r="W75" s="33" t="str">
        <f t="shared" si="27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364">
        <f t="shared" si="10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364">
        <f t="shared" si="10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364">
        <f t="shared" si="10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364">
        <f t="shared" si="10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364">
        <f t="shared" si="10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364">
        <f t="shared" si="10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364">
        <f t="shared" si="10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364">
        <f t="shared" si="10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364">
        <f t="shared" si="10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364">
        <f t="shared" si="10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39" t="s">
        <v>86</v>
      </c>
      <c r="B86" s="739"/>
      <c r="C86" s="359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28">SUM(M29:M85)</f>
        <v>-8.9713455149501673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1"/>
        <v>0</v>
      </c>
      <c r="W88" s="33" t="str">
        <f t="shared" si="29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1"/>
        <v>0</v>
      </c>
      <c r="W89" s="33" t="str">
        <f t="shared" si="29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1"/>
        <v>0</v>
      </c>
      <c r="W90" s="33" t="str">
        <f t="shared" si="29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1"/>
        <v>0</v>
      </c>
      <c r="W91" s="33">
        <f t="shared" si="29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1"/>
        <v>0</v>
      </c>
      <c r="W92" s="33">
        <f t="shared" si="29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1"/>
        <v>0</v>
      </c>
      <c r="W93" s="33" t="str">
        <f t="shared" si="29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0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3"/>
        <v>0</v>
      </c>
      <c r="W100" s="33" t="str">
        <f t="shared" si="34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3"/>
        <v>0</v>
      </c>
      <c r="W101" s="33" t="str">
        <f t="shared" si="34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3"/>
        <v>0</v>
      </c>
      <c r="W102" s="33" t="str">
        <f t="shared" si="34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3"/>
        <v>0</v>
      </c>
      <c r="W103" s="33" t="str">
        <f t="shared" si="34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3"/>
        <v>0</v>
      </c>
      <c r="W104" s="33" t="str">
        <f t="shared" si="34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3"/>
        <v>0</v>
      </c>
      <c r="W105" s="33" t="str">
        <f t="shared" si="34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3"/>
        <v>0</v>
      </c>
      <c r="W106" s="33" t="str">
        <f t="shared" si="34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2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5">SUM(X113:AA113)</f>
        <v>0</v>
      </c>
      <c r="W113" s="33" t="str">
        <f t="shared" ref="W113:W114" si="36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5"/>
        <v>0</v>
      </c>
      <c r="W114" s="33" t="str">
        <f t="shared" si="36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38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38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31" t="s">
        <v>92</v>
      </c>
      <c r="B121" s="732"/>
      <c r="C121" s="359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0">SUM(M87:M120)</f>
        <v>-0.20430107526881036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3"/>
        <v>0</v>
      </c>
      <c r="W123" s="33" t="str">
        <f t="shared" si="41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3"/>
        <v>0</v>
      </c>
      <c r="W124" s="33" t="str">
        <f t="shared" si="41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3"/>
        <v>0</v>
      </c>
      <c r="W125" s="33" t="str">
        <f t="shared" si="41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3"/>
        <v>0</v>
      </c>
      <c r="W126" s="33" t="str">
        <f t="shared" si="41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3"/>
        <v>0</v>
      </c>
      <c r="W127" s="33" t="str">
        <f t="shared" si="41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3"/>
        <v>0</v>
      </c>
      <c r="W128" s="33" t="str">
        <f t="shared" si="41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3"/>
        <v>0</v>
      </c>
      <c r="W129" s="33" t="str">
        <f t="shared" si="41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3"/>
        <v>0</v>
      </c>
      <c r="W130" s="33" t="str">
        <f t="shared" si="41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3"/>
        <v>0</v>
      </c>
      <c r="W131" s="33" t="str">
        <f t="shared" si="41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3"/>
        <v>0</v>
      </c>
      <c r="W132" s="33" t="str">
        <f t="shared" si="41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3"/>
        <v>0</v>
      </c>
      <c r="W133" s="33" t="str">
        <f t="shared" si="41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3"/>
        <v>0</v>
      </c>
      <c r="W134" s="33" t="str">
        <f t="shared" si="41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2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3"/>
        <v>0</v>
      </c>
      <c r="W135" s="33">
        <f t="shared" si="41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2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3"/>
        <v>0</v>
      </c>
      <c r="W136" s="33">
        <f t="shared" si="41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31" t="s">
        <v>99</v>
      </c>
      <c r="B137" s="732"/>
      <c r="C137" s="359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6"/>
        <v>0</v>
      </c>
      <c r="W139" s="33" t="str">
        <f t="shared" si="41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6"/>
        <v>0</v>
      </c>
      <c r="W140" s="33" t="str">
        <f t="shared" si="41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6"/>
        <v>0</v>
      </c>
      <c r="W141" s="33" t="str">
        <f t="shared" si="41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6"/>
        <v>0</v>
      </c>
      <c r="W142" s="33" t="str">
        <f t="shared" si="41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>
        <f>SUM('1:2'!I143)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/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/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31" t="s">
        <v>102</v>
      </c>
      <c r="B148" s="732"/>
      <c r="C148" s="359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9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103</v>
      </c>
      <c r="C149" s="358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364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58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9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58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9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58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9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58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58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58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>
        <f>SUM('1:2'!I156)</f>
        <v>0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58" t="s">
        <v>60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60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60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436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>
        <f>SUM('1:2'!I162)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31" t="s">
        <v>106</v>
      </c>
      <c r="B163" s="732"/>
      <c r="C163" s="359" t="s">
        <v>71</v>
      </c>
      <c r="D163" s="20"/>
      <c r="E163" s="20"/>
      <c r="F163" s="32"/>
      <c r="G163" s="94">
        <f>SUM(G149:G162)</f>
        <v>96</v>
      </c>
      <c r="H163" s="30">
        <f>SUM(H149:H162)</f>
        <v>748.8</v>
      </c>
      <c r="I163" s="30">
        <f>SUM(I149:I162)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33" t="s">
        <v>108</v>
      </c>
      <c r="B164" s="734"/>
      <c r="C164" s="734"/>
      <c r="D164" s="734"/>
      <c r="E164" s="734"/>
      <c r="F164" s="735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23" t="s">
        <v>503</v>
      </c>
      <c r="B165" s="362" t="s">
        <v>110</v>
      </c>
      <c r="C165" s="714" t="s">
        <v>111</v>
      </c>
      <c r="D165" s="714"/>
      <c r="E165" s="724" t="s">
        <v>112</v>
      </c>
      <c r="F165" s="724"/>
      <c r="G165" s="694" t="s">
        <v>113</v>
      </c>
      <c r="H165" s="694"/>
      <c r="I165" s="724" t="s">
        <v>114</v>
      </c>
      <c r="J165" s="724"/>
      <c r="K165" s="724" t="s">
        <v>36</v>
      </c>
      <c r="L165" s="724"/>
      <c r="M165" s="724" t="s">
        <v>115</v>
      </c>
      <c r="N165" s="724"/>
      <c r="O165" s="724" t="s">
        <v>116</v>
      </c>
      <c r="P165" s="694" t="s">
        <v>117</v>
      </c>
      <c r="Q165" s="694"/>
      <c r="R165" s="694" t="s">
        <v>36</v>
      </c>
      <c r="S165" s="694"/>
      <c r="T165" s="694" t="s">
        <v>118</v>
      </c>
      <c r="U165" s="694"/>
      <c r="V165" s="694" t="s">
        <v>119</v>
      </c>
      <c r="W165" s="694"/>
      <c r="X165" s="694" t="s">
        <v>36</v>
      </c>
      <c r="Y165" s="694"/>
      <c r="Z165" s="694" t="s">
        <v>118</v>
      </c>
      <c r="AA165" s="694"/>
      <c r="AE165" s="14"/>
      <c r="AF165" s="14"/>
      <c r="AG165" s="3"/>
      <c r="AH165" s="368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24"/>
      <c r="B166" s="362" t="s">
        <v>120</v>
      </c>
      <c r="C166" s="729">
        <f>SUM('1:2'!C166)</f>
        <v>2</v>
      </c>
      <c r="D166" s="730"/>
      <c r="E166" s="728">
        <f>D166*11</f>
        <v>0</v>
      </c>
      <c r="F166" s="728"/>
      <c r="G166" s="729">
        <f>SUM('1:2'!G166)</f>
        <v>2</v>
      </c>
      <c r="H166" s="730"/>
      <c r="I166" s="724">
        <f>G166*11</f>
        <v>22</v>
      </c>
      <c r="J166" s="724"/>
      <c r="K166" s="724">
        <f>E166-I166</f>
        <v>-22</v>
      </c>
      <c r="L166" s="724"/>
      <c r="M166" s="726" t="str">
        <f>IF(ISERROR(K166/E166),"",K166/E166)</f>
        <v/>
      </c>
      <c r="N166" s="726"/>
      <c r="O166" s="724"/>
      <c r="P166" s="694" t="s">
        <v>70</v>
      </c>
      <c r="Q166" s="694"/>
      <c r="R166" s="717">
        <f>SUM(O28:U28)</f>
        <v>0</v>
      </c>
      <c r="S166" s="717"/>
      <c r="T166" s="725" t="str">
        <f t="array" ref="T166">IF(ISERROR(R166/R173),"",R166/R173)</f>
        <v/>
      </c>
      <c r="U166" s="725"/>
      <c r="V166" s="694" t="s">
        <v>41</v>
      </c>
      <c r="W166" s="694"/>
      <c r="X166" s="717">
        <f>SUM(P27,P85,P120,P136,P147,P161)</f>
        <v>0</v>
      </c>
      <c r="Y166" s="717"/>
      <c r="Z166" s="725" t="str">
        <f t="array" ref="Z166">IF(ISERROR(X166/X173),"",X166/X173)</f>
        <v/>
      </c>
      <c r="AA166" s="725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24"/>
      <c r="B167" s="362" t="s">
        <v>121</v>
      </c>
      <c r="C167" s="729">
        <f>SUM('1:2'!C167)</f>
        <v>2</v>
      </c>
      <c r="D167" s="730"/>
      <c r="E167" s="728">
        <f>D167*11</f>
        <v>0</v>
      </c>
      <c r="F167" s="728"/>
      <c r="G167" s="729">
        <f>SUM('1:2'!G167)</f>
        <v>2</v>
      </c>
      <c r="H167" s="730"/>
      <c r="I167" s="724">
        <f>G167*11</f>
        <v>22</v>
      </c>
      <c r="J167" s="724"/>
      <c r="K167" s="724">
        <f>E167-I167</f>
        <v>-22</v>
      </c>
      <c r="L167" s="724"/>
      <c r="M167" s="726" t="str">
        <f>IF(ISERROR(K167/E167),"",K167/E167)</f>
        <v/>
      </c>
      <c r="N167" s="726"/>
      <c r="O167" s="724"/>
      <c r="P167" s="694" t="s">
        <v>86</v>
      </c>
      <c r="Q167" s="694"/>
      <c r="R167" s="717">
        <f>SUM(O86:U86)</f>
        <v>0</v>
      </c>
      <c r="S167" s="717"/>
      <c r="T167" s="725" t="str">
        <f>IF(ISERROR(R167/R173),"",R167/R173)</f>
        <v/>
      </c>
      <c r="U167" s="725"/>
      <c r="V167" s="694" t="s">
        <v>42</v>
      </c>
      <c r="W167" s="694"/>
      <c r="X167" s="717">
        <f>SUM(P28,P86,P121,P137,P148,P163)</f>
        <v>0</v>
      </c>
      <c r="Y167" s="717"/>
      <c r="Z167" s="725" t="str">
        <f>IF(ISERROR(X167/X173),"",X167/X173)</f>
        <v/>
      </c>
      <c r="AA167" s="725"/>
      <c r="AE167" s="14"/>
      <c r="AF167" s="14"/>
      <c r="AG167" s="3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24"/>
      <c r="B168" s="362" t="s">
        <v>122</v>
      </c>
      <c r="C168" s="729">
        <f>SUM('1:2'!C168)</f>
        <v>2</v>
      </c>
      <c r="D168" s="730"/>
      <c r="E168" s="728">
        <f>D168*11</f>
        <v>0</v>
      </c>
      <c r="F168" s="728"/>
      <c r="G168" s="729">
        <f>SUM('1:2'!G168)</f>
        <v>2</v>
      </c>
      <c r="H168" s="730"/>
      <c r="I168" s="724">
        <f>G168*8</f>
        <v>16</v>
      </c>
      <c r="J168" s="724"/>
      <c r="K168" s="724">
        <f>E168-I168</f>
        <v>-16</v>
      </c>
      <c r="L168" s="724"/>
      <c r="M168" s="726" t="str">
        <f>IF(ISERROR(K168/E168),"",K168/E168)</f>
        <v/>
      </c>
      <c r="N168" s="726"/>
      <c r="O168" s="724"/>
      <c r="P168" s="694" t="s">
        <v>92</v>
      </c>
      <c r="Q168" s="694"/>
      <c r="R168" s="717">
        <f>SUM(O121:U121)</f>
        <v>0</v>
      </c>
      <c r="S168" s="717"/>
      <c r="T168" s="725" t="str">
        <f>IF(ISERROR(R168/R173),"",R168/R173)</f>
        <v/>
      </c>
      <c r="U168" s="725"/>
      <c r="V168" s="694" t="s">
        <v>43</v>
      </c>
      <c r="W168" s="694"/>
      <c r="X168" s="717">
        <f>SUM(P29,P87,P122,P138,P149,P164)</f>
        <v>0</v>
      </c>
      <c r="Y168" s="717"/>
      <c r="Z168" s="725" t="str">
        <f>IF(ISERROR(X168/X173),"",X168/X173)</f>
        <v/>
      </c>
      <c r="AA168" s="725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24"/>
      <c r="B169" s="362" t="s">
        <v>47</v>
      </c>
      <c r="C169" s="729">
        <f>SUM('1:2'!C169)</f>
        <v>2</v>
      </c>
      <c r="D169" s="730"/>
      <c r="E169" s="728">
        <f>D169*11</f>
        <v>0</v>
      </c>
      <c r="F169" s="728"/>
      <c r="G169" s="729">
        <f>SUM('1:2'!G169)</f>
        <v>2</v>
      </c>
      <c r="H169" s="730"/>
      <c r="I169" s="724">
        <f>G169*11</f>
        <v>22</v>
      </c>
      <c r="J169" s="724"/>
      <c r="K169" s="724">
        <f>E169-I169</f>
        <v>-22</v>
      </c>
      <c r="L169" s="724"/>
      <c r="M169" s="726" t="str">
        <f>IF(ISERROR(K169/E169),"",K169/E169)</f>
        <v/>
      </c>
      <c r="N169" s="726"/>
      <c r="O169" s="724"/>
      <c r="P169" s="694" t="s">
        <v>99</v>
      </c>
      <c r="Q169" s="694"/>
      <c r="R169" s="717">
        <f>SUM(O137:U137)</f>
        <v>0</v>
      </c>
      <c r="S169" s="717"/>
      <c r="T169" s="725" t="str">
        <f>IF(ISERROR(R169/R173),"",R169/R173)</f>
        <v/>
      </c>
      <c r="U169" s="725"/>
      <c r="V169" s="694" t="s">
        <v>44</v>
      </c>
      <c r="W169" s="694"/>
      <c r="X169" s="717">
        <f>SUM(P31,P88,P123,P139,P150,P165)</f>
        <v>0</v>
      </c>
      <c r="Y169" s="717"/>
      <c r="Z169" s="725" t="str">
        <f>IF(ISERROR(X169/X173),"",X169/X173)</f>
        <v/>
      </c>
      <c r="AA169" s="725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25"/>
      <c r="B170" s="362" t="s">
        <v>123</v>
      </c>
      <c r="C170" s="727">
        <f>SUM(C166:D169)</f>
        <v>8</v>
      </c>
      <c r="D170" s="724"/>
      <c r="E170" s="724">
        <f>SUM(F166:F169)</f>
        <v>0</v>
      </c>
      <c r="F170" s="724"/>
      <c r="G170" s="727">
        <f>SUM(G166:H169)</f>
        <v>8</v>
      </c>
      <c r="H170" s="724"/>
      <c r="I170" s="724">
        <f>SUM(I166:J169)</f>
        <v>82</v>
      </c>
      <c r="J170" s="724"/>
      <c r="K170" s="724">
        <f>SUM(K166:L169)</f>
        <v>-82</v>
      </c>
      <c r="L170" s="724"/>
      <c r="M170" s="726" t="str">
        <f>IF(ISERROR(K170/E170),"",K170/E170)</f>
        <v/>
      </c>
      <c r="N170" s="726"/>
      <c r="O170" s="724"/>
      <c r="P170" s="694" t="s">
        <v>102</v>
      </c>
      <c r="Q170" s="694"/>
      <c r="R170" s="717">
        <f>SUM(O148:U148)</f>
        <v>0</v>
      </c>
      <c r="S170" s="717"/>
      <c r="T170" s="725" t="str">
        <f>IF(ISERROR(R170/R173),"",R170/R173)</f>
        <v/>
      </c>
      <c r="U170" s="725"/>
      <c r="V170" s="694" t="s">
        <v>45</v>
      </c>
      <c r="W170" s="694"/>
      <c r="X170" s="717">
        <f>SUM(P32,P89,P124,P140,P151,P166)</f>
        <v>0</v>
      </c>
      <c r="Y170" s="717"/>
      <c r="Z170" s="725" t="str">
        <f>IF(ISERROR(X170/X173),"",X170/X173)</f>
        <v/>
      </c>
      <c r="AA170" s="725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09" t="s">
        <v>504</v>
      </c>
      <c r="B171" s="362">
        <f>G164</f>
        <v>10993</v>
      </c>
      <c r="C171" s="717" t="s">
        <v>155</v>
      </c>
      <c r="D171" s="717"/>
      <c r="E171" s="694">
        <f>H164</f>
        <v>55764.04</v>
      </c>
      <c r="F171" s="694"/>
      <c r="G171" s="694" t="s">
        <v>34</v>
      </c>
      <c r="H171" s="694"/>
      <c r="I171" s="723">
        <f>L164</f>
        <v>23.690228867206013</v>
      </c>
      <c r="J171" s="723"/>
      <c r="K171" s="724" t="s">
        <v>32</v>
      </c>
      <c r="L171" s="724"/>
      <c r="M171" s="723">
        <f>J164</f>
        <v>21.920239282153538</v>
      </c>
      <c r="N171" s="723"/>
      <c r="O171" s="724"/>
      <c r="P171" s="694" t="s">
        <v>106</v>
      </c>
      <c r="Q171" s="694"/>
      <c r="R171" s="717">
        <f>SUM(O163:U163)</f>
        <v>0</v>
      </c>
      <c r="S171" s="717"/>
      <c r="T171" s="725" t="str">
        <f>IF(ISERROR(R171/R173),"",R171/R173)</f>
        <v/>
      </c>
      <c r="U171" s="725"/>
      <c r="V171" s="694" t="s">
        <v>46</v>
      </c>
      <c r="W171" s="694"/>
      <c r="X171" s="717">
        <f>SUM(P33,P90,P125,P141,P152,P167)</f>
        <v>0</v>
      </c>
      <c r="Y171" s="717"/>
      <c r="Z171" s="725" t="str">
        <f>IF(ISERROR(X171/X173),"",X171/X173)</f>
        <v/>
      </c>
      <c r="AA171" s="725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7.25">
      <c r="A172" s="310" t="s">
        <v>505</v>
      </c>
      <c r="B172" s="362">
        <f>I164+C170</f>
        <v>509.5</v>
      </c>
      <c r="C172" s="694" t="s">
        <v>114</v>
      </c>
      <c r="D172" s="694"/>
      <c r="E172" s="714">
        <f>K164+I170</f>
        <v>546.03097503280878</v>
      </c>
      <c r="F172" s="714"/>
      <c r="G172" s="694" t="s">
        <v>150</v>
      </c>
      <c r="H172" s="694"/>
      <c r="I172" s="723">
        <f>B172-E172</f>
        <v>-36.530975032808783</v>
      </c>
      <c r="J172" s="723"/>
      <c r="K172" s="724" t="s">
        <v>151</v>
      </c>
      <c r="L172" s="724"/>
      <c r="M172" s="726">
        <f>IF(ISERROR(I172/B172),"",I172/B172)</f>
        <v>-7.1699656590399966E-2</v>
      </c>
      <c r="N172" s="726"/>
      <c r="O172" s="724"/>
      <c r="P172" s="694" t="s">
        <v>107</v>
      </c>
      <c r="Q172" s="694"/>
      <c r="R172" s="717"/>
      <c r="S172" s="717"/>
      <c r="T172" s="725" t="str">
        <f>IF(ISERROR(R172/R173),"",R172/R173)</f>
        <v/>
      </c>
      <c r="U172" s="725"/>
      <c r="V172" s="694" t="s">
        <v>47</v>
      </c>
      <c r="W172" s="694"/>
      <c r="X172" s="717"/>
      <c r="Y172" s="717"/>
      <c r="Z172" s="725" t="str">
        <f>IF(ISERROR(X172/X173),"",X172/X173)</f>
        <v/>
      </c>
      <c r="AA172" s="725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 ht="15.75" customHeight="1">
      <c r="A173" s="310" t="s">
        <v>507</v>
      </c>
      <c r="B173" s="362">
        <f>N164</f>
        <v>0</v>
      </c>
      <c r="C173" s="694" t="s">
        <v>149</v>
      </c>
      <c r="D173" s="694"/>
      <c r="E173" s="725">
        <f>IF(ISERROR(B173/B172),"",B173/B172)</f>
        <v>0</v>
      </c>
      <c r="F173" s="725"/>
      <c r="G173" s="694" t="s">
        <v>158</v>
      </c>
      <c r="H173" s="694"/>
      <c r="I173" s="724">
        <f>V164</f>
        <v>0</v>
      </c>
      <c r="J173" s="724"/>
      <c r="K173" s="724" t="s">
        <v>156</v>
      </c>
      <c r="L173" s="724"/>
      <c r="M173" s="726">
        <f t="array" ref="M173">IF(ISERROR(I173/B171),"",I173/B171)</f>
        <v>0</v>
      </c>
      <c r="N173" s="726"/>
      <c r="O173" s="724"/>
      <c r="P173" s="694" t="s">
        <v>123</v>
      </c>
      <c r="Q173" s="694"/>
      <c r="R173" s="717">
        <f>SUM(R166:S172)</f>
        <v>0</v>
      </c>
      <c r="S173" s="717"/>
      <c r="T173" s="725">
        <f>SUM(T166:U172)</f>
        <v>0</v>
      </c>
      <c r="U173" s="725"/>
      <c r="V173" s="694" t="s">
        <v>123</v>
      </c>
      <c r="W173" s="694"/>
      <c r="X173" s="717">
        <f>SUM(X166:Y172)</f>
        <v>0</v>
      </c>
      <c r="Y173" s="717"/>
      <c r="Z173" s="725">
        <f>SUM(Z166:AA172)</f>
        <v>0</v>
      </c>
      <c r="AA173" s="725"/>
      <c r="AE173" s="14"/>
      <c r="AF173" s="14"/>
      <c r="AG173" s="370"/>
      <c r="AH173" s="370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67"/>
      <c r="AV173" s="367"/>
      <c r="AW173" s="367"/>
      <c r="AX173" s="367"/>
      <c r="AY173" s="367"/>
      <c r="AZ173" s="367"/>
      <c r="BA173" s="367"/>
    </row>
    <row r="174" spans="1:106">
      <c r="A174" s="756" t="s">
        <v>128</v>
      </c>
      <c r="B174" s="756"/>
      <c r="C174" s="756"/>
      <c r="D174" s="756"/>
      <c r="E174" s="756"/>
      <c r="F174" s="756"/>
      <c r="G174" s="756"/>
      <c r="H174" s="756"/>
      <c r="I174" s="756"/>
      <c r="J174" s="764"/>
      <c r="K174" s="756"/>
      <c r="L174" s="756"/>
      <c r="M174" s="756"/>
      <c r="N174" s="756"/>
      <c r="O174" s="756"/>
      <c r="P174" s="756"/>
      <c r="Q174" s="756"/>
      <c r="R174" s="756"/>
      <c r="S174" s="756"/>
      <c r="T174" s="756"/>
      <c r="U174" s="756"/>
      <c r="V174" s="756"/>
      <c r="W174" s="756"/>
      <c r="X174" s="756"/>
      <c r="Y174" s="756"/>
      <c r="Z174" s="756"/>
      <c r="AA174" s="756"/>
      <c r="AB174" s="756"/>
      <c r="AC174" s="756"/>
      <c r="AD174" s="756"/>
      <c r="AE174" s="756"/>
      <c r="AF174" s="756"/>
      <c r="AG174" s="756"/>
      <c r="AH174" s="756"/>
      <c r="AI174" s="756"/>
      <c r="AJ174" s="756"/>
      <c r="AK174" s="756"/>
      <c r="AL174" s="756"/>
      <c r="AM174" s="756"/>
      <c r="AN174" s="756"/>
      <c r="AO174" s="756"/>
      <c r="AP174" s="756"/>
      <c r="AQ174" s="756"/>
      <c r="AR174" s="756"/>
      <c r="AS174" s="756"/>
      <c r="AT174" s="756"/>
      <c r="AU174" s="756"/>
      <c r="AV174" s="756"/>
      <c r="AW174" s="756"/>
      <c r="AX174" s="756"/>
      <c r="AY174" s="756"/>
      <c r="AZ174" s="756"/>
      <c r="BA174" s="756"/>
    </row>
    <row r="175" spans="1:106">
      <c r="A175" s="644" t="s">
        <v>502</v>
      </c>
      <c r="B175" s="745" t="s">
        <v>25</v>
      </c>
      <c r="C175" s="745" t="s">
        <v>26</v>
      </c>
      <c r="D175" s="745" t="s">
        <v>27</v>
      </c>
      <c r="E175" s="757" t="s">
        <v>28</v>
      </c>
      <c r="F175" s="760" t="s">
        <v>29</v>
      </c>
      <c r="G175" s="724" t="s">
        <v>30</v>
      </c>
      <c r="H175" s="724"/>
      <c r="I175" s="745" t="s">
        <v>31</v>
      </c>
      <c r="J175" s="748" t="s">
        <v>32</v>
      </c>
      <c r="K175" s="751" t="s">
        <v>33</v>
      </c>
      <c r="L175" s="745" t="s">
        <v>34</v>
      </c>
      <c r="M175" s="754" t="s">
        <v>35</v>
      </c>
      <c r="N175" s="742" t="s">
        <v>36</v>
      </c>
      <c r="O175" s="724" t="s">
        <v>37</v>
      </c>
      <c r="P175" s="724"/>
      <c r="Q175" s="724"/>
      <c r="R175" s="724"/>
      <c r="S175" s="724"/>
      <c r="T175" s="724"/>
      <c r="U175" s="724"/>
      <c r="V175" s="743" t="s">
        <v>38</v>
      </c>
      <c r="W175" s="742" t="s">
        <v>39</v>
      </c>
      <c r="X175" s="724" t="s">
        <v>40</v>
      </c>
      <c r="Y175" s="724"/>
      <c r="Z175" s="724"/>
      <c r="AA175" s="724"/>
      <c r="AB175" s="21"/>
      <c r="AC175" s="21"/>
      <c r="AD175" s="21"/>
      <c r="AE175" s="21"/>
      <c r="AF175" s="21"/>
      <c r="AG175" s="21"/>
      <c r="AH175" s="21"/>
      <c r="AI175" s="744"/>
      <c r="AJ175" s="740"/>
      <c r="AK175" s="740"/>
      <c r="AL175" s="740"/>
      <c r="AM175" s="740"/>
      <c r="AN175" s="740"/>
      <c r="AO175" s="740"/>
      <c r="AP175" s="740"/>
      <c r="AQ175" s="740"/>
      <c r="AR175" s="740"/>
      <c r="AS175" s="740"/>
      <c r="AT175" s="740"/>
      <c r="AU175" s="740"/>
      <c r="AV175" s="740"/>
      <c r="AW175" s="740"/>
      <c r="AX175" s="740"/>
      <c r="AY175" s="740"/>
      <c r="AZ175" s="740"/>
      <c r="BA175" s="740"/>
    </row>
    <row r="176" spans="1:106" ht="15.75" customHeight="1">
      <c r="A176" s="645"/>
      <c r="B176" s="746"/>
      <c r="C176" s="746"/>
      <c r="D176" s="746"/>
      <c r="E176" s="758"/>
      <c r="F176" s="761"/>
      <c r="G176" s="724"/>
      <c r="H176" s="724"/>
      <c r="I176" s="746"/>
      <c r="J176" s="749"/>
      <c r="K176" s="752"/>
      <c r="L176" s="746"/>
      <c r="M176" s="755"/>
      <c r="N176" s="742"/>
      <c r="O176" s="724" t="s">
        <v>41</v>
      </c>
      <c r="P176" s="724" t="s">
        <v>42</v>
      </c>
      <c r="Q176" s="724" t="s">
        <v>43</v>
      </c>
      <c r="R176" s="741" t="s">
        <v>44</v>
      </c>
      <c r="S176" s="694" t="s">
        <v>45</v>
      </c>
      <c r="T176" s="724" t="s">
        <v>46</v>
      </c>
      <c r="U176" s="724" t="s">
        <v>47</v>
      </c>
      <c r="V176" s="743"/>
      <c r="W176" s="742"/>
      <c r="X176" s="724" t="s">
        <v>13</v>
      </c>
      <c r="Y176" s="724" t="s">
        <v>48</v>
      </c>
      <c r="Z176" s="724" t="s">
        <v>49</v>
      </c>
      <c r="AA176" s="724" t="s">
        <v>47</v>
      </c>
      <c r="AB176" s="21"/>
      <c r="AC176" s="21"/>
      <c r="AD176" s="21"/>
      <c r="AE176" s="21"/>
      <c r="AF176" s="21"/>
      <c r="AG176" s="21"/>
      <c r="AH176" s="21"/>
      <c r="AI176" s="744"/>
      <c r="AJ176" s="740"/>
      <c r="AK176" s="740"/>
      <c r="AL176" s="740"/>
      <c r="AM176" s="740"/>
      <c r="AN176" s="740"/>
      <c r="AO176" s="740"/>
      <c r="AP176" s="740"/>
      <c r="AQ176" s="740"/>
      <c r="AR176" s="740"/>
      <c r="AS176" s="763"/>
      <c r="AT176" s="763"/>
      <c r="AU176" s="763"/>
      <c r="AV176" s="763"/>
      <c r="AW176" s="763"/>
      <c r="AX176" s="763"/>
      <c r="AY176" s="763"/>
      <c r="AZ176" s="763"/>
      <c r="BA176" s="763"/>
    </row>
    <row r="177" spans="1:53" ht="15.75" customHeight="1">
      <c r="A177" s="646"/>
      <c r="B177" s="747"/>
      <c r="C177" s="747"/>
      <c r="D177" s="747"/>
      <c r="E177" s="759"/>
      <c r="F177" s="762"/>
      <c r="G177" s="358" t="s">
        <v>50</v>
      </c>
      <c r="H177" s="358" t="s">
        <v>51</v>
      </c>
      <c r="I177" s="747"/>
      <c r="J177" s="750"/>
      <c r="K177" s="753"/>
      <c r="L177" s="747"/>
      <c r="M177" s="755"/>
      <c r="N177" s="742"/>
      <c r="O177" s="724"/>
      <c r="P177" s="724"/>
      <c r="Q177" s="724"/>
      <c r="R177" s="741"/>
      <c r="S177" s="694"/>
      <c r="T177" s="724"/>
      <c r="U177" s="724"/>
      <c r="V177" s="743"/>
      <c r="W177" s="742"/>
      <c r="X177" s="724"/>
      <c r="Y177" s="724"/>
      <c r="Z177" s="724"/>
      <c r="AA177" s="724"/>
      <c r="AB177" s="21"/>
      <c r="AC177" s="21"/>
      <c r="AD177" s="21"/>
      <c r="AE177" s="21"/>
      <c r="AF177" s="21"/>
      <c r="AG177" s="21"/>
      <c r="AH177" s="21"/>
      <c r="AI177" s="744"/>
      <c r="AJ177" s="740"/>
      <c r="AK177" s="740"/>
      <c r="AL177" s="367"/>
      <c r="AM177" s="367"/>
      <c r="AN177" s="367"/>
      <c r="AO177" s="367"/>
      <c r="AP177" s="367"/>
      <c r="AQ177" s="367"/>
      <c r="AR177" s="367"/>
      <c r="AS177" s="21"/>
      <c r="AT177" s="21"/>
      <c r="AU177" s="21"/>
      <c r="AV177" s="368"/>
      <c r="AW177" s="367"/>
      <c r="AX177" s="367"/>
      <c r="AY177" s="367"/>
      <c r="AZ177" s="367"/>
      <c r="BA177" s="367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369"/>
      <c r="AM178" s="54"/>
      <c r="AN178" s="369"/>
      <c r="AO178" s="369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369"/>
      <c r="AO179" s="54"/>
      <c r="AP179" s="369"/>
      <c r="AQ179" s="54"/>
      <c r="AR179" s="54"/>
      <c r="AS179" s="369"/>
      <c r="AT179" s="369"/>
      <c r="AU179" s="369"/>
      <c r="AV179" s="369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69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5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5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369"/>
      <c r="AM186" s="54"/>
      <c r="AN186" s="54"/>
      <c r="AO186" s="54"/>
      <c r="AP186" s="369"/>
      <c r="AQ186" s="369"/>
      <c r="AR186" s="369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5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172</v>
      </c>
      <c r="D188" s="108"/>
      <c r="E188" s="17"/>
      <c r="F188" s="6"/>
      <c r="G188" s="93">
        <f>SUM('1:2'!G188)</f>
        <v>0</v>
      </c>
      <c r="H188" s="95">
        <f t="shared" si="65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5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5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5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6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5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6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7"/>
        <v>0</v>
      </c>
      <c r="W192" s="33">
        <f t="shared" si="68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56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5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7"/>
        <v>0</v>
      </c>
      <c r="W193" s="33" t="str">
        <f t="shared" si="68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56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5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7"/>
        <v>0</v>
      </c>
      <c r="W194" s="33" t="str">
        <f t="shared" si="68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56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5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56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5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5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5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73"/>
      <c r="AC198" s="54"/>
      <c r="AD198" s="370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37" t="s">
        <v>70</v>
      </c>
      <c r="B199" s="738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69">SUM(M178:M198)</f>
        <v>67.504910027694791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364">
        <f t="shared" ref="H200:H256" si="70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1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2">SUM(X200:AA200)</f>
        <v>0</v>
      </c>
      <c r="W200" s="33" t="str">
        <f t="shared" ref="W200" si="73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364">
        <f t="shared" si="70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364">
        <f t="shared" si="70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4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5">SUM(X202:AA202)</f>
        <v>0</v>
      </c>
      <c r="W202" s="33" t="str">
        <f t="shared" ref="W202:W204" si="76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364">
        <f t="shared" si="70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5"/>
        <v>0</v>
      </c>
      <c r="W203" s="33" t="str">
        <f t="shared" si="76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364">
        <f t="shared" si="70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7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5"/>
        <v>0</v>
      </c>
      <c r="W204" s="33" t="str">
        <f t="shared" si="76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55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364">
        <f t="shared" si="70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55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364">
        <f t="shared" si="70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55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364">
        <f t="shared" si="70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364">
        <f t="shared" si="70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78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364">
        <f t="shared" si="70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78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79"/>
        <v>0</v>
      </c>
      <c r="W209" s="33">
        <f t="shared" si="80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364">
        <f t="shared" si="70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79"/>
        <v>0</v>
      </c>
      <c r="W210" s="33" t="str">
        <f t="shared" si="80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364">
        <f t="shared" si="70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79"/>
        <v>0</v>
      </c>
      <c r="W211" s="33" t="str">
        <f t="shared" si="80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364">
        <f t="shared" si="70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79"/>
        <v>0</v>
      </c>
      <c r="W212" s="33" t="str">
        <f t="shared" si="80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25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364">
        <f t="shared" si="70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78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79"/>
        <v>0</v>
      </c>
      <c r="W213" s="33">
        <f t="shared" si="80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73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364">
        <f t="shared" si="70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79"/>
        <v>0</v>
      </c>
      <c r="W214" s="33" t="str">
        <f t="shared" si="80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25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364">
        <f t="shared" si="70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78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79"/>
        <v>0</v>
      </c>
      <c r="W215" s="33" t="str">
        <f t="shared" si="80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73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364">
        <f t="shared" si="70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78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79"/>
        <v>0</v>
      </c>
      <c r="W216" s="33">
        <f t="shared" si="80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364">
        <f t="shared" si="70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78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79"/>
        <v>0</v>
      </c>
      <c r="W217" s="33">
        <f t="shared" si="80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364">
        <f t="shared" si="70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78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79"/>
        <v>0</v>
      </c>
      <c r="W218" s="33">
        <f t="shared" si="80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364">
        <f t="shared" si="70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78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79"/>
        <v>0</v>
      </c>
      <c r="W219" s="33" t="str">
        <f t="shared" si="80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364">
        <f t="shared" si="70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364">
        <f t="shared" si="70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364">
        <f t="shared" si="70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364">
        <f t="shared" si="70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78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364">
        <f t="shared" si="70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364">
        <f t="shared" si="70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364">
        <f t="shared" si="70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364">
        <f t="shared" si="70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25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364">
        <f t="shared" si="70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1">SUM(X228:AA228)</f>
        <v>0</v>
      </c>
      <c r="W228" s="33" t="str">
        <f t="shared" ref="W228:W237" si="82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364">
        <f t="shared" si="70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1"/>
        <v>0</v>
      </c>
      <c r="W229" s="33" t="str">
        <f t="shared" si="82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364">
        <f t="shared" si="70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78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1"/>
        <v>0</v>
      </c>
      <c r="W230" s="33" t="str">
        <f t="shared" si="82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364">
        <f t="shared" si="70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1"/>
        <v>0</v>
      </c>
      <c r="W231" s="33" t="str">
        <f t="shared" si="82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364">
        <f t="shared" si="70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1"/>
        <v>0</v>
      </c>
      <c r="W232" s="33" t="str">
        <f t="shared" si="82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364">
        <f t="shared" si="70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1"/>
        <v>0</v>
      </c>
      <c r="W233" s="33" t="str">
        <f t="shared" si="82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364">
        <f t="shared" si="70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1"/>
        <v>0</v>
      </c>
      <c r="W234" s="33" t="str">
        <f t="shared" si="82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364">
        <f t="shared" si="70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1"/>
        <v>0</v>
      </c>
      <c r="W235" s="33" t="str">
        <f t="shared" si="82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364">
        <f t="shared" si="70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1"/>
        <v>0</v>
      </c>
      <c r="W236" s="33" t="str">
        <f t="shared" si="82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364">
        <f t="shared" si="70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78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1"/>
        <v>0</v>
      </c>
      <c r="W237" s="33" t="str">
        <f t="shared" si="82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364">
        <f t="shared" si="70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364">
        <f t="shared" si="70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3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364">
        <f t="shared" si="70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3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364">
        <f t="shared" si="70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3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4"/>
        <v>0</v>
      </c>
      <c r="W241" s="33" t="str">
        <f t="shared" si="85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364">
        <f t="shared" si="70"/>
        <v>0</v>
      </c>
      <c r="I242" s="93">
        <f>SUM('1:2'!I242)</f>
        <v>0</v>
      </c>
      <c r="J242" s="31"/>
      <c r="K242" s="35"/>
      <c r="L242" s="87"/>
      <c r="M242" s="36">
        <f t="shared" si="83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364">
        <f t="shared" si="70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364">
        <f t="shared" si="70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6"/>
        <v>0</v>
      </c>
      <c r="W244" s="33" t="str">
        <f t="shared" si="87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364">
        <f t="shared" si="70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6"/>
        <v>0</v>
      </c>
      <c r="W245" s="33" t="str">
        <f t="shared" si="87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364">
        <f t="shared" si="70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6"/>
        <v>0</v>
      </c>
      <c r="W246" s="33" t="str">
        <f t="shared" si="87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364">
        <f t="shared" si="70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364">
        <f t="shared" si="70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364">
        <f t="shared" si="70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364">
        <f t="shared" si="70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364">
        <f t="shared" si="70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364">
        <f t="shared" si="70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364">
        <f t="shared" si="70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364">
        <f t="shared" si="70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364">
        <f t="shared" si="70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364">
        <f t="shared" si="70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73"/>
      <c r="AC256" s="54"/>
      <c r="AD256" s="370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39" t="s">
        <v>86</v>
      </c>
      <c r="B257" s="739"/>
      <c r="C257" s="359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88">SUM(M200:M256)</f>
        <v>58.156284606865995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70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364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364">
        <f t="shared" ref="H259:H291" si="93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2"/>
        <v>0</v>
      </c>
      <c r="W259" s="33" t="str">
        <f t="shared" si="89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364">
        <f t="shared" si="93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0"/>
        <v>0</v>
      </c>
      <c r="N260" s="31">
        <f t="shared" si="91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2"/>
        <v>0</v>
      </c>
      <c r="W260" s="33" t="str">
        <f t="shared" si="89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364">
        <f t="shared" si="93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2"/>
        <v>0</v>
      </c>
      <c r="W261" s="33" t="str">
        <f t="shared" si="89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364">
        <f t="shared" si="93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2"/>
        <v>0</v>
      </c>
      <c r="W262" s="33" t="str">
        <f t="shared" si="89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364">
        <f t="shared" si="93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0"/>
        <v>12.301075268817206</v>
      </c>
      <c r="N263" s="31">
        <f t="shared" si="91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2"/>
        <v>0</v>
      </c>
      <c r="W263" s="33">
        <f t="shared" si="89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364">
        <f t="shared" si="93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2"/>
        <v>0</v>
      </c>
      <c r="W264" s="33" t="str">
        <f t="shared" si="89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73"/>
      <c r="AC264" s="54"/>
      <c r="AD264" s="370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364">
        <f t="shared" si="93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364">
        <f t="shared" si="93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364">
        <f t="shared" si="93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364">
        <f t="shared" si="93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364">
        <f t="shared" si="93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364">
        <f t="shared" si="93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364">
        <f t="shared" si="93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6"/>
        <v>0</v>
      </c>
      <c r="W271" s="33" t="str">
        <f t="shared" si="97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364">
        <f t="shared" si="93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6"/>
        <v>0</v>
      </c>
      <c r="W272" s="33" t="str">
        <f t="shared" si="97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364">
        <f t="shared" si="93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6"/>
        <v>0</v>
      </c>
      <c r="W273" s="33" t="str">
        <f t="shared" si="97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364">
        <f t="shared" si="93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6"/>
        <v>0</v>
      </c>
      <c r="W274" s="33" t="str">
        <f t="shared" si="97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364">
        <f t="shared" si="93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6"/>
        <v>0</v>
      </c>
      <c r="W275" s="33" t="str">
        <f t="shared" si="97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364">
        <f t="shared" si="93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6"/>
        <v>0</v>
      </c>
      <c r="W276" s="33" t="str">
        <f t="shared" si="97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364">
        <f t="shared" si="93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6"/>
        <v>0</v>
      </c>
      <c r="W277" s="33" t="str">
        <f t="shared" si="97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364">
        <f t="shared" si="93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364">
        <f t="shared" si="93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364">
        <f t="shared" si="93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364">
        <f t="shared" si="93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364">
        <f t="shared" si="93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364">
        <f t="shared" si="93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4"/>
        <v>0</v>
      </c>
      <c r="N283" s="31">
        <f t="shared" si="95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364">
        <f t="shared" si="93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4"/>
        <v>0</v>
      </c>
      <c r="N284" s="31">
        <f t="shared" si="95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98">SUM(X284:AA284)</f>
        <v>0</v>
      </c>
      <c r="W284" s="33" t="str">
        <f t="shared" ref="W284:W285" si="99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364">
        <f t="shared" si="93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98"/>
        <v>0</v>
      </c>
      <c r="W285" s="33" t="str">
        <f t="shared" si="99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364">
        <f t="shared" si="93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364">
        <f t="shared" si="93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364">
        <f t="shared" si="93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364">
        <f t="shared" si="93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0">IF(ISERROR(I289-K289),"",I289-K289)</f>
        <v>0</v>
      </c>
      <c r="N289" s="31">
        <f t="shared" ref="N289:N291" si="101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2">SUM(X289:AA289)</f>
        <v>0</v>
      </c>
      <c r="W289" s="33" t="str">
        <f t="shared" ref="W289:W313" si="103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364">
        <f t="shared" si="93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2"/>
        <v>0</v>
      </c>
      <c r="W290" s="33" t="str">
        <f t="shared" si="103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364">
        <f t="shared" si="93"/>
        <v>0</v>
      </c>
      <c r="I291" s="93">
        <f>SUM('1:2'!I291)</f>
        <v>0</v>
      </c>
      <c r="J291" s="31" t="str">
        <f t="array" ref="J291">IF(ISERROR(G291/I291),"",G291/I291)</f>
        <v/>
      </c>
      <c r="K291" s="364">
        <f t="array" ref="K291">IF(ISERROR(G291/L291),"",G291/L291)</f>
        <v>0</v>
      </c>
      <c r="L291" s="87">
        <v>9</v>
      </c>
      <c r="M291" s="36">
        <f t="shared" si="100"/>
        <v>0</v>
      </c>
      <c r="N291" s="31">
        <f t="shared" si="101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2"/>
        <v>0</v>
      </c>
      <c r="W291" s="33" t="str">
        <f t="shared" si="103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73"/>
      <c r="AC291" s="54"/>
      <c r="AD291" s="370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31" t="s">
        <v>92</v>
      </c>
      <c r="B292" s="732"/>
      <c r="C292" s="359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4">SUM(M258:M291)</f>
        <v>12.978494623655916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70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364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5">IF(ISERROR(I293-K293),"",I293-K293)</f>
        <v>0</v>
      </c>
      <c r="N293" s="31">
        <f t="shared" ref="N293:N307" si="106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07">SUM(X293:AA293)</f>
        <v>0</v>
      </c>
      <c r="W293" s="33" t="str">
        <f t="shared" si="103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364">
        <f t="shared" ref="H294:H307" si="108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5"/>
        <v>0</v>
      </c>
      <c r="N294" s="31">
        <f t="shared" si="106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07"/>
        <v>0</v>
      </c>
      <c r="W294" s="33" t="str">
        <f t="shared" si="103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364">
        <f t="shared" si="108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5"/>
        <v>7.6</v>
      </c>
      <c r="N295" s="31">
        <f t="shared" si="106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07"/>
        <v>0</v>
      </c>
      <c r="W295" s="33">
        <f t="shared" si="103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364">
        <f t="shared" si="108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07"/>
        <v>0</v>
      </c>
      <c r="W296" s="33" t="str">
        <f t="shared" si="103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65" t="s">
        <v>72</v>
      </c>
      <c r="D297" s="17">
        <v>5.03</v>
      </c>
      <c r="E297" s="17"/>
      <c r="F297" s="6"/>
      <c r="G297" s="93">
        <f>SUM('1:2'!G297)</f>
        <v>0</v>
      </c>
      <c r="H297" s="364">
        <f t="shared" si="108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07"/>
        <v>0</v>
      </c>
      <c r="W297" s="33" t="str">
        <f t="shared" si="103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364">
        <f t="shared" si="108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07"/>
        <v>0</v>
      </c>
      <c r="W298" s="33" t="str">
        <f t="shared" si="103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364">
        <f t="shared" si="108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07"/>
        <v>0</v>
      </c>
      <c r="W299" s="33" t="str">
        <f t="shared" si="103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65" t="s">
        <v>96</v>
      </c>
      <c r="D300" s="17">
        <v>5.03</v>
      </c>
      <c r="E300" s="17"/>
      <c r="F300" s="6"/>
      <c r="G300" s="93">
        <f>SUM('1:2'!G300)</f>
        <v>0</v>
      </c>
      <c r="H300" s="364">
        <f t="shared" si="108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07"/>
        <v>0</v>
      </c>
      <c r="W300" s="33" t="str">
        <f t="shared" si="103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65" t="s">
        <v>82</v>
      </c>
      <c r="D301" s="17">
        <v>5.03</v>
      </c>
      <c r="E301" s="17"/>
      <c r="F301" s="6"/>
      <c r="G301" s="93">
        <f>SUM('1:2'!G301)</f>
        <v>0</v>
      </c>
      <c r="H301" s="364">
        <f t="shared" si="108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07"/>
        <v>0</v>
      </c>
      <c r="W301" s="33" t="str">
        <f t="shared" si="103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65" t="s">
        <v>72</v>
      </c>
      <c r="D302" s="17">
        <v>5.03</v>
      </c>
      <c r="E302" s="17"/>
      <c r="F302" s="6"/>
      <c r="G302" s="93">
        <f>SUM('1:2'!G302)</f>
        <v>0</v>
      </c>
      <c r="H302" s="364">
        <f t="shared" si="108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07"/>
        <v>0</v>
      </c>
      <c r="W302" s="33" t="str">
        <f t="shared" si="103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65" t="s">
        <v>60</v>
      </c>
      <c r="D303" s="17">
        <v>5.03</v>
      </c>
      <c r="E303" s="17"/>
      <c r="F303" s="6"/>
      <c r="G303" s="93">
        <f>SUM('1:2'!G303)</f>
        <v>0</v>
      </c>
      <c r="H303" s="364">
        <f t="shared" si="108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07"/>
        <v>0</v>
      </c>
      <c r="W303" s="33" t="str">
        <f t="shared" si="103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65" t="s">
        <v>96</v>
      </c>
      <c r="D304" s="17">
        <v>5.03</v>
      </c>
      <c r="E304" s="17"/>
      <c r="F304" s="6"/>
      <c r="G304" s="93">
        <f>SUM('1:2'!G304)</f>
        <v>0</v>
      </c>
      <c r="H304" s="364">
        <f t="shared" si="108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07"/>
        <v>0</v>
      </c>
      <c r="W304" s="33" t="str">
        <f t="shared" si="103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65" t="s">
        <v>73</v>
      </c>
      <c r="D305" s="17">
        <v>5.03</v>
      </c>
      <c r="E305" s="17"/>
      <c r="F305" s="6"/>
      <c r="G305" s="93">
        <f>SUM('1:2'!G305)</f>
        <v>0</v>
      </c>
      <c r="H305" s="364">
        <f t="shared" si="108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07"/>
        <v>0</v>
      </c>
      <c r="W305" s="33" t="str">
        <f t="shared" si="103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364">
        <f t="shared" si="108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5"/>
        <v>21.619999999999997</v>
      </c>
      <c r="N306" s="31">
        <f t="shared" si="106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07"/>
        <v>0</v>
      </c>
      <c r="W306" s="33">
        <f t="shared" si="103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364">
        <f t="shared" si="108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5"/>
        <v>5.16</v>
      </c>
      <c r="N307" s="31">
        <f t="shared" si="106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07"/>
        <v>0</v>
      </c>
      <c r="W307" s="33">
        <f t="shared" si="103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73"/>
      <c r="AC307" s="54"/>
      <c r="AD307" s="370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31" t="s">
        <v>99</v>
      </c>
      <c r="B308" s="732"/>
      <c r="C308" s="359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09">SUM(M293:M307)</f>
        <v>34.379999999999995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70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364">
        <f t="shared" ref="H309:H318" si="110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364">
        <f t="shared" si="110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3"/>
        <v>0</v>
      </c>
      <c r="W310" s="33" t="str">
        <f t="shared" si="103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364">
        <f t="shared" si="110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3"/>
        <v>0</v>
      </c>
      <c r="W311" s="33" t="str">
        <f t="shared" si="103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364">
        <f t="shared" si="110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3"/>
        <v>0</v>
      </c>
      <c r="W312" s="33" t="str">
        <f t="shared" si="103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364">
        <f t="shared" si="110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3"/>
        <v>0</v>
      </c>
      <c r="W313" s="33" t="str">
        <f t="shared" si="103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439</v>
      </c>
      <c r="C314" s="187" t="s">
        <v>441</v>
      </c>
      <c r="D314" s="17">
        <v>5.03</v>
      </c>
      <c r="E314" s="17"/>
      <c r="F314" s="6"/>
      <c r="G314" s="93">
        <f>SUM('1:2'!G314)</f>
        <v>18</v>
      </c>
      <c r="H314" s="374">
        <f t="shared" si="110"/>
        <v>90.54</v>
      </c>
      <c r="I314" s="93">
        <f>SUM('1:2'!I314)</f>
        <v>2</v>
      </c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70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/>
      <c r="H315" s="374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/>
      <c r="H316" s="378">
        <f t="shared" si="110"/>
        <v>0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/>
      <c r="H317" s="450">
        <f t="shared" si="110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364">
        <f t="shared" si="110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31" t="s">
        <v>102</v>
      </c>
      <c r="B319" s="732"/>
      <c r="C319" s="359" t="s">
        <v>71</v>
      </c>
      <c r="D319" s="20"/>
      <c r="E319" s="20"/>
      <c r="F319" s="32"/>
      <c r="G319" s="103">
        <f>SUM(G309:G318)</f>
        <v>18</v>
      </c>
      <c r="H319" s="30">
        <f>SUM(H309:H318)</f>
        <v>90.54</v>
      </c>
      <c r="I319" s="30">
        <f>SUM(I309:I318)</f>
        <v>2</v>
      </c>
      <c r="J319" s="31">
        <f t="array" ref="J319">IF(ISERROR(G319/I319),"",G319/I319)</f>
        <v>9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70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58"/>
      <c r="D320" s="17">
        <v>3.65</v>
      </c>
      <c r="E320" s="17"/>
      <c r="F320" s="53"/>
      <c r="G320" s="93">
        <f>SUM('1:2'!G320)</f>
        <v>0</v>
      </c>
      <c r="H320" s="364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364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58"/>
      <c r="D321" s="17">
        <v>6.58</v>
      </c>
      <c r="E321" s="17"/>
      <c r="F321" s="6"/>
      <c r="G321" s="93">
        <f>SUM('1:2'!G321)</f>
        <v>0</v>
      </c>
      <c r="H321" s="364">
        <f t="shared" ref="H321:H333" si="121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8"/>
        <v>0</v>
      </c>
      <c r="N321" s="31">
        <f t="shared" si="119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0"/>
        <v>0</v>
      </c>
      <c r="W321" s="33" t="str">
        <f t="shared" si="117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58"/>
      <c r="D322" s="17">
        <v>7.8</v>
      </c>
      <c r="E322" s="17"/>
      <c r="F322" s="6"/>
      <c r="G322" s="93">
        <f>SUM('1:2'!G322)</f>
        <v>0</v>
      </c>
      <c r="H322" s="364">
        <f t="shared" si="121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8"/>
        <v>0</v>
      </c>
      <c r="N322" s="31">
        <f t="shared" si="119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0"/>
        <v>0</v>
      </c>
      <c r="W322" s="33" t="str">
        <f t="shared" si="117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58"/>
      <c r="D323" s="17">
        <v>4.4000000000000004</v>
      </c>
      <c r="E323" s="17"/>
      <c r="F323" s="6"/>
      <c r="G323" s="93">
        <f>SUM('1:2'!G323)</f>
        <v>0</v>
      </c>
      <c r="H323" s="364">
        <f t="shared" si="121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8"/>
        <v>0</v>
      </c>
      <c r="N323" s="31">
        <f t="shared" si="119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0"/>
        <v>0</v>
      </c>
      <c r="W323" s="33" t="str">
        <f t="shared" si="117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58"/>
      <c r="D324" s="17"/>
      <c r="E324" s="17"/>
      <c r="F324" s="6"/>
      <c r="G324" s="93">
        <f>SUM('1:2'!G324)</f>
        <v>0</v>
      </c>
      <c r="H324" s="364">
        <f t="shared" si="121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58" t="s">
        <v>53</v>
      </c>
      <c r="D325" s="17">
        <v>6.04</v>
      </c>
      <c r="E325" s="17"/>
      <c r="F325" s="6"/>
      <c r="G325" s="93">
        <f>SUM('1:2'!G325)</f>
        <v>0</v>
      </c>
      <c r="H325" s="364">
        <f t="shared" si="121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58" t="s">
        <v>60</v>
      </c>
      <c r="D326" s="17">
        <v>6.04</v>
      </c>
      <c r="E326" s="17"/>
      <c r="F326" s="6"/>
      <c r="G326" s="93">
        <f>SUM('1:2'!G326)</f>
        <v>0</v>
      </c>
      <c r="H326" s="364">
        <f t="shared" si="121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4"/>
        <v>0</v>
      </c>
      <c r="W326" s="33" t="str">
        <f t="shared" si="125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58" t="s">
        <v>53</v>
      </c>
      <c r="D327" s="17">
        <v>6</v>
      </c>
      <c r="E327" s="17"/>
      <c r="F327" s="6"/>
      <c r="G327" s="93">
        <f>SUM('1:2'!G327)</f>
        <v>0</v>
      </c>
      <c r="H327" s="364">
        <f t="shared" si="121"/>
        <v>0</v>
      </c>
      <c r="I327" s="93">
        <f>SUM('1:2'!I327)</f>
        <v>0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58" t="s">
        <v>60</v>
      </c>
      <c r="D328" s="17">
        <v>6</v>
      </c>
      <c r="E328" s="17"/>
      <c r="F328" s="6"/>
      <c r="G328" s="93">
        <f>SUM('1:2'!G328)</f>
        <v>0</v>
      </c>
      <c r="H328" s="364">
        <f t="shared" si="121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64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364">
        <f t="shared" si="121"/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60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364">
        <f t="shared" si="121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60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364">
        <f t="shared" si="121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73"/>
      <c r="AC332" s="54"/>
      <c r="AD332" s="370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364">
        <f t="shared" si="121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73"/>
      <c r="AC333" s="54"/>
      <c r="AD333" s="370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31" t="s">
        <v>106</v>
      </c>
      <c r="B334" s="732"/>
      <c r="C334" s="359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0">SUM(M320:M330)</f>
        <v>0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 t="str">
        <f t="shared" ref="W334" si="131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33" t="s">
        <v>108</v>
      </c>
      <c r="B335" s="734"/>
      <c r="C335" s="734"/>
      <c r="D335" s="734"/>
      <c r="E335" s="734"/>
      <c r="F335" s="735"/>
      <c r="G335" s="193">
        <f>SUM(G199,G257,G292,G308,G319,G334)</f>
        <v>11637</v>
      </c>
      <c r="H335" s="193">
        <f>SUM(H199,H257,H292,H308,H319,H334)</f>
        <v>56848.29</v>
      </c>
      <c r="I335" s="193">
        <f>SUM(I199,I257,I292,I308,I319,I334)</f>
        <v>727.05</v>
      </c>
      <c r="J335" s="52">
        <f t="array" ref="J335">IF(ISERROR(G335/I335),"",G335/I335)</f>
        <v>16.005776769135547</v>
      </c>
      <c r="K335" s="193">
        <f>SUM(K199,K257,K292,K308,K319,K334)</f>
        <v>456.0303107417833</v>
      </c>
      <c r="L335" s="52">
        <f>IF(ISERROR(G335/K335),"",G335/K335)</f>
        <v>25.518040634341045</v>
      </c>
      <c r="M335" s="193">
        <f t="shared" ref="M335:AA335" si="132">SUM(M199,M257,M292,M308,M319,M334)</f>
        <v>173.01968925821669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70"/>
      <c r="AE335" s="77"/>
      <c r="AF335" s="77"/>
      <c r="AG335" s="77"/>
      <c r="AH335" s="77"/>
      <c r="AI335" s="57"/>
      <c r="AJ335" s="57"/>
      <c r="AK335" s="57"/>
      <c r="AL335" s="736"/>
      <c r="AM335" s="736"/>
      <c r="AN335" s="736"/>
      <c r="AO335" s="736"/>
      <c r="AP335" s="736"/>
      <c r="AQ335" s="736"/>
      <c r="AR335" s="736"/>
      <c r="AS335" s="736"/>
      <c r="AT335" s="736"/>
      <c r="AU335" s="736"/>
      <c r="AV335" s="736"/>
      <c r="AW335" s="736"/>
      <c r="AX335" s="736"/>
      <c r="AY335" s="736"/>
      <c r="AZ335" s="736"/>
      <c r="BA335" s="736"/>
    </row>
    <row r="336" spans="1:53" ht="15.75" customHeight="1">
      <c r="A336" s="623" t="s">
        <v>503</v>
      </c>
      <c r="B336" s="362" t="s">
        <v>110</v>
      </c>
      <c r="C336" s="714" t="s">
        <v>111</v>
      </c>
      <c r="D336" s="714"/>
      <c r="E336" s="724" t="s">
        <v>112</v>
      </c>
      <c r="F336" s="724"/>
      <c r="G336" s="694" t="s">
        <v>113</v>
      </c>
      <c r="H336" s="694"/>
      <c r="I336" s="724" t="s">
        <v>114</v>
      </c>
      <c r="J336" s="724"/>
      <c r="K336" s="724" t="s">
        <v>36</v>
      </c>
      <c r="L336" s="724"/>
      <c r="M336" s="724" t="s">
        <v>115</v>
      </c>
      <c r="N336" s="724"/>
      <c r="O336" s="724" t="s">
        <v>116</v>
      </c>
      <c r="P336" s="694" t="s">
        <v>117</v>
      </c>
      <c r="Q336" s="694"/>
      <c r="R336" s="694" t="s">
        <v>36</v>
      </c>
      <c r="S336" s="694"/>
      <c r="T336" s="694" t="s">
        <v>118</v>
      </c>
      <c r="U336" s="694"/>
      <c r="V336" s="694" t="s">
        <v>119</v>
      </c>
      <c r="W336" s="694"/>
      <c r="X336" s="694" t="s">
        <v>36</v>
      </c>
      <c r="Y336" s="694"/>
      <c r="Z336" s="694" t="s">
        <v>118</v>
      </c>
      <c r="AA336" s="694"/>
      <c r="AB336" s="12"/>
      <c r="AC336" s="12"/>
      <c r="AD336" s="12"/>
      <c r="AE336" s="3"/>
      <c r="AF336" s="3"/>
      <c r="AG336" s="3"/>
      <c r="AH336" s="368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24"/>
      <c r="B337" s="362" t="s">
        <v>120</v>
      </c>
      <c r="C337" s="729">
        <f>SUM('1:2'!C337)</f>
        <v>2</v>
      </c>
      <c r="D337" s="730"/>
      <c r="E337" s="728">
        <f>D337*11</f>
        <v>0</v>
      </c>
      <c r="F337" s="728"/>
      <c r="G337" s="729">
        <f>SUM('1:2'!G337)</f>
        <v>2</v>
      </c>
      <c r="H337" s="730"/>
      <c r="I337" s="724">
        <f>G337*11</f>
        <v>22</v>
      </c>
      <c r="J337" s="724"/>
      <c r="K337" s="724">
        <f>E337-I337</f>
        <v>-22</v>
      </c>
      <c r="L337" s="724"/>
      <c r="M337" s="726" t="str">
        <f>IF(ISERROR(K337/E337),"",K337/E337)</f>
        <v/>
      </c>
      <c r="N337" s="726"/>
      <c r="O337" s="724"/>
      <c r="P337" s="694" t="s">
        <v>70</v>
      </c>
      <c r="Q337" s="694"/>
      <c r="R337" s="717">
        <f>SUM(O199:U199)</f>
        <v>0</v>
      </c>
      <c r="S337" s="717"/>
      <c r="T337" s="725" t="str">
        <f t="array" ref="T337">IF(ISERROR(R337/R344),"",R337/R344)</f>
        <v/>
      </c>
      <c r="U337" s="725"/>
      <c r="V337" s="694" t="s">
        <v>41</v>
      </c>
      <c r="W337" s="694"/>
      <c r="X337" s="705">
        <f>SUM(P198,P256,P291,P307,P318,P333)</f>
        <v>0</v>
      </c>
      <c r="Y337" s="704"/>
      <c r="Z337" s="725" t="str">
        <f t="array" ref="Z337">IF(ISERROR(X337/X344),"",X337/X344)</f>
        <v/>
      </c>
      <c r="AA337" s="725"/>
      <c r="AB337" s="12"/>
      <c r="AC337" s="22"/>
      <c r="AD337" s="22"/>
      <c r="AE337" s="3"/>
      <c r="AF337" s="3"/>
      <c r="AG337" s="3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24"/>
      <c r="B338" s="362" t="s">
        <v>121</v>
      </c>
      <c r="C338" s="729">
        <f>SUM('1:2'!C338)</f>
        <v>0</v>
      </c>
      <c r="D338" s="730"/>
      <c r="E338" s="728">
        <f>D338*11</f>
        <v>0</v>
      </c>
      <c r="F338" s="728"/>
      <c r="G338" s="729">
        <f>SUM('1:2'!G338)</f>
        <v>0</v>
      </c>
      <c r="H338" s="730"/>
      <c r="I338" s="724">
        <f>G338*11</f>
        <v>0</v>
      </c>
      <c r="J338" s="724"/>
      <c r="K338" s="724">
        <f>E338-I338</f>
        <v>0</v>
      </c>
      <c r="L338" s="724"/>
      <c r="M338" s="726" t="str">
        <f>IF(ISERROR(K338/E338),"",K338/E338)</f>
        <v/>
      </c>
      <c r="N338" s="726"/>
      <c r="O338" s="724"/>
      <c r="P338" s="694" t="s">
        <v>86</v>
      </c>
      <c r="Q338" s="694"/>
      <c r="R338" s="717">
        <f>SUM(O257:U257)</f>
        <v>0</v>
      </c>
      <c r="S338" s="717"/>
      <c r="T338" s="725" t="str">
        <f>IF(ISERROR(R338/R344),"",R338/R344)</f>
        <v/>
      </c>
      <c r="U338" s="725"/>
      <c r="V338" s="694" t="s">
        <v>42</v>
      </c>
      <c r="W338" s="694"/>
      <c r="X338" s="705">
        <f>SUM(P199,P257,P292,P308,P319,P334)</f>
        <v>0</v>
      </c>
      <c r="Y338" s="704"/>
      <c r="Z338" s="725" t="str">
        <f>IF(ISERROR(X338/X344),"",X338/X344)</f>
        <v/>
      </c>
      <c r="AA338" s="725"/>
      <c r="AB338" s="12"/>
      <c r="AC338" s="22"/>
      <c r="AD338" s="22"/>
      <c r="AE338" s="3"/>
      <c r="AF338" s="3"/>
      <c r="AG338" s="3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24"/>
      <c r="B339" s="362" t="s">
        <v>122</v>
      </c>
      <c r="C339" s="729">
        <f>SUM('1:2'!C339)</f>
        <v>0</v>
      </c>
      <c r="D339" s="730"/>
      <c r="E339" s="728">
        <f>D339*11</f>
        <v>0</v>
      </c>
      <c r="F339" s="728"/>
      <c r="G339" s="729">
        <f>SUM('1:2'!G339)</f>
        <v>2</v>
      </c>
      <c r="H339" s="730"/>
      <c r="I339" s="724">
        <f>G339*8</f>
        <v>16</v>
      </c>
      <c r="J339" s="724"/>
      <c r="K339" s="724">
        <f>E339-I339</f>
        <v>-16</v>
      </c>
      <c r="L339" s="724"/>
      <c r="M339" s="726" t="str">
        <f>IF(ISERROR(K339/E339),"",K339/E339)</f>
        <v/>
      </c>
      <c r="N339" s="726"/>
      <c r="O339" s="724"/>
      <c r="P339" s="694" t="s">
        <v>92</v>
      </c>
      <c r="Q339" s="694"/>
      <c r="R339" s="717">
        <f>SUM(O292:U292)</f>
        <v>0</v>
      </c>
      <c r="S339" s="717"/>
      <c r="T339" s="725" t="str">
        <f>IF(ISERROR(R339/R344),"",R339/R344)</f>
        <v/>
      </c>
      <c r="U339" s="725"/>
      <c r="V339" s="694" t="s">
        <v>43</v>
      </c>
      <c r="W339" s="694"/>
      <c r="X339" s="705">
        <f>SUM(P200,P258,P293,P309,P320,P335)</f>
        <v>0</v>
      </c>
      <c r="Y339" s="704"/>
      <c r="Z339" s="725" t="str">
        <f>IF(ISERROR(X339/X344),"",X339/X344)</f>
        <v/>
      </c>
      <c r="AA339" s="725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24"/>
      <c r="B340" s="362" t="s">
        <v>47</v>
      </c>
      <c r="C340" s="729">
        <f>SUM('1:2'!C340)</f>
        <v>2</v>
      </c>
      <c r="D340" s="730"/>
      <c r="E340" s="728">
        <f>D340*11</f>
        <v>0</v>
      </c>
      <c r="F340" s="728"/>
      <c r="G340" s="729">
        <f>SUM('1:2'!G340)</f>
        <v>2</v>
      </c>
      <c r="H340" s="730"/>
      <c r="I340" s="724">
        <f>G340*11</f>
        <v>22</v>
      </c>
      <c r="J340" s="724"/>
      <c r="K340" s="724">
        <f>E340-I340</f>
        <v>-22</v>
      </c>
      <c r="L340" s="724"/>
      <c r="M340" s="726" t="str">
        <f>IF(ISERROR(K340/E340),"",K340/E340)</f>
        <v/>
      </c>
      <c r="N340" s="726"/>
      <c r="O340" s="724"/>
      <c r="P340" s="694" t="s">
        <v>99</v>
      </c>
      <c r="Q340" s="694"/>
      <c r="R340" s="717">
        <f>SUM(O308:U308)</f>
        <v>0</v>
      </c>
      <c r="S340" s="717"/>
      <c r="T340" s="725" t="str">
        <f>IF(ISERROR(R340/R344),"",R340/R344)</f>
        <v/>
      </c>
      <c r="U340" s="725"/>
      <c r="V340" s="694" t="s">
        <v>44</v>
      </c>
      <c r="W340" s="694"/>
      <c r="X340" s="705">
        <f>SUM(P202,P259,P294,P310,P321,P336)</f>
        <v>0</v>
      </c>
      <c r="Y340" s="704"/>
      <c r="Z340" s="725" t="str">
        <f>IF(ISERROR(X340/X344),"",X340/X344)</f>
        <v/>
      </c>
      <c r="AA340" s="725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25"/>
      <c r="B341" s="362" t="s">
        <v>123</v>
      </c>
      <c r="C341" s="727">
        <f>SUM(C337:D340)</f>
        <v>4</v>
      </c>
      <c r="D341" s="724"/>
      <c r="E341" s="728">
        <f>SUM(F337:F340)</f>
        <v>0</v>
      </c>
      <c r="F341" s="724"/>
      <c r="G341" s="727">
        <f>SUM(G337:H340)</f>
        <v>6</v>
      </c>
      <c r="H341" s="724"/>
      <c r="I341" s="724">
        <f>SUM(I337:J340)</f>
        <v>60</v>
      </c>
      <c r="J341" s="724"/>
      <c r="K341" s="724">
        <f>SUM(K337:L340)</f>
        <v>-60</v>
      </c>
      <c r="L341" s="724"/>
      <c r="M341" s="726" t="str">
        <f>IF(ISERROR(K341/E341),"",K341/E341)</f>
        <v/>
      </c>
      <c r="N341" s="726"/>
      <c r="O341" s="724"/>
      <c r="P341" s="694" t="s">
        <v>102</v>
      </c>
      <c r="Q341" s="694"/>
      <c r="R341" s="717">
        <f>SUM(O319:U319)</f>
        <v>0</v>
      </c>
      <c r="S341" s="717"/>
      <c r="T341" s="725" t="str">
        <f>IF(ISERROR(R341/R344),"",R341/R344)</f>
        <v/>
      </c>
      <c r="U341" s="725"/>
      <c r="V341" s="694" t="s">
        <v>45</v>
      </c>
      <c r="W341" s="694"/>
      <c r="X341" s="705">
        <f>SUM(P203,P260,P295,P311,P322,P337)</f>
        <v>0</v>
      </c>
      <c r="Y341" s="704"/>
      <c r="Z341" s="725" t="str">
        <f>IF(ISERROR(X341/X344),"",X341/X344)</f>
        <v/>
      </c>
      <c r="AA341" s="725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7.25">
      <c r="A342" s="309" t="s">
        <v>504</v>
      </c>
      <c r="B342" s="362">
        <f>G335</f>
        <v>11637</v>
      </c>
      <c r="C342" s="717" t="s">
        <v>155</v>
      </c>
      <c r="D342" s="717"/>
      <c r="E342" s="694">
        <f>H335</f>
        <v>56848.29</v>
      </c>
      <c r="F342" s="694"/>
      <c r="G342" s="694" t="s">
        <v>34</v>
      </c>
      <c r="H342" s="694"/>
      <c r="I342" s="723">
        <f>L335</f>
        <v>25.518040634341045</v>
      </c>
      <c r="J342" s="723"/>
      <c r="K342" s="724" t="s">
        <v>32</v>
      </c>
      <c r="L342" s="724"/>
      <c r="M342" s="723">
        <f>J335</f>
        <v>16.005776769135547</v>
      </c>
      <c r="N342" s="723"/>
      <c r="O342" s="724"/>
      <c r="P342" s="694" t="s">
        <v>106</v>
      </c>
      <c r="Q342" s="694"/>
      <c r="R342" s="717">
        <f>SUM(O334:U334)</f>
        <v>0</v>
      </c>
      <c r="S342" s="717"/>
      <c r="T342" s="725" t="str">
        <f>IF(ISERROR(R342/R344),"",R342/R344)</f>
        <v/>
      </c>
      <c r="U342" s="725"/>
      <c r="V342" s="694" t="s">
        <v>46</v>
      </c>
      <c r="W342" s="694"/>
      <c r="X342" s="705">
        <f>SUM(P204,P261,P296,P312,P323,P338)</f>
        <v>0</v>
      </c>
      <c r="Y342" s="704"/>
      <c r="Z342" s="725" t="str">
        <f>IF(ISERROR(X342/X344),"",X342/X344)</f>
        <v/>
      </c>
      <c r="AA342" s="725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310" t="s">
        <v>505</v>
      </c>
      <c r="B343" s="362">
        <f>I335+C341</f>
        <v>731.05</v>
      </c>
      <c r="C343" s="694" t="s">
        <v>114</v>
      </c>
      <c r="D343" s="694"/>
      <c r="E343" s="714">
        <f>K335+I341</f>
        <v>516.0303107417833</v>
      </c>
      <c r="F343" s="714"/>
      <c r="G343" s="694" t="s">
        <v>150</v>
      </c>
      <c r="H343" s="694"/>
      <c r="I343" s="723">
        <f>B343-E343</f>
        <v>215.01968925821666</v>
      </c>
      <c r="J343" s="723"/>
      <c r="K343" s="724" t="s">
        <v>151</v>
      </c>
      <c r="L343" s="724"/>
      <c r="M343" s="726">
        <f>IF(ISERROR(I343/B343),"",I343/B343)</f>
        <v>0.29412446379620638</v>
      </c>
      <c r="N343" s="726"/>
      <c r="O343" s="724"/>
      <c r="P343" s="694" t="s">
        <v>107</v>
      </c>
      <c r="Q343" s="694"/>
      <c r="R343" s="717"/>
      <c r="S343" s="717"/>
      <c r="T343" s="725" t="str">
        <f>IF(ISERROR(R343/R344),"",R343/R344)</f>
        <v/>
      </c>
      <c r="U343" s="725"/>
      <c r="V343" s="694" t="s">
        <v>47</v>
      </c>
      <c r="W343" s="694"/>
      <c r="X343" s="705">
        <f>SUM(P205,P262,P297,P313,P324,P339)</f>
        <v>0</v>
      </c>
      <c r="Y343" s="704"/>
      <c r="Z343" s="725" t="str">
        <f>IF(ISERROR(X343/X344),"",X343/X344)</f>
        <v/>
      </c>
      <c r="AA343" s="725"/>
      <c r="AB343" s="12"/>
      <c r="AC343" s="22"/>
      <c r="AD343" s="22"/>
      <c r="AE343" s="3"/>
      <c r="AF343" s="3"/>
      <c r="AG343" s="370"/>
      <c r="AH343" s="370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67"/>
      <c r="AV343" s="367"/>
      <c r="AW343" s="367"/>
      <c r="AX343" s="367"/>
      <c r="AY343" s="367"/>
      <c r="AZ343" s="367"/>
      <c r="BA343" s="367"/>
    </row>
    <row r="344" spans="1:53" ht="15.75" customHeight="1">
      <c r="A344" s="310" t="s">
        <v>507</v>
      </c>
      <c r="B344" s="362">
        <f>N335</f>
        <v>0</v>
      </c>
      <c r="C344" s="694" t="s">
        <v>149</v>
      </c>
      <c r="D344" s="694"/>
      <c r="E344" s="725">
        <f>IF(ISERROR(B344/B343),"",B344/B343)</f>
        <v>0</v>
      </c>
      <c r="F344" s="725"/>
      <c r="G344" s="694" t="s">
        <v>158</v>
      </c>
      <c r="H344" s="694"/>
      <c r="I344" s="724">
        <f>V335</f>
        <v>0</v>
      </c>
      <c r="J344" s="724"/>
      <c r="K344" s="724" t="s">
        <v>156</v>
      </c>
      <c r="L344" s="724"/>
      <c r="M344" s="726">
        <f t="array" ref="M344">IF(ISERROR(I344/B342),"",I344/B342)</f>
        <v>0</v>
      </c>
      <c r="N344" s="726"/>
      <c r="O344" s="724"/>
      <c r="P344" s="694" t="s">
        <v>123</v>
      </c>
      <c r="Q344" s="694"/>
      <c r="R344" s="717">
        <f>SUM(R337:S343)</f>
        <v>0</v>
      </c>
      <c r="S344" s="717"/>
      <c r="T344" s="725">
        <f>SUM(T337:U343)</f>
        <v>0</v>
      </c>
      <c r="U344" s="725"/>
      <c r="V344" s="694" t="s">
        <v>123</v>
      </c>
      <c r="W344" s="694"/>
      <c r="X344" s="717">
        <f>SUM(X337:Y343)</f>
        <v>0</v>
      </c>
      <c r="Y344" s="717"/>
      <c r="Z344" s="725">
        <f>SUM(Z337:AA343)</f>
        <v>0</v>
      </c>
      <c r="AA344" s="725"/>
      <c r="AB344" s="12"/>
      <c r="AC344" s="22"/>
      <c r="AD344" s="22"/>
      <c r="AE344" s="3"/>
      <c r="AF344" s="3"/>
      <c r="AG344" s="370"/>
      <c r="AH344" s="370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67"/>
      <c r="AV344" s="367"/>
      <c r="AW344" s="367"/>
      <c r="AX344" s="367"/>
      <c r="AY344" s="367"/>
      <c r="AZ344" s="367"/>
      <c r="BA344" s="367"/>
    </row>
    <row r="345" spans="1:53" ht="15.75" customHeight="1">
      <c r="A345" s="756" t="s">
        <v>129</v>
      </c>
      <c r="B345" s="756"/>
      <c r="C345" s="756"/>
      <c r="D345" s="756"/>
      <c r="E345" s="756"/>
      <c r="F345" s="756"/>
      <c r="G345" s="756"/>
      <c r="H345" s="756"/>
      <c r="I345" s="756"/>
      <c r="J345" s="756"/>
      <c r="K345" s="756"/>
      <c r="L345" s="756"/>
      <c r="M345" s="756"/>
      <c r="N345" s="756"/>
      <c r="O345" s="756"/>
      <c r="P345" s="756"/>
      <c r="Q345" s="756"/>
      <c r="R345" s="756"/>
      <c r="S345" s="756"/>
      <c r="T345" s="756"/>
      <c r="U345" s="756"/>
      <c r="V345" s="756"/>
      <c r="W345" s="756"/>
      <c r="X345" s="756"/>
      <c r="Y345" s="756"/>
      <c r="Z345" s="756"/>
      <c r="AA345" s="756"/>
      <c r="AB345" s="756"/>
      <c r="AC345" s="756"/>
      <c r="AD345" s="756"/>
      <c r="AE345" s="756"/>
      <c r="AF345" s="756"/>
      <c r="AG345" s="756"/>
      <c r="AH345" s="756"/>
      <c r="AI345" s="756"/>
      <c r="AJ345" s="756"/>
      <c r="AK345" s="756"/>
      <c r="AL345" s="756"/>
      <c r="AM345" s="756"/>
      <c r="AN345" s="756"/>
      <c r="AO345" s="756"/>
      <c r="AP345" s="756"/>
      <c r="AQ345" s="756"/>
      <c r="AR345" s="756"/>
      <c r="AS345" s="756"/>
      <c r="AT345" s="756"/>
      <c r="AU345" s="756"/>
      <c r="AV345" s="756"/>
      <c r="AW345" s="756"/>
      <c r="AX345" s="756"/>
      <c r="AY345" s="756"/>
      <c r="AZ345" s="756"/>
      <c r="BA345" s="756"/>
    </row>
    <row r="346" spans="1:53">
      <c r="A346" s="644" t="s">
        <v>502</v>
      </c>
      <c r="B346" s="745" t="s">
        <v>25</v>
      </c>
      <c r="C346" s="745" t="s">
        <v>26</v>
      </c>
      <c r="D346" s="745" t="s">
        <v>27</v>
      </c>
      <c r="E346" s="757" t="s">
        <v>28</v>
      </c>
      <c r="F346" s="760" t="s">
        <v>29</v>
      </c>
      <c r="G346" s="724" t="s">
        <v>30</v>
      </c>
      <c r="H346" s="724"/>
      <c r="I346" s="745" t="s">
        <v>31</v>
      </c>
      <c r="J346" s="748" t="s">
        <v>32</v>
      </c>
      <c r="K346" s="751" t="s">
        <v>33</v>
      </c>
      <c r="L346" s="745" t="s">
        <v>34</v>
      </c>
      <c r="M346" s="754" t="s">
        <v>35</v>
      </c>
      <c r="N346" s="742" t="s">
        <v>36</v>
      </c>
      <c r="O346" s="724" t="s">
        <v>37</v>
      </c>
      <c r="P346" s="724"/>
      <c r="Q346" s="724"/>
      <c r="R346" s="724"/>
      <c r="S346" s="724"/>
      <c r="T346" s="724"/>
      <c r="U346" s="724"/>
      <c r="V346" s="743" t="s">
        <v>38</v>
      </c>
      <c r="W346" s="742" t="s">
        <v>39</v>
      </c>
      <c r="X346" s="724" t="s">
        <v>40</v>
      </c>
      <c r="Y346" s="724"/>
      <c r="Z346" s="724"/>
      <c r="AA346" s="724"/>
      <c r="AB346" s="21"/>
      <c r="AC346" s="21"/>
      <c r="AD346" s="21"/>
      <c r="AE346" s="21"/>
      <c r="AF346" s="21"/>
      <c r="AG346" s="21"/>
      <c r="AH346" s="21"/>
      <c r="AI346" s="744"/>
      <c r="AJ346" s="740"/>
      <c r="AK346" s="740"/>
      <c r="AL346" s="740"/>
      <c r="AM346" s="740"/>
      <c r="AN346" s="740"/>
      <c r="AO346" s="740"/>
      <c r="AP346" s="740"/>
      <c r="AQ346" s="740"/>
      <c r="AR346" s="740"/>
      <c r="AS346" s="740"/>
      <c r="AT346" s="740"/>
      <c r="AU346" s="740"/>
      <c r="AV346" s="740"/>
      <c r="AW346" s="740"/>
      <c r="AX346" s="740"/>
      <c r="AY346" s="740"/>
      <c r="AZ346" s="740"/>
      <c r="BA346" s="740"/>
    </row>
    <row r="347" spans="1:53">
      <c r="A347" s="645"/>
      <c r="B347" s="746"/>
      <c r="C347" s="746"/>
      <c r="D347" s="746"/>
      <c r="E347" s="758"/>
      <c r="F347" s="761"/>
      <c r="G347" s="724"/>
      <c r="H347" s="724"/>
      <c r="I347" s="746"/>
      <c r="J347" s="749"/>
      <c r="K347" s="752"/>
      <c r="L347" s="746"/>
      <c r="M347" s="755"/>
      <c r="N347" s="742"/>
      <c r="O347" s="724" t="s">
        <v>41</v>
      </c>
      <c r="P347" s="724" t="s">
        <v>42</v>
      </c>
      <c r="Q347" s="724" t="s">
        <v>43</v>
      </c>
      <c r="R347" s="741" t="s">
        <v>44</v>
      </c>
      <c r="S347" s="694" t="s">
        <v>45</v>
      </c>
      <c r="T347" s="724" t="s">
        <v>46</v>
      </c>
      <c r="U347" s="724" t="s">
        <v>47</v>
      </c>
      <c r="V347" s="743"/>
      <c r="W347" s="742"/>
      <c r="X347" s="724" t="s">
        <v>13</v>
      </c>
      <c r="Y347" s="724" t="s">
        <v>48</v>
      </c>
      <c r="Z347" s="724" t="s">
        <v>49</v>
      </c>
      <c r="AA347" s="724" t="s">
        <v>47</v>
      </c>
      <c r="AB347" s="21"/>
      <c r="AC347" s="21"/>
      <c r="AD347" s="21"/>
      <c r="AE347" s="21"/>
      <c r="AF347" s="21"/>
      <c r="AG347" s="21"/>
      <c r="AH347" s="21"/>
      <c r="AI347" s="744"/>
      <c r="AJ347" s="740"/>
      <c r="AK347" s="740"/>
      <c r="AL347" s="740"/>
      <c r="AM347" s="740"/>
      <c r="AN347" s="740"/>
      <c r="AO347" s="740"/>
      <c r="AP347" s="740"/>
      <c r="AQ347" s="740"/>
      <c r="AR347" s="740"/>
      <c r="AS347" s="763"/>
      <c r="AT347" s="763"/>
      <c r="AU347" s="763"/>
      <c r="AV347" s="763"/>
      <c r="AW347" s="763"/>
      <c r="AX347" s="763"/>
      <c r="AY347" s="763"/>
      <c r="AZ347" s="763"/>
      <c r="BA347" s="763"/>
    </row>
    <row r="348" spans="1:53" ht="15.75" customHeight="1">
      <c r="A348" s="646"/>
      <c r="B348" s="747"/>
      <c r="C348" s="747"/>
      <c r="D348" s="747"/>
      <c r="E348" s="759"/>
      <c r="F348" s="762"/>
      <c r="G348" s="358" t="s">
        <v>50</v>
      </c>
      <c r="H348" s="358" t="s">
        <v>51</v>
      </c>
      <c r="I348" s="747"/>
      <c r="J348" s="750"/>
      <c r="K348" s="753"/>
      <c r="L348" s="747"/>
      <c r="M348" s="755"/>
      <c r="N348" s="742"/>
      <c r="O348" s="724"/>
      <c r="P348" s="724"/>
      <c r="Q348" s="724"/>
      <c r="R348" s="741"/>
      <c r="S348" s="694"/>
      <c r="T348" s="724"/>
      <c r="U348" s="724"/>
      <c r="V348" s="743"/>
      <c r="W348" s="742"/>
      <c r="X348" s="724"/>
      <c r="Y348" s="724"/>
      <c r="Z348" s="724"/>
      <c r="AA348" s="724"/>
      <c r="AB348" s="21"/>
      <c r="AC348" s="21"/>
      <c r="AD348" s="21"/>
      <c r="AE348" s="21"/>
      <c r="AF348" s="21"/>
      <c r="AG348" s="21"/>
      <c r="AH348" s="21"/>
      <c r="AI348" s="744"/>
      <c r="AJ348" s="740"/>
      <c r="AK348" s="740"/>
      <c r="AL348" s="367"/>
      <c r="AM348" s="367"/>
      <c r="AN348" s="367"/>
      <c r="AO348" s="367"/>
      <c r="AP348" s="367"/>
      <c r="AQ348" s="367"/>
      <c r="AR348" s="367"/>
      <c r="AS348" s="21"/>
      <c r="AT348" s="21"/>
      <c r="AU348" s="21"/>
      <c r="AV348" s="368"/>
      <c r="AW348" s="367"/>
      <c r="AX348" s="367"/>
      <c r="AY348" s="367"/>
      <c r="AZ348" s="367"/>
      <c r="BA348" s="367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3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369"/>
      <c r="AM349" s="54"/>
      <c r="AN349" s="369"/>
      <c r="AO349" s="369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3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5"/>
        <v>0</v>
      </c>
      <c r="W350" s="33" t="str">
        <f t="shared" si="136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369"/>
      <c r="AO350" s="54"/>
      <c r="AP350" s="369"/>
      <c r="AQ350" s="54"/>
      <c r="AR350" s="54"/>
      <c r="AS350" s="369"/>
      <c r="AT350" s="369"/>
      <c r="AU350" s="369"/>
      <c r="AV350" s="369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3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5"/>
        <v>0</v>
      </c>
      <c r="W351" s="33" t="str">
        <f t="shared" si="136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69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3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5"/>
        <v>0</v>
      </c>
      <c r="W352" s="33" t="str">
        <f t="shared" si="136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3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5"/>
        <v>0</v>
      </c>
      <c r="W353" s="33" t="str">
        <f t="shared" si="136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3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5"/>
        <v>0</v>
      </c>
      <c r="W354" s="33" t="str">
        <f t="shared" si="136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3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5"/>
        <v>0</v>
      </c>
      <c r="W355" s="33" t="str">
        <f t="shared" si="136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3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5"/>
        <v>0</v>
      </c>
      <c r="W356" s="33" t="str">
        <f t="shared" si="136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3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5"/>
        <v>0</v>
      </c>
      <c r="W357" s="33" t="str">
        <f t="shared" si="136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369"/>
      <c r="AM357" s="54"/>
      <c r="AN357" s="54"/>
      <c r="AO357" s="54"/>
      <c r="AP357" s="369"/>
      <c r="AQ357" s="369"/>
      <c r="AR357" s="369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3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5"/>
        <v>0</v>
      </c>
      <c r="W358" s="33" t="str">
        <f t="shared" si="136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3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3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40"/>
        <v>0</v>
      </c>
      <c r="W362" s="33" t="str">
        <f t="shared" si="141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3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40"/>
        <v>0</v>
      </c>
      <c r="W363" s="33" t="str">
        <f t="shared" si="141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56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3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40"/>
        <v>0</v>
      </c>
      <c r="W364" s="33" t="str">
        <f t="shared" si="141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56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3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56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3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56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3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3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73"/>
      <c r="AC368" s="54"/>
      <c r="AD368" s="370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3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73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37" t="s">
        <v>70</v>
      </c>
      <c r="B370" s="73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364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SUM('1:2'!G372)</f>
        <v>0</v>
      </c>
      <c r="H372" s="364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364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364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364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55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364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55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364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55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364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364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364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364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364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25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364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364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364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364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73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364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364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364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364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364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364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364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364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364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364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364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25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364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25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364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364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364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364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364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364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364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364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364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364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>
        <f>SUM('1:2'!G409)</f>
        <v>0</v>
      </c>
      <c r="H409" s="364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364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364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364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364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364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364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364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364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364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364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364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364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364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364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364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364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364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73"/>
      <c r="AC426" s="54"/>
      <c r="AD426" s="370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364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39" t="s">
        <v>86</v>
      </c>
      <c r="B428" s="739"/>
      <c r="C428" s="359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70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364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2">IF(ISERROR(I429-K429),"",I429-K429)</f>
        <v>-30.568181818181813</v>
      </c>
      <c r="N429" s="31">
        <f t="shared" ref="N429:N436" si="173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364">
        <f t="shared" ref="H430:H462" si="175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2"/>
        <v>0</v>
      </c>
      <c r="N430" s="31">
        <f t="shared" si="173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4"/>
        <v>0</v>
      </c>
      <c r="W430" s="33" t="str">
        <f t="shared" si="171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364">
        <f t="shared" si="175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2"/>
        <v>0</v>
      </c>
      <c r="N431" s="31">
        <f t="shared" si="173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4"/>
        <v>0</v>
      </c>
      <c r="W431" s="33" t="str">
        <f t="shared" si="171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364">
        <f t="shared" si="175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4"/>
        <v>0</v>
      </c>
      <c r="W432" s="33" t="str">
        <f t="shared" si="171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364">
        <f t="shared" si="175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4"/>
        <v>0</v>
      </c>
      <c r="W433" s="33" t="str">
        <f t="shared" si="171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364">
        <f t="shared" si="175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2"/>
        <v>25.370967741935484</v>
      </c>
      <c r="N434" s="31">
        <f t="shared" si="173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4"/>
        <v>0</v>
      </c>
      <c r="W434" s="33">
        <f t="shared" si="171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73"/>
      <c r="AC434" s="54"/>
      <c r="AD434" s="370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364">
        <f t="shared" si="175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2"/>
        <v>0</v>
      </c>
      <c r="N435" s="31">
        <f t="shared" si="173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4"/>
        <v>0</v>
      </c>
      <c r="W435" s="33" t="str">
        <f t="shared" si="171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73"/>
      <c r="AC435" s="54"/>
      <c r="AD435" s="370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364">
        <f t="shared" si="175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364">
        <f t="shared" si="175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364">
        <f t="shared" si="175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364">
        <f t="shared" si="175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364">
        <f t="shared" si="175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364">
        <f t="shared" si="175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364">
        <f t="shared" si="175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8"/>
        <v>0</v>
      </c>
      <c r="W442" s="33" t="str">
        <f t="shared" si="179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364">
        <f t="shared" si="175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8"/>
        <v>0</v>
      </c>
      <c r="W443" s="33" t="str">
        <f t="shared" si="179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364">
        <f t="shared" si="175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8"/>
        <v>0</v>
      </c>
      <c r="W444" s="33" t="str">
        <f t="shared" si="179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364">
        <f t="shared" si="175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8"/>
        <v>0</v>
      </c>
      <c r="W445" s="33" t="str">
        <f t="shared" si="179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364">
        <f t="shared" si="175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8"/>
        <v>0</v>
      </c>
      <c r="W446" s="33" t="str">
        <f t="shared" si="179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364">
        <f t="shared" si="175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8"/>
        <v>0</v>
      </c>
      <c r="W447" s="33" t="str">
        <f t="shared" si="179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364">
        <f t="shared" si="175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8"/>
        <v>0</v>
      </c>
      <c r="W448" s="33" t="str">
        <f t="shared" si="179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364">
        <f t="shared" si="175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364">
        <f t="shared" si="175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364">
        <f t="shared" si="175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364">
        <f t="shared" si="175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364">
        <f t="shared" si="175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364">
        <f t="shared" si="175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364">
        <f t="shared" si="175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6"/>
        <v>0</v>
      </c>
      <c r="N455" s="31">
        <f t="shared" si="177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0">SUM(X455:AA455)</f>
        <v>0</v>
      </c>
      <c r="W455" s="33" t="str">
        <f t="shared" ref="W455:W456" si="181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364">
        <f t="shared" si="175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6"/>
        <v>0</v>
      </c>
      <c r="N456" s="31">
        <f t="shared" si="177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0"/>
        <v>0</v>
      </c>
      <c r="W456" s="33" t="str">
        <f t="shared" si="181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364">
        <f t="shared" si="175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364">
        <f t="shared" si="175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364">
        <f t="shared" si="175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364">
        <f t="shared" si="175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364">
        <f t="shared" si="175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3"/>
        <v>0</v>
      </c>
      <c r="W461" s="33" t="str">
        <f t="shared" si="184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73"/>
      <c r="AC461" s="54"/>
      <c r="AD461" s="370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364">
        <f t="shared" si="175"/>
        <v>0</v>
      </c>
      <c r="I462" s="93">
        <f>SUM('1:2'!I462)</f>
        <v>0</v>
      </c>
      <c r="J462" s="31" t="str">
        <f t="array" ref="J462">IF(ISERROR(G462/I462),"",G462/I462)</f>
        <v/>
      </c>
      <c r="K462" s="364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3"/>
        <v>0</v>
      </c>
      <c r="W462" s="33" t="str">
        <f t="shared" si="184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31" t="s">
        <v>92</v>
      </c>
      <c r="B463" s="732"/>
      <c r="C463" s="359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5">SUM(M429:M462)</f>
        <v>-17.874633431085034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70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364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364">
        <f t="shared" ref="H465:H478" si="189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8"/>
        <v>0</v>
      </c>
      <c r="W465" s="33" t="str">
        <f t="shared" si="184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364">
        <f t="shared" si="189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8"/>
        <v>0</v>
      </c>
      <c r="W466" s="33" t="str">
        <f t="shared" si="184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364">
        <f t="shared" si="189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8"/>
        <v>0</v>
      </c>
      <c r="W467" s="33" t="str">
        <f t="shared" si="184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65" t="s">
        <v>72</v>
      </c>
      <c r="D468" s="17">
        <v>5.03</v>
      </c>
      <c r="E468" s="17"/>
      <c r="F468" s="6"/>
      <c r="G468" s="93">
        <f>SUM('1:2'!G468)</f>
        <v>0</v>
      </c>
      <c r="H468" s="364">
        <f t="shared" si="189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8"/>
        <v>0</v>
      </c>
      <c r="W468" s="33" t="str">
        <f t="shared" si="184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364">
        <f t="shared" si="189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8"/>
        <v>0</v>
      </c>
      <c r="W469" s="33" t="str">
        <f t="shared" si="184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364">
        <f t="shared" si="189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8"/>
        <v>0</v>
      </c>
      <c r="W470" s="33" t="str">
        <f t="shared" si="184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65" t="s">
        <v>96</v>
      </c>
      <c r="D471" s="17">
        <v>5.03</v>
      </c>
      <c r="E471" s="17"/>
      <c r="F471" s="6"/>
      <c r="G471" s="93">
        <f>SUM('1:2'!G471)</f>
        <v>0</v>
      </c>
      <c r="H471" s="364">
        <f t="shared" si="189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8"/>
        <v>0</v>
      </c>
      <c r="W471" s="33" t="str">
        <f t="shared" si="184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65" t="s">
        <v>82</v>
      </c>
      <c r="D472" s="17">
        <v>5.03</v>
      </c>
      <c r="E472" s="17"/>
      <c r="F472" s="6"/>
      <c r="G472" s="93">
        <f>SUM('1:2'!G472)</f>
        <v>0</v>
      </c>
      <c r="H472" s="364">
        <f t="shared" si="189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8"/>
        <v>0</v>
      </c>
      <c r="W472" s="33" t="str">
        <f t="shared" si="184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65" t="s">
        <v>72</v>
      </c>
      <c r="D473" s="17">
        <v>5.03</v>
      </c>
      <c r="E473" s="17"/>
      <c r="F473" s="6"/>
      <c r="G473" s="93">
        <f>SUM('1:2'!G473)</f>
        <v>0</v>
      </c>
      <c r="H473" s="364">
        <f t="shared" si="189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8"/>
        <v>0</v>
      </c>
      <c r="W473" s="33" t="str">
        <f t="shared" si="184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65" t="s">
        <v>60</v>
      </c>
      <c r="D474" s="17">
        <v>5.03</v>
      </c>
      <c r="E474" s="17"/>
      <c r="F474" s="6"/>
      <c r="G474" s="93">
        <f>SUM('1:2'!G474)</f>
        <v>0</v>
      </c>
      <c r="H474" s="364">
        <f t="shared" si="189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8"/>
        <v>0</v>
      </c>
      <c r="W474" s="33" t="str">
        <f t="shared" si="184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65" t="s">
        <v>96</v>
      </c>
      <c r="D475" s="17">
        <v>5.03</v>
      </c>
      <c r="E475" s="17"/>
      <c r="F475" s="6"/>
      <c r="G475" s="93">
        <f>SUM('1:2'!G475)</f>
        <v>0</v>
      </c>
      <c r="H475" s="364">
        <f t="shared" si="189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8"/>
        <v>0</v>
      </c>
      <c r="W475" s="33" t="str">
        <f t="shared" si="184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65" t="s">
        <v>73</v>
      </c>
      <c r="D476" s="17">
        <v>5.03</v>
      </c>
      <c r="E476" s="17"/>
      <c r="F476" s="6"/>
      <c r="G476" s="93">
        <f>SUM('1:2'!G476)</f>
        <v>0</v>
      </c>
      <c r="H476" s="364">
        <f t="shared" si="189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8"/>
        <v>0</v>
      </c>
      <c r="W476" s="33" t="str">
        <f t="shared" si="184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364">
        <f t="shared" si="189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8"/>
        <v>0</v>
      </c>
      <c r="W477" s="33" t="str">
        <f t="shared" si="184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73"/>
      <c r="AC477" s="54"/>
      <c r="AD477" s="370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364">
        <f t="shared" si="189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8"/>
        <v>0</v>
      </c>
      <c r="W478" s="33" t="str">
        <f t="shared" si="184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31" t="s">
        <v>99</v>
      </c>
      <c r="B479" s="732"/>
      <c r="C479" s="359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70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364">
        <f t="shared" ref="H480:H489" si="191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364">
        <f t="shared" si="191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4"/>
        <v>0</v>
      </c>
      <c r="W481" s="33" t="str">
        <f t="shared" si="184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364">
        <f t="shared" si="191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4"/>
        <v>0</v>
      </c>
      <c r="W482" s="33" t="str">
        <f t="shared" si="184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364">
        <f t="shared" si="191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4"/>
        <v>0</v>
      </c>
      <c r="W483" s="33" t="str">
        <f t="shared" si="184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364">
        <f t="shared" si="191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4"/>
        <v>0</v>
      </c>
      <c r="W484" s="33" t="str">
        <f t="shared" si="184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73"/>
      <c r="AC484" s="54"/>
      <c r="AD484" s="370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439</v>
      </c>
      <c r="C485" s="187" t="s">
        <v>441</v>
      </c>
      <c r="D485" s="17">
        <v>5.04</v>
      </c>
      <c r="E485" s="17"/>
      <c r="F485" s="6"/>
      <c r="G485" s="93">
        <f>SUM('1:2'!G485)</f>
        <v>0</v>
      </c>
      <c r="H485" s="364">
        <f t="shared" si="191"/>
        <v>0</v>
      </c>
      <c r="I485" s="93">
        <f>SUM('1:2'!I485)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70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/>
      <c r="H486" s="378">
        <f t="shared" si="191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/>
      <c r="H487" s="378">
        <f t="shared" si="191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1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364">
        <f t="shared" si="191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31" t="s">
        <v>102</v>
      </c>
      <c r="B490" s="732"/>
      <c r="C490" s="359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70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58"/>
      <c r="D491" s="17">
        <v>3.65</v>
      </c>
      <c r="E491" s="17"/>
      <c r="F491" s="53"/>
      <c r="G491" s="93">
        <f>SUM('1:2'!G491)</f>
        <v>0</v>
      </c>
      <c r="H491" s="364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364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58"/>
      <c r="D492" s="17">
        <v>6.58</v>
      </c>
      <c r="E492" s="17"/>
      <c r="F492" s="6"/>
      <c r="G492" s="93">
        <f>SUM('1:2'!G492)</f>
        <v>0</v>
      </c>
      <c r="H492" s="364">
        <f t="shared" ref="H492:H505" si="202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201"/>
        <v>0</v>
      </c>
      <c r="W492" s="33" t="str">
        <f t="shared" si="198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58"/>
      <c r="D493" s="17">
        <v>7.8</v>
      </c>
      <c r="E493" s="17"/>
      <c r="F493" s="6"/>
      <c r="G493" s="93">
        <f>SUM('1:2'!G493)</f>
        <v>0</v>
      </c>
      <c r="H493" s="364">
        <f t="shared" si="202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201"/>
        <v>0</v>
      </c>
      <c r="W493" s="33" t="str">
        <f t="shared" si="198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58"/>
      <c r="D494" s="17">
        <v>4.4000000000000004</v>
      </c>
      <c r="E494" s="17"/>
      <c r="F494" s="6"/>
      <c r="G494" s="93">
        <f>SUM('1:2'!G494)</f>
        <v>0</v>
      </c>
      <c r="H494" s="364">
        <f t="shared" si="202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201"/>
        <v>0</v>
      </c>
      <c r="W494" s="33" t="str">
        <f t="shared" si="198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364">
        <f t="shared" si="202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58"/>
      <c r="D496" s="17"/>
      <c r="E496" s="17"/>
      <c r="F496" s="6"/>
      <c r="G496" s="93">
        <f>SUM('1:2'!G496)</f>
        <v>0</v>
      </c>
      <c r="H496" s="364">
        <f t="shared" si="202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58" t="s">
        <v>53</v>
      </c>
      <c r="D497" s="17">
        <v>6.04</v>
      </c>
      <c r="E497" s="17"/>
      <c r="F497" s="6"/>
      <c r="G497" s="93">
        <f>SUM('1:2'!G497)</f>
        <v>0</v>
      </c>
      <c r="H497" s="364">
        <f t="shared" si="202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58" t="s">
        <v>60</v>
      </c>
      <c r="D498" s="17">
        <v>6.04</v>
      </c>
      <c r="E498" s="17"/>
      <c r="F498" s="6"/>
      <c r="G498" s="93">
        <f>SUM('1:2'!G498)</f>
        <v>0</v>
      </c>
      <c r="H498" s="364">
        <f t="shared" si="202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5"/>
        <v>0</v>
      </c>
      <c r="W498" s="33" t="str">
        <f t="shared" si="206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58" t="s">
        <v>53</v>
      </c>
      <c r="D499" s="17"/>
      <c r="E499" s="17"/>
      <c r="F499" s="6"/>
      <c r="G499" s="93">
        <f>SUM('1:2'!G499)</f>
        <v>0</v>
      </c>
      <c r="H499" s="364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58" t="s">
        <v>60</v>
      </c>
      <c r="D500" s="17"/>
      <c r="E500" s="17"/>
      <c r="F500" s="6"/>
      <c r="G500" s="93">
        <f>SUM('1:2'!G500)</f>
        <v>0</v>
      </c>
      <c r="H500" s="364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364">
        <f t="shared" si="202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364">
        <f t="shared" si="202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60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364">
        <f t="shared" si="202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70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60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364">
        <f t="shared" si="202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73"/>
      <c r="AC504" s="54"/>
      <c r="AD504" s="370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60"/>
      <c r="C505" s="16"/>
      <c r="D505" s="17"/>
      <c r="E505" s="17"/>
      <c r="F505" s="6"/>
      <c r="G505" s="93">
        <f>SUM('1:2'!G505)</f>
        <v>0</v>
      </c>
      <c r="H505" s="364">
        <f t="shared" si="202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54"/>
      <c r="AD505" s="370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31" t="s">
        <v>106</v>
      </c>
      <c r="B506" s="732"/>
      <c r="C506" s="359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33" t="s">
        <v>108</v>
      </c>
      <c r="B507" s="734"/>
      <c r="C507" s="734"/>
      <c r="D507" s="734"/>
      <c r="E507" s="734"/>
      <c r="F507" s="735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13">SUM(M370,M428,M463,M479,M490,M506)</f>
        <v>-17.874633431085034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70"/>
      <c r="AE507" s="77"/>
      <c r="AF507" s="77"/>
      <c r="AG507" s="77"/>
      <c r="AH507" s="77"/>
      <c r="AI507" s="57"/>
      <c r="AJ507" s="57"/>
      <c r="AK507" s="57"/>
      <c r="AL507" s="736"/>
      <c r="AM507" s="736"/>
      <c r="AN507" s="736"/>
      <c r="AO507" s="736"/>
      <c r="AP507" s="736"/>
      <c r="AQ507" s="736"/>
      <c r="AR507" s="736"/>
      <c r="AS507" s="736"/>
      <c r="AT507" s="736"/>
      <c r="AU507" s="736"/>
      <c r="AV507" s="736"/>
      <c r="AW507" s="736"/>
      <c r="AX507" s="736"/>
      <c r="AY507" s="736"/>
      <c r="AZ507" s="736"/>
      <c r="BA507" s="736"/>
    </row>
    <row r="508" spans="1:53" ht="15.75" customHeight="1">
      <c r="A508" s="623" t="s">
        <v>503</v>
      </c>
      <c r="B508" s="362" t="s">
        <v>110</v>
      </c>
      <c r="C508" s="714" t="s">
        <v>111</v>
      </c>
      <c r="D508" s="714"/>
      <c r="E508" s="724" t="s">
        <v>112</v>
      </c>
      <c r="F508" s="724"/>
      <c r="G508" s="694" t="s">
        <v>113</v>
      </c>
      <c r="H508" s="694"/>
      <c r="I508" s="724" t="s">
        <v>114</v>
      </c>
      <c r="J508" s="724"/>
      <c r="K508" s="724" t="s">
        <v>36</v>
      </c>
      <c r="L508" s="724"/>
      <c r="M508" s="724" t="s">
        <v>115</v>
      </c>
      <c r="N508" s="724"/>
      <c r="O508" s="724" t="s">
        <v>116</v>
      </c>
      <c r="P508" s="694" t="s">
        <v>117</v>
      </c>
      <c r="Q508" s="694"/>
      <c r="R508" s="694" t="s">
        <v>36</v>
      </c>
      <c r="S508" s="694"/>
      <c r="T508" s="694" t="s">
        <v>118</v>
      </c>
      <c r="U508" s="694"/>
      <c r="V508" s="694" t="s">
        <v>119</v>
      </c>
      <c r="W508" s="694"/>
      <c r="X508" s="694" t="s">
        <v>36</v>
      </c>
      <c r="Y508" s="694"/>
      <c r="Z508" s="694" t="s">
        <v>118</v>
      </c>
      <c r="AA508" s="694"/>
      <c r="AB508" s="12"/>
      <c r="AC508" s="12"/>
      <c r="AD508" s="12"/>
      <c r="AE508" s="3"/>
      <c r="AF508" s="3"/>
      <c r="AG508" s="3"/>
      <c r="AH508" s="368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24"/>
      <c r="B509" s="362" t="s">
        <v>120</v>
      </c>
      <c r="C509" s="729">
        <f>SUM('1:2'!C509)</f>
        <v>0</v>
      </c>
      <c r="D509" s="730"/>
      <c r="E509" s="728">
        <f>D509*11</f>
        <v>0</v>
      </c>
      <c r="F509" s="728"/>
      <c r="G509" s="641">
        <v>0</v>
      </c>
      <c r="H509" s="642"/>
      <c r="I509" s="724">
        <f>G509*11</f>
        <v>0</v>
      </c>
      <c r="J509" s="724"/>
      <c r="K509" s="724">
        <f>E509-I509</f>
        <v>0</v>
      </c>
      <c r="L509" s="724"/>
      <c r="M509" s="726" t="str">
        <f>IF(ISERROR(K509/E509),"",K509/E509)</f>
        <v/>
      </c>
      <c r="N509" s="726"/>
      <c r="O509" s="724"/>
      <c r="P509" s="694" t="s">
        <v>70</v>
      </c>
      <c r="Q509" s="694"/>
      <c r="R509" s="717">
        <f>SUM(O370:U370)</f>
        <v>0</v>
      </c>
      <c r="S509" s="717"/>
      <c r="T509" s="725" t="str">
        <f t="array" ref="T509">IF(ISERROR(R509/R516),"",R509/R516)</f>
        <v/>
      </c>
      <c r="U509" s="725"/>
      <c r="V509" s="694" t="s">
        <v>41</v>
      </c>
      <c r="W509" s="694"/>
      <c r="X509" s="717">
        <f>SUM(O370,O428,O463,O479,O490,O506)</f>
        <v>0</v>
      </c>
      <c r="Y509" s="717"/>
      <c r="Z509" s="725" t="str">
        <f t="array" ref="Z509">IF(ISERROR(X509/X516),"",X509/X516)</f>
        <v/>
      </c>
      <c r="AA509" s="725"/>
      <c r="AB509" s="12"/>
      <c r="AC509" s="22"/>
      <c r="AD509" s="22"/>
      <c r="AE509" s="3"/>
      <c r="AF509" s="3"/>
      <c r="AG509" s="3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24"/>
      <c r="B510" s="362" t="s">
        <v>121</v>
      </c>
      <c r="C510" s="729">
        <f>SUM('1:2'!C510)</f>
        <v>0</v>
      </c>
      <c r="D510" s="730"/>
      <c r="E510" s="728">
        <f>D510*11</f>
        <v>0</v>
      </c>
      <c r="F510" s="728"/>
      <c r="G510" s="641">
        <v>0</v>
      </c>
      <c r="H510" s="642"/>
      <c r="I510" s="724">
        <f>G510*11</f>
        <v>0</v>
      </c>
      <c r="J510" s="724"/>
      <c r="K510" s="724">
        <f>E510-I510</f>
        <v>0</v>
      </c>
      <c r="L510" s="724"/>
      <c r="M510" s="726" t="str">
        <f>IF(ISERROR(K510/E510),"",K510/E510)</f>
        <v/>
      </c>
      <c r="N510" s="726"/>
      <c r="O510" s="724"/>
      <c r="P510" s="694" t="s">
        <v>86</v>
      </c>
      <c r="Q510" s="694"/>
      <c r="R510" s="717">
        <f>SUM(O428:U428)</f>
        <v>0</v>
      </c>
      <c r="S510" s="717"/>
      <c r="T510" s="725" t="str">
        <f>IF(ISERROR(R510/R516),"",R510/R516)</f>
        <v/>
      </c>
      <c r="U510" s="725"/>
      <c r="V510" s="694" t="s">
        <v>42</v>
      </c>
      <c r="W510" s="694"/>
      <c r="X510" s="717">
        <f>SUM(O371,O429,O464,O480,O491,O507)</f>
        <v>0</v>
      </c>
      <c r="Y510" s="717"/>
      <c r="Z510" s="725" t="str">
        <f>IF(ISERROR(X510/X516),"",X510/X516)</f>
        <v/>
      </c>
      <c r="AA510" s="725"/>
      <c r="AB510" s="12"/>
      <c r="AC510" s="22"/>
      <c r="AD510" s="22"/>
      <c r="AE510" s="3"/>
      <c r="AF510" s="3"/>
      <c r="AG510" s="3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24"/>
      <c r="B511" s="362" t="s">
        <v>122</v>
      </c>
      <c r="C511" s="729">
        <f>SUM('1:2'!C511)</f>
        <v>0</v>
      </c>
      <c r="D511" s="730"/>
      <c r="E511" s="728">
        <f>D511*11</f>
        <v>0</v>
      </c>
      <c r="F511" s="728"/>
      <c r="G511" s="641">
        <v>0</v>
      </c>
      <c r="H511" s="642"/>
      <c r="I511" s="724">
        <f>G511*11</f>
        <v>0</v>
      </c>
      <c r="J511" s="724"/>
      <c r="K511" s="724">
        <f>E511-I511</f>
        <v>0</v>
      </c>
      <c r="L511" s="724"/>
      <c r="M511" s="726" t="str">
        <f>IF(ISERROR(K511/E511),"",K511/E511)</f>
        <v/>
      </c>
      <c r="N511" s="726"/>
      <c r="O511" s="724"/>
      <c r="P511" s="694" t="s">
        <v>92</v>
      </c>
      <c r="Q511" s="694"/>
      <c r="R511" s="717">
        <f>SUM(O463:U463)</f>
        <v>0</v>
      </c>
      <c r="S511" s="717"/>
      <c r="T511" s="725" t="str">
        <f>IF(ISERROR(R511/R516),"",R511/R516)</f>
        <v/>
      </c>
      <c r="U511" s="725"/>
      <c r="V511" s="694" t="s">
        <v>43</v>
      </c>
      <c r="W511" s="694"/>
      <c r="X511" s="717">
        <f>SUM(O373,O430,O465,O481,O492,O508)</f>
        <v>0</v>
      </c>
      <c r="Y511" s="717"/>
      <c r="Z511" s="725" t="str">
        <f>IF(ISERROR(X511/X516),"",X511/X516)</f>
        <v/>
      </c>
      <c r="AA511" s="725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24"/>
      <c r="B512" s="362" t="s">
        <v>47</v>
      </c>
      <c r="C512" s="626">
        <v>1</v>
      </c>
      <c r="D512" s="627"/>
      <c r="E512" s="728">
        <f>D512*11</f>
        <v>0</v>
      </c>
      <c r="F512" s="728"/>
      <c r="G512" s="641">
        <v>1</v>
      </c>
      <c r="H512" s="642"/>
      <c r="I512" s="724">
        <f>G512*11</f>
        <v>11</v>
      </c>
      <c r="J512" s="724"/>
      <c r="K512" s="724">
        <f>E512-I512</f>
        <v>-11</v>
      </c>
      <c r="L512" s="724"/>
      <c r="M512" s="726" t="str">
        <f>IF(ISERROR(K512/E512),"",K512/E512)</f>
        <v/>
      </c>
      <c r="N512" s="726"/>
      <c r="O512" s="724"/>
      <c r="P512" s="694" t="s">
        <v>99</v>
      </c>
      <c r="Q512" s="694"/>
      <c r="R512" s="717">
        <f>SUM(O479:U479)</f>
        <v>0</v>
      </c>
      <c r="S512" s="717"/>
      <c r="T512" s="725" t="str">
        <f>IF(ISERROR(R512/R516),"",R512/R516)</f>
        <v/>
      </c>
      <c r="U512" s="725"/>
      <c r="V512" s="694" t="s">
        <v>44</v>
      </c>
      <c r="W512" s="694"/>
      <c r="X512" s="717">
        <f>SUM(O374,O431,O466,O482,O493,O509)</f>
        <v>0</v>
      </c>
      <c r="Y512" s="717"/>
      <c r="Z512" s="725" t="str">
        <f>IF(ISERROR(X512/X516),"",X512/X516)</f>
        <v/>
      </c>
      <c r="AA512" s="725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25"/>
      <c r="B513" s="362" t="s">
        <v>123</v>
      </c>
      <c r="C513" s="727">
        <f>SUM(C509:D512)</f>
        <v>1</v>
      </c>
      <c r="D513" s="724"/>
      <c r="E513" s="724">
        <f>SUM(F509:F512)</f>
        <v>0</v>
      </c>
      <c r="F513" s="724"/>
      <c r="G513" s="727">
        <f>SUM(G509:H512)</f>
        <v>1</v>
      </c>
      <c r="H513" s="724"/>
      <c r="I513" s="724">
        <f>SUM(I509:J512)</f>
        <v>11</v>
      </c>
      <c r="J513" s="724"/>
      <c r="K513" s="724">
        <f>SUM(K509:L512)</f>
        <v>-11</v>
      </c>
      <c r="L513" s="724"/>
      <c r="M513" s="726" t="str">
        <f>IF(ISERROR(K513/E513),"",K513/E513)</f>
        <v/>
      </c>
      <c r="N513" s="726"/>
      <c r="O513" s="724"/>
      <c r="P513" s="694" t="s">
        <v>102</v>
      </c>
      <c r="Q513" s="694"/>
      <c r="R513" s="717">
        <f>SUM(O490:U490)</f>
        <v>0</v>
      </c>
      <c r="S513" s="717"/>
      <c r="T513" s="725" t="str">
        <f>IF(ISERROR(R513/R516),"",R513/R516)</f>
        <v/>
      </c>
      <c r="U513" s="725"/>
      <c r="V513" s="694" t="s">
        <v>45</v>
      </c>
      <c r="W513" s="694"/>
      <c r="X513" s="717">
        <f>SUM(O375,O432,O467,O483,O494,O510)</f>
        <v>0</v>
      </c>
      <c r="Y513" s="717"/>
      <c r="Z513" s="725" t="str">
        <f>IF(ISERROR(X513/X516),"",X513/X516)</f>
        <v/>
      </c>
      <c r="AA513" s="725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09" t="s">
        <v>504</v>
      </c>
      <c r="B514" s="362">
        <f>G507</f>
        <v>1732</v>
      </c>
      <c r="C514" s="717" t="s">
        <v>155</v>
      </c>
      <c r="D514" s="717"/>
      <c r="E514" s="694">
        <f>H507</f>
        <v>8711.9600000000009</v>
      </c>
      <c r="F514" s="694"/>
      <c r="G514" s="694" t="s">
        <v>34</v>
      </c>
      <c r="H514" s="694"/>
      <c r="I514" s="723">
        <f>L507</f>
        <v>9.0503112609420189</v>
      </c>
      <c r="J514" s="723"/>
      <c r="K514" s="724" t="s">
        <v>32</v>
      </c>
      <c r="L514" s="724"/>
      <c r="M514" s="723">
        <f>J507</f>
        <v>9.9827089337175785</v>
      </c>
      <c r="N514" s="723"/>
      <c r="O514" s="724"/>
      <c r="P514" s="694" t="s">
        <v>106</v>
      </c>
      <c r="Q514" s="694"/>
      <c r="R514" s="717">
        <f>SUM(O506:U506)</f>
        <v>0</v>
      </c>
      <c r="S514" s="717"/>
      <c r="T514" s="725" t="str">
        <f>IF(ISERROR(R514/R516),"",R514/R516)</f>
        <v/>
      </c>
      <c r="U514" s="725"/>
      <c r="V514" s="694" t="s">
        <v>46</v>
      </c>
      <c r="W514" s="694"/>
      <c r="X514" s="717">
        <f>SUM(O376,O433,O468,O484,O495,O511)</f>
        <v>0</v>
      </c>
      <c r="Y514" s="717"/>
      <c r="Z514" s="725" t="str">
        <f>IF(ISERROR(X514/X516),"",X514/X516)</f>
        <v/>
      </c>
      <c r="AA514" s="725"/>
      <c r="AB514" s="12"/>
      <c r="AC514" s="22"/>
      <c r="AD514" s="22"/>
      <c r="AE514" s="3"/>
      <c r="AF514" s="3"/>
      <c r="AG514" s="370"/>
      <c r="AH514" s="370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67"/>
      <c r="AV514" s="367"/>
      <c r="AW514" s="367"/>
      <c r="AX514" s="367"/>
      <c r="AY514" s="367"/>
      <c r="AZ514" s="367"/>
      <c r="BA514" s="367"/>
    </row>
    <row r="515" spans="1:53" ht="15.75" customHeight="1">
      <c r="A515" s="310" t="s">
        <v>505</v>
      </c>
      <c r="B515" s="362">
        <f>I507+C513</f>
        <v>174.5</v>
      </c>
      <c r="C515" s="694" t="s">
        <v>114</v>
      </c>
      <c r="D515" s="694"/>
      <c r="E515" s="714">
        <f>K507+I513</f>
        <v>202.37463343108504</v>
      </c>
      <c r="F515" s="714"/>
      <c r="G515" s="694" t="s">
        <v>150</v>
      </c>
      <c r="H515" s="694"/>
      <c r="I515" s="723">
        <f>B515-E515</f>
        <v>-27.874633431085044</v>
      </c>
      <c r="J515" s="723"/>
      <c r="K515" s="724" t="s">
        <v>151</v>
      </c>
      <c r="L515" s="724"/>
      <c r="M515" s="726">
        <f>IF(ISERROR(I515/B515),"",I515/B515)</f>
        <v>-0.15974001966237847</v>
      </c>
      <c r="N515" s="726"/>
      <c r="O515" s="724"/>
      <c r="P515" s="694" t="s">
        <v>107</v>
      </c>
      <c r="Q515" s="694"/>
      <c r="R515" s="717"/>
      <c r="S515" s="717"/>
      <c r="T515" s="725" t="str">
        <f>IF(ISERROR(R515/R516),"",R515/R516)</f>
        <v/>
      </c>
      <c r="U515" s="725"/>
      <c r="V515" s="694" t="s">
        <v>47</v>
      </c>
      <c r="W515" s="694"/>
      <c r="X515" s="717">
        <f>SUM(O377,O434,O469,O489,O496,O512)</f>
        <v>0</v>
      </c>
      <c r="Y515" s="717"/>
      <c r="Z515" s="725" t="str">
        <f>IF(ISERROR(X515/X516),"",X515/X516)</f>
        <v/>
      </c>
      <c r="AA515" s="725"/>
      <c r="AB515" s="12"/>
      <c r="AC515" s="22"/>
      <c r="AD515" s="22"/>
      <c r="AE515" s="3"/>
      <c r="AF515" s="3"/>
      <c r="AG515" s="370"/>
      <c r="AH515" s="370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67"/>
      <c r="AV515" s="367"/>
      <c r="AW515" s="367"/>
      <c r="AX515" s="367"/>
      <c r="AY515" s="367"/>
      <c r="AZ515" s="367"/>
      <c r="BA515" s="367"/>
    </row>
    <row r="516" spans="1:53" ht="15.75" customHeight="1">
      <c r="A516" s="310" t="s">
        <v>507</v>
      </c>
      <c r="B516" s="362">
        <f>N507</f>
        <v>0</v>
      </c>
      <c r="C516" s="694" t="s">
        <v>149</v>
      </c>
      <c r="D516" s="694"/>
      <c r="E516" s="725">
        <f>IF(ISERROR(B516/B515),"",B516/B515)</f>
        <v>0</v>
      </c>
      <c r="F516" s="725"/>
      <c r="G516" s="694" t="s">
        <v>158</v>
      </c>
      <c r="H516" s="694"/>
      <c r="I516" s="724">
        <f>V507</f>
        <v>0</v>
      </c>
      <c r="J516" s="724"/>
      <c r="K516" s="724" t="s">
        <v>156</v>
      </c>
      <c r="L516" s="724"/>
      <c r="M516" s="726">
        <f t="array" ref="M516">IF(ISERROR(I516/B514),"",I516/B514)</f>
        <v>0</v>
      </c>
      <c r="N516" s="726"/>
      <c r="O516" s="724"/>
      <c r="P516" s="694" t="s">
        <v>123</v>
      </c>
      <c r="Q516" s="694"/>
      <c r="R516" s="717">
        <f>SUM(R509:S515)</f>
        <v>0</v>
      </c>
      <c r="S516" s="717"/>
      <c r="T516" s="725">
        <f>SUM(T509:U515)</f>
        <v>0</v>
      </c>
      <c r="U516" s="725"/>
      <c r="V516" s="694" t="s">
        <v>123</v>
      </c>
      <c r="W516" s="694"/>
      <c r="X516" s="717">
        <f>SUM(X509:Y515)</f>
        <v>0</v>
      </c>
      <c r="Y516" s="717"/>
      <c r="Z516" s="725">
        <f>SUM(Z509:AA515)</f>
        <v>0</v>
      </c>
      <c r="AA516" s="725"/>
      <c r="AB516" s="12"/>
      <c r="AC516" s="22"/>
      <c r="AD516" s="22"/>
      <c r="AE516" s="3"/>
      <c r="AF516" s="3"/>
      <c r="AG516" s="370"/>
      <c r="AH516" s="370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67"/>
      <c r="AV516" s="367"/>
      <c r="AW516" s="367"/>
      <c r="AX516" s="367"/>
      <c r="AY516" s="367"/>
      <c r="AZ516" s="367"/>
      <c r="BA516" s="367"/>
    </row>
    <row r="517" spans="1:53" ht="17.25">
      <c r="A517" s="329" t="s">
        <v>508</v>
      </c>
      <c r="B517" s="366"/>
      <c r="C517" s="7"/>
      <c r="D517" s="7"/>
      <c r="E517" s="15"/>
      <c r="F517" s="15"/>
      <c r="G517" s="718" t="str">
        <f>IF(ISERROR(#REF!/#REF!),"",#REF!/#REF!)</f>
        <v/>
      </c>
      <c r="H517" s="718"/>
      <c r="I517" s="718"/>
      <c r="J517" s="8"/>
      <c r="K517" s="47"/>
      <c r="L517" s="12"/>
      <c r="M517" s="12"/>
      <c r="N517" s="718" t="str">
        <f>IF(ISERROR(G517/#REF!),"",G517/#REF!)</f>
        <v/>
      </c>
      <c r="O517" s="718"/>
      <c r="P517" s="718"/>
      <c r="Q517" s="718"/>
      <c r="R517" s="718"/>
      <c r="S517" s="370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66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17" t="s">
        <v>157</v>
      </c>
      <c r="B519" s="717"/>
      <c r="C519" s="714">
        <f>SUM(B171,B342,B514)</f>
        <v>24362</v>
      </c>
      <c r="D519" s="714"/>
      <c r="E519" s="717" t="s">
        <v>124</v>
      </c>
      <c r="F519" s="717"/>
      <c r="G519" s="714">
        <f>SUM(E171,E342,E514)</f>
        <v>121324.29000000001</v>
      </c>
      <c r="H519" s="714"/>
      <c r="I519" s="694" t="s">
        <v>34</v>
      </c>
      <c r="J519" s="717"/>
      <c r="K519" s="719">
        <f>IF(ISERROR(C519/G520),"",C519/G520)</f>
        <v>19.267089482323698</v>
      </c>
      <c r="L519" s="720"/>
      <c r="M519" s="694" t="s">
        <v>32</v>
      </c>
      <c r="N519" s="694"/>
      <c r="O519" s="721">
        <f t="array" ref="O519">IF(ISERROR(C519/C520),"",C519/C520)</f>
        <v>17.216352779053743</v>
      </c>
      <c r="P519" s="722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94" t="s">
        <v>125</v>
      </c>
      <c r="B520" s="694"/>
      <c r="C520" s="714">
        <f>SUM(B172,B343,B515)</f>
        <v>1415.05</v>
      </c>
      <c r="D520" s="714"/>
      <c r="E520" s="694" t="s">
        <v>114</v>
      </c>
      <c r="F520" s="694"/>
      <c r="G520" s="714">
        <f>SUM(E172,E343,E515)</f>
        <v>1264.4359192056772</v>
      </c>
      <c r="H520" s="714"/>
      <c r="I520" s="701" t="s">
        <v>150</v>
      </c>
      <c r="J520" s="702"/>
      <c r="K520" s="705">
        <f>C520-G520</f>
        <v>150.61408079432272</v>
      </c>
      <c r="L520" s="704"/>
      <c r="M520" s="705" t="s">
        <v>151</v>
      </c>
      <c r="N520" s="704"/>
      <c r="O520" s="715">
        <f>IF(ISERROR(K520/C520),"",K520/C520)</f>
        <v>0.10643728546293256</v>
      </c>
      <c r="P520" s="716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01" t="s">
        <v>148</v>
      </c>
      <c r="B521" s="702"/>
      <c r="C521" s="714">
        <f>SUM(B173,B344,B516)</f>
        <v>0</v>
      </c>
      <c r="D521" s="714"/>
      <c r="E521" s="701" t="s">
        <v>149</v>
      </c>
      <c r="F521" s="702"/>
      <c r="G521" s="715">
        <f>IF(ISERROR(C521/C520),"",C521/C520)</f>
        <v>0</v>
      </c>
      <c r="H521" s="716"/>
      <c r="I521" s="694" t="s">
        <v>126</v>
      </c>
      <c r="J521" s="717"/>
      <c r="K521" s="714">
        <f>SUM(I173,I344,I516)</f>
        <v>0</v>
      </c>
      <c r="L521" s="714"/>
      <c r="M521" s="717" t="s">
        <v>127</v>
      </c>
      <c r="N521" s="717"/>
      <c r="O521" s="715">
        <f t="array" ref="O521">IF(ISERROR(K521/C519),"",K521/C519)</f>
        <v>0</v>
      </c>
      <c r="P521" s="716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70"/>
      <c r="H522" s="22"/>
      <c r="I522" s="370"/>
      <c r="J522" s="8"/>
      <c r="K522" s="54"/>
      <c r="L522" s="368"/>
      <c r="M522" s="368"/>
      <c r="N522" s="15"/>
      <c r="O522" s="15"/>
      <c r="P522" s="15"/>
      <c r="Q522" s="15"/>
      <c r="R522" s="15"/>
      <c r="S522" s="15"/>
      <c r="T522" s="368"/>
      <c r="U522" s="368"/>
      <c r="V522" s="211"/>
      <c r="W522" s="368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01" t="s">
        <v>130</v>
      </c>
      <c r="B523" s="702"/>
      <c r="C523" s="701" t="s">
        <v>131</v>
      </c>
      <c r="D523" s="702"/>
      <c r="E523" s="701" t="s">
        <v>118</v>
      </c>
      <c r="F523" s="702"/>
      <c r="G523" s="708" t="s">
        <v>116</v>
      </c>
      <c r="H523" s="709"/>
      <c r="I523" s="701" t="s">
        <v>117</v>
      </c>
      <c r="J523" s="704"/>
      <c r="K523" s="701" t="s">
        <v>14</v>
      </c>
      <c r="L523" s="702"/>
      <c r="M523" s="701" t="s">
        <v>118</v>
      </c>
      <c r="N523" s="702"/>
      <c r="O523" s="694" t="s">
        <v>119</v>
      </c>
      <c r="P523" s="694"/>
      <c r="Q523" s="701" t="s">
        <v>14</v>
      </c>
      <c r="R523" s="702"/>
      <c r="S523" s="701" t="s">
        <v>118</v>
      </c>
      <c r="T523" s="702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06" t="s">
        <v>70</v>
      </c>
      <c r="B524" s="702"/>
      <c r="C524" s="703">
        <f>SUM(G28,G199,G370)</f>
        <v>7958</v>
      </c>
      <c r="D524" s="702"/>
      <c r="E524" s="697">
        <f>IF(ISERROR(C524/C530),"",C524/C530)</f>
        <v>0.32665626795829572</v>
      </c>
      <c r="F524" s="698"/>
      <c r="G524" s="710"/>
      <c r="H524" s="711"/>
      <c r="I524" s="699" t="s">
        <v>15</v>
      </c>
      <c r="J524" s="707"/>
      <c r="K524" s="705">
        <f t="shared" ref="K524:K529" si="214">SUM(R166,U337,U509)</f>
        <v>0</v>
      </c>
      <c r="L524" s="704"/>
      <c r="M524" s="697" t="str">
        <f t="array" ref="M524">IF(ISERROR(K524/K530),"",K524/K530)</f>
        <v/>
      </c>
      <c r="N524" s="698"/>
      <c r="O524" s="694" t="s">
        <v>41</v>
      </c>
      <c r="P524" s="694"/>
      <c r="Q524" s="695">
        <f t="shared" ref="Q524:Q529" si="215">SUM(X166,AA337,AA509)</f>
        <v>0</v>
      </c>
      <c r="R524" s="696"/>
      <c r="S524" s="697" t="str">
        <f t="array" ref="S524">IF(ISERROR(Q524/Q530),"",Q524/Q530)</f>
        <v/>
      </c>
      <c r="T524" s="69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06" t="s">
        <v>86</v>
      </c>
      <c r="B525" s="702"/>
      <c r="C525" s="701">
        <f>SUM(G86,G257,G428)</f>
        <v>9077</v>
      </c>
      <c r="D525" s="702"/>
      <c r="E525" s="697">
        <f>IF(ISERROR(C525/C530),"",C525/C530)</f>
        <v>0.37258845743370822</v>
      </c>
      <c r="F525" s="698"/>
      <c r="G525" s="710"/>
      <c r="H525" s="711"/>
      <c r="I525" s="699" t="s">
        <v>16</v>
      </c>
      <c r="J525" s="707"/>
      <c r="K525" s="705">
        <f t="shared" si="214"/>
        <v>0</v>
      </c>
      <c r="L525" s="704"/>
      <c r="M525" s="697" t="str">
        <f>IF(ISERROR(K525/K530),"",K525/K530)</f>
        <v/>
      </c>
      <c r="N525" s="698"/>
      <c r="O525" s="694" t="s">
        <v>42</v>
      </c>
      <c r="P525" s="694"/>
      <c r="Q525" s="701">
        <f t="shared" si="215"/>
        <v>0</v>
      </c>
      <c r="R525" s="702"/>
      <c r="S525" s="697" t="str">
        <f>IF(ISERROR(Q525/Q530),"",Q525/Q530)</f>
        <v/>
      </c>
      <c r="T525" s="69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06" t="s">
        <v>92</v>
      </c>
      <c r="B526" s="702"/>
      <c r="C526" s="701">
        <f>SUM(G121,G292,G463)</f>
        <v>3819</v>
      </c>
      <c r="D526" s="702"/>
      <c r="E526" s="697">
        <f>IF(ISERROR(C526/C530),"",C526/C530)</f>
        <v>0.15676052869222559</v>
      </c>
      <c r="F526" s="698"/>
      <c r="G526" s="710"/>
      <c r="H526" s="711"/>
      <c r="I526" s="699" t="s">
        <v>17</v>
      </c>
      <c r="J526" s="707"/>
      <c r="K526" s="705">
        <f t="shared" si="214"/>
        <v>0</v>
      </c>
      <c r="L526" s="704"/>
      <c r="M526" s="697" t="str">
        <f>IF(ISERROR(K526/K530),"",K526/K530)</f>
        <v/>
      </c>
      <c r="N526" s="698"/>
      <c r="O526" s="694" t="s">
        <v>43</v>
      </c>
      <c r="P526" s="694"/>
      <c r="Q526" s="701">
        <f t="shared" si="215"/>
        <v>0</v>
      </c>
      <c r="R526" s="702"/>
      <c r="S526" s="697" t="str">
        <f>IF(ISERROR(Q526/Q530),"",Q526/Q530)</f>
        <v/>
      </c>
      <c r="T526" s="69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06" t="s">
        <v>99</v>
      </c>
      <c r="B527" s="702"/>
      <c r="C527" s="701">
        <f>SUM(G137,G308,G479)</f>
        <v>3394</v>
      </c>
      <c r="D527" s="702"/>
      <c r="E527" s="697">
        <f>IF(ISERROR(C527/C530),"",C527/C530)</f>
        <v>0.13931532714883835</v>
      </c>
      <c r="F527" s="698"/>
      <c r="G527" s="710"/>
      <c r="H527" s="711"/>
      <c r="I527" s="699" t="s">
        <v>18</v>
      </c>
      <c r="J527" s="707"/>
      <c r="K527" s="705">
        <f t="shared" si="214"/>
        <v>0</v>
      </c>
      <c r="L527" s="704"/>
      <c r="M527" s="697" t="str">
        <f>IF(ISERROR(K527/K530),"",K527/K530)</f>
        <v/>
      </c>
      <c r="N527" s="698"/>
      <c r="O527" s="694" t="s">
        <v>21</v>
      </c>
      <c r="P527" s="694"/>
      <c r="Q527" s="701">
        <f t="shared" si="215"/>
        <v>0</v>
      </c>
      <c r="R527" s="702"/>
      <c r="S527" s="697" t="str">
        <f>IF(ISERROR(Q527/Q530),"",Q527/Q530)</f>
        <v/>
      </c>
      <c r="T527" s="698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06" t="s">
        <v>102</v>
      </c>
      <c r="B528" s="702"/>
      <c r="C528" s="701">
        <f>SUM(G148,G319,G490)</f>
        <v>18</v>
      </c>
      <c r="D528" s="702"/>
      <c r="E528" s="697">
        <f>IF(ISERROR(C528/C530),"",C528/C530)</f>
        <v>7.3885559477875377E-4</v>
      </c>
      <c r="F528" s="698"/>
      <c r="G528" s="710"/>
      <c r="H528" s="711"/>
      <c r="I528" s="699" t="s">
        <v>19</v>
      </c>
      <c r="J528" s="707"/>
      <c r="K528" s="705">
        <f t="shared" si="214"/>
        <v>0</v>
      </c>
      <c r="L528" s="704"/>
      <c r="M528" s="697" t="str">
        <f>IF(ISERROR(K528/K530),"",K528/K530)</f>
        <v/>
      </c>
      <c r="N528" s="698"/>
      <c r="O528" s="694" t="s">
        <v>45</v>
      </c>
      <c r="P528" s="694"/>
      <c r="Q528" s="701">
        <f t="shared" si="215"/>
        <v>0</v>
      </c>
      <c r="R528" s="702"/>
      <c r="S528" s="697" t="str">
        <f>IF(ISERROR(Q528/Q530),"",Q528/Q530)</f>
        <v/>
      </c>
      <c r="T528" s="698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06" t="s">
        <v>106</v>
      </c>
      <c r="B529" s="702"/>
      <c r="C529" s="701">
        <f>SUM(G163,G334,G506)</f>
        <v>96</v>
      </c>
      <c r="D529" s="702"/>
      <c r="E529" s="697">
        <f>IF(ISERROR(C529/C530),"",C529/C530)</f>
        <v>3.9405631721533534E-3</v>
      </c>
      <c r="F529" s="698"/>
      <c r="G529" s="710"/>
      <c r="H529" s="711"/>
      <c r="I529" s="699" t="s">
        <v>20</v>
      </c>
      <c r="J529" s="707"/>
      <c r="K529" s="705">
        <f t="shared" si="214"/>
        <v>0</v>
      </c>
      <c r="L529" s="704"/>
      <c r="M529" s="697" t="str">
        <f>IF(ISERROR(K529/K530),"",K529/K530)</f>
        <v/>
      </c>
      <c r="N529" s="698"/>
      <c r="O529" s="694" t="s">
        <v>46</v>
      </c>
      <c r="P529" s="694"/>
      <c r="Q529" s="701">
        <f t="shared" si="215"/>
        <v>0</v>
      </c>
      <c r="R529" s="702"/>
      <c r="S529" s="697" t="str">
        <f>IF(ISERROR(Q529/Q530),"",Q529/Q530)</f>
        <v/>
      </c>
      <c r="T529" s="698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01" t="s">
        <v>123</v>
      </c>
      <c r="B530" s="702"/>
      <c r="C530" s="703">
        <f>SUM(C524:C529)</f>
        <v>24362</v>
      </c>
      <c r="D530" s="702"/>
      <c r="E530" s="697">
        <f>SUM(E524:F529)</f>
        <v>0.99999999999999989</v>
      </c>
      <c r="F530" s="702"/>
      <c r="G530" s="712"/>
      <c r="H530" s="713"/>
      <c r="I530" s="701" t="s">
        <v>123</v>
      </c>
      <c r="J530" s="704"/>
      <c r="K530" s="705">
        <f>SUM(R173,U344,U516)</f>
        <v>0</v>
      </c>
      <c r="L530" s="704"/>
      <c r="M530" s="697">
        <f>SUM(M524:N529)</f>
        <v>0</v>
      </c>
      <c r="N530" s="698"/>
      <c r="O530" s="694" t="s">
        <v>123</v>
      </c>
      <c r="P530" s="694"/>
      <c r="Q530" s="695">
        <f>SUM(X173,AA344,AA516)</f>
        <v>0</v>
      </c>
      <c r="R530" s="696"/>
      <c r="S530" s="697">
        <f>SUM(S524:T529)</f>
        <v>0</v>
      </c>
      <c r="T530" s="698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68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99" t="s">
        <v>132</v>
      </c>
      <c r="B532" s="700"/>
      <c r="C532" s="358" t="s">
        <v>133</v>
      </c>
      <c r="D532" s="358" t="s">
        <v>134</v>
      </c>
      <c r="E532" s="358" t="s">
        <v>3</v>
      </c>
      <c r="F532" s="358" t="s">
        <v>4</v>
      </c>
      <c r="G532" s="358" t="s">
        <v>5</v>
      </c>
      <c r="H532" s="87" t="s">
        <v>6</v>
      </c>
      <c r="I532" s="87" t="s">
        <v>7</v>
      </c>
      <c r="J532" s="87" t="s">
        <v>135</v>
      </c>
      <c r="K532" s="363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64" t="s">
        <v>138</v>
      </c>
      <c r="Q532" s="87" t="s">
        <v>139</v>
      </c>
      <c r="R532" s="36" t="s">
        <v>140</v>
      </c>
      <c r="S532" s="358" t="s">
        <v>141</v>
      </c>
      <c r="T532" s="358" t="s">
        <v>142</v>
      </c>
      <c r="U532" s="51"/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90" t="s">
        <v>143</v>
      </c>
      <c r="B533" s="691"/>
      <c r="C533" s="93">
        <f>SUM('1:2'!C533)</f>
        <v>76</v>
      </c>
      <c r="D533" s="93">
        <f>SUM('1:2'!D533)</f>
        <v>76</v>
      </c>
      <c r="E533" s="93">
        <f>SUM('1:2'!E533)</f>
        <v>0</v>
      </c>
      <c r="F533" s="93">
        <f>SUM('1:2'!F533)</f>
        <v>0</v>
      </c>
      <c r="G533" s="93">
        <f>SUM('1:2'!G533)</f>
        <v>0</v>
      </c>
      <c r="H533" s="93">
        <f>SUM('1:2'!H533)</f>
        <v>0</v>
      </c>
      <c r="I533" s="93">
        <f>SUM('1:2'!I533)</f>
        <v>0</v>
      </c>
      <c r="J533" s="93">
        <f>+C533-H533-I533</f>
        <v>76</v>
      </c>
      <c r="K533" s="93">
        <f>SUM('1:2'!K533)</f>
        <v>0</v>
      </c>
      <c r="L533" s="93">
        <f>SUM('1:2'!L533)</f>
        <v>0</v>
      </c>
      <c r="M533" s="93">
        <f>SUM('1:2'!M533)</f>
        <v>0</v>
      </c>
      <c r="N533" s="93">
        <f>SUM('1:2'!N533)</f>
        <v>0</v>
      </c>
      <c r="O533" s="93">
        <f>SUM('1:2'!O533)</f>
        <v>0</v>
      </c>
      <c r="P533" s="93">
        <f>SUM('1:2'!P533)</f>
        <v>0</v>
      </c>
      <c r="Q533" s="93">
        <f>J533-K533-L533</f>
        <v>76</v>
      </c>
      <c r="R533" s="93">
        <f>Q533*11-M533-N533</f>
        <v>836</v>
      </c>
      <c r="S533" s="200">
        <f>IF(ISERROR(Q533/J533),"",Q533/J533)</f>
        <v>1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68"/>
      <c r="AD533" s="368"/>
      <c r="AE533" s="368"/>
      <c r="AF533" s="368"/>
      <c r="AG533" s="368"/>
      <c r="AH533" s="368"/>
      <c r="AI533" s="368"/>
      <c r="AJ533" s="368"/>
      <c r="AK533" s="368"/>
      <c r="AL533" s="368"/>
      <c r="AM533" s="368"/>
      <c r="AN533" s="15"/>
      <c r="AO533" s="368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90" t="s">
        <v>144</v>
      </c>
      <c r="B534" s="691"/>
      <c r="C534" s="93">
        <f>SUM('1:2'!C534)</f>
        <v>88</v>
      </c>
      <c r="D534" s="93">
        <f>SUM('1:2'!D534)</f>
        <v>89</v>
      </c>
      <c r="E534" s="93">
        <f>SUM('1:2'!E534)</f>
        <v>0</v>
      </c>
      <c r="F534" s="93">
        <f>SUM('1:2'!F534)</f>
        <v>0</v>
      </c>
      <c r="G534" s="93">
        <f>SUM('1:2'!G534)</f>
        <v>0</v>
      </c>
      <c r="H534" s="93">
        <f>SUM('1:2'!H534)</f>
        <v>0</v>
      </c>
      <c r="I534" s="93">
        <f>SUM('1:2'!I534)</f>
        <v>0</v>
      </c>
      <c r="J534" s="93">
        <f t="shared" ref="J534:J535" si="216">C534-G534-H534-I534</f>
        <v>88</v>
      </c>
      <c r="K534" s="93">
        <f>SUM('1:2'!K534)</f>
        <v>3</v>
      </c>
      <c r="L534" s="93">
        <f>SUM('1:2'!L534)</f>
        <v>0</v>
      </c>
      <c r="M534" s="93">
        <f>SUM('1:2'!M534)</f>
        <v>0</v>
      </c>
      <c r="N534" s="93">
        <f>SUM('1:2'!N534)</f>
        <v>0</v>
      </c>
      <c r="O534" s="93">
        <f>SUM('1:2'!O534)</f>
        <v>0</v>
      </c>
      <c r="P534" s="93">
        <f>SUM('1:2'!P534)</f>
        <v>1</v>
      </c>
      <c r="Q534" s="93">
        <f t="shared" ref="Q534:Q535" si="217">J534-K534-L534</f>
        <v>85</v>
      </c>
      <c r="R534" s="93">
        <f t="shared" ref="R534:R535" si="218">Q534*11-M534-N534</f>
        <v>935</v>
      </c>
      <c r="S534" s="194">
        <f t="array" ref="S534">IF(ISERROR(Q534/J534),"",Q534/J534)</f>
        <v>0.96590909090909094</v>
      </c>
      <c r="T534" s="194">
        <f t="array" ref="T534">IF(ISERROR((O534:P534)/C534),"",SUM(O534:P534)/C534)</f>
        <v>1.1363636363636364E-2</v>
      </c>
      <c r="X534" s="14"/>
      <c r="Y534" s="14"/>
      <c r="Z534" s="15"/>
      <c r="AA534" s="15"/>
      <c r="AB534" s="15"/>
      <c r="AC534" s="368"/>
      <c r="AD534" s="368"/>
      <c r="AE534" s="368"/>
      <c r="AF534" s="368"/>
      <c r="AG534" s="368"/>
      <c r="AH534" s="368"/>
      <c r="AI534" s="368"/>
      <c r="AJ534" s="368"/>
      <c r="AK534" s="368"/>
      <c r="AL534" s="368"/>
      <c r="AM534" s="368"/>
      <c r="AN534" s="15"/>
      <c r="AO534" s="368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90" t="s">
        <v>145</v>
      </c>
      <c r="B535" s="691"/>
      <c r="C535" s="93">
        <f>SUM('1:2'!C535)</f>
        <v>20</v>
      </c>
      <c r="D535" s="93">
        <f>SUM('1:2'!D535)</f>
        <v>20</v>
      </c>
      <c r="E535" s="93">
        <f>SUM('1:2'!E535)</f>
        <v>0</v>
      </c>
      <c r="F535" s="93">
        <f>SUM('1:2'!F535)</f>
        <v>0</v>
      </c>
      <c r="G535" s="93">
        <f>SUM('1:2'!G535)</f>
        <v>0</v>
      </c>
      <c r="H535" s="93">
        <f>SUM('1:2'!H535)</f>
        <v>0</v>
      </c>
      <c r="I535" s="93">
        <f>SUM('1:2'!I535)</f>
        <v>0</v>
      </c>
      <c r="J535" s="93">
        <f t="shared" si="216"/>
        <v>20</v>
      </c>
      <c r="K535" s="93">
        <f>SUM('1:2'!K535)</f>
        <v>0</v>
      </c>
      <c r="L535" s="93">
        <f>SUM('1:2'!L535)</f>
        <v>0</v>
      </c>
      <c r="M535" s="93">
        <f>SUM('1:2'!M535)</f>
        <v>0</v>
      </c>
      <c r="N535" s="93">
        <f>SUM('1:2'!N535)</f>
        <v>0</v>
      </c>
      <c r="O535" s="93">
        <f>SUM('1:2'!O535)</f>
        <v>0</v>
      </c>
      <c r="P535" s="93">
        <f>SUM('1:2'!P535)</f>
        <v>0</v>
      </c>
      <c r="Q535" s="93">
        <f t="shared" si="217"/>
        <v>20</v>
      </c>
      <c r="R535" s="93">
        <f t="shared" si="218"/>
        <v>220</v>
      </c>
      <c r="S535" s="194">
        <f t="array" ref="S535">IF(ISERROR(Q535/J535),"",Q535/J535)</f>
        <v>1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68"/>
      <c r="AD535" s="368"/>
      <c r="AE535" s="368"/>
      <c r="AF535" s="368"/>
      <c r="AG535" s="368"/>
      <c r="AH535" s="368"/>
      <c r="AI535" s="368"/>
      <c r="AJ535" s="368"/>
      <c r="AK535" s="368"/>
      <c r="AL535" s="368"/>
      <c r="AM535" s="368"/>
      <c r="AN535" s="15"/>
      <c r="AO535" s="368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92" t="s">
        <v>11</v>
      </c>
      <c r="B536" s="693"/>
      <c r="C536" s="37">
        <f>SUM(C533:C535)</f>
        <v>184</v>
      </c>
      <c r="D536" s="37">
        <f>SUM(D533:D535)</f>
        <v>185</v>
      </c>
      <c r="E536" s="37">
        <f t="shared" ref="E536:N536" si="219">SUM(E533:E535)</f>
        <v>0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0</v>
      </c>
      <c r="J536" s="45">
        <f t="shared" si="219"/>
        <v>184</v>
      </c>
      <c r="K536" s="88">
        <f t="shared" si="219"/>
        <v>3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0</v>
      </c>
      <c r="P536" s="37">
        <f>SUM(P533:P535)</f>
        <v>1</v>
      </c>
      <c r="Q536" s="37">
        <f>SUM(Q533:Q535)</f>
        <v>181</v>
      </c>
      <c r="R536" s="37">
        <f>SUM(R533:R535)</f>
        <v>1991</v>
      </c>
      <c r="S536" s="38">
        <f t="array" ref="S536">IF(ISERROR(Q536/J536),"",Q536/J536)</f>
        <v>0.98369565217391308</v>
      </c>
      <c r="T536" s="39">
        <f t="array" ref="T536">IF(ISERROR((O536:P536)/C536),"",SUM(O536:P536)/C536)</f>
        <v>5.434782608695652E-3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7958</v>
      </c>
      <c r="K544" s="101">
        <f>+H28+H199+H370</f>
        <v>40316.980000000003</v>
      </c>
      <c r="L544" s="101">
        <f>+I28+I199+I370</f>
        <v>506.05</v>
      </c>
      <c r="M544" s="50">
        <f>+J544/L544</f>
        <v>15.725718802489872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9077</v>
      </c>
      <c r="K545" s="101">
        <f>+H428+H257+H86</f>
        <v>45785.91</v>
      </c>
      <c r="L545" s="101">
        <f>+I428+I257+I86</f>
        <v>305</v>
      </c>
      <c r="M545" s="50">
        <f>+J545/L545</f>
        <v>29.760655737704919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3819</v>
      </c>
      <c r="K546" s="101">
        <f>+H463+H292+H121</f>
        <v>17210.18</v>
      </c>
      <c r="L546" s="101">
        <f>+I463+I292+I121</f>
        <v>412.5</v>
      </c>
      <c r="M546" s="50">
        <f>+J546/L546</f>
        <v>9.2581818181818178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3394</v>
      </c>
      <c r="K547" s="101">
        <f>+H479+H308+H137</f>
        <v>17171.879999999997</v>
      </c>
      <c r="L547" s="101">
        <f>+I479+I308+I137</f>
        <v>171.5</v>
      </c>
      <c r="M547" s="50">
        <f t="shared" ref="M547:M548" si="220">+J547/L547</f>
        <v>19.790087463556851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96</v>
      </c>
      <c r="K548" s="101">
        <f>+H506+H334+H163</f>
        <v>748.8</v>
      </c>
      <c r="L548" s="101">
        <f>+I506+I334+I163</f>
        <v>5</v>
      </c>
      <c r="M548" s="50">
        <f t="shared" si="220"/>
        <v>19.2</v>
      </c>
    </row>
    <row r="549" spans="1:13">
      <c r="A549" s="331"/>
      <c r="B549" s="257"/>
      <c r="C549" s="257"/>
      <c r="D549" s="259"/>
      <c r="E549" s="257"/>
      <c r="J549" s="101">
        <f>SUM(J544:J548)</f>
        <v>24344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3286</v>
      </c>
      <c r="K552" s="101">
        <f>+H28</f>
        <v>16651.900000000001</v>
      </c>
      <c r="L552" s="101">
        <f>+I28</f>
        <v>212.5</v>
      </c>
      <c r="M552" s="102">
        <f>+J552/L552</f>
        <v>15.463529411764705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4520</v>
      </c>
      <c r="K553" s="101">
        <f>H86</f>
        <v>22794.1</v>
      </c>
      <c r="L553" s="101">
        <f>I86</f>
        <v>114</v>
      </c>
      <c r="M553" s="102">
        <f>+J553/L553</f>
        <v>39.649122807017541</v>
      </c>
    </row>
    <row r="554" spans="1:13">
      <c r="E554" s="252"/>
      <c r="H554" s="100" t="s">
        <v>165</v>
      </c>
      <c r="J554" s="46">
        <f>+G121</f>
        <v>1453</v>
      </c>
      <c r="K554" s="101">
        <f>+H121</f>
        <v>7280.9599999999991</v>
      </c>
      <c r="L554" s="101">
        <f>+I121</f>
        <v>104</v>
      </c>
      <c r="M554" s="102">
        <f>+J554/L554</f>
        <v>13.971153846153847</v>
      </c>
    </row>
    <row r="555" spans="1:13">
      <c r="H555" s="100" t="s">
        <v>166</v>
      </c>
      <c r="J555" s="46">
        <f>+G137</f>
        <v>1638</v>
      </c>
      <c r="K555" s="101">
        <f>+H137</f>
        <v>8288.2799999999988</v>
      </c>
      <c r="L555" s="101">
        <f>+I137</f>
        <v>66</v>
      </c>
      <c r="M555" s="102">
        <f>+J555/L555</f>
        <v>24.818181818181817</v>
      </c>
    </row>
    <row r="556" spans="1:13">
      <c r="H556" s="100" t="s">
        <v>167</v>
      </c>
      <c r="J556" s="46">
        <f>+G163</f>
        <v>96</v>
      </c>
      <c r="K556" s="101">
        <f>+H163</f>
        <v>748.8</v>
      </c>
      <c r="L556" s="101">
        <f>+I163</f>
        <v>5</v>
      </c>
      <c r="M556" s="102">
        <f>+J556/L556</f>
        <v>19.2</v>
      </c>
    </row>
    <row r="557" spans="1:13">
      <c r="J557" s="46">
        <f>+B171</f>
        <v>10993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4672</v>
      </c>
      <c r="K559" s="101">
        <f>+H199</f>
        <v>23665.08</v>
      </c>
      <c r="L559" s="101">
        <f>+I199</f>
        <v>293.55</v>
      </c>
      <c r="M559" s="102">
        <f>+J559/L559</f>
        <v>15.915516947709078</v>
      </c>
    </row>
    <row r="560" spans="1:13">
      <c r="H560" s="100" t="s">
        <v>164</v>
      </c>
      <c r="J560" s="46">
        <f>+G257</f>
        <v>4557</v>
      </c>
      <c r="K560" s="101">
        <f>+H257</f>
        <v>22991.81</v>
      </c>
      <c r="L560" s="101">
        <f>+I257</f>
        <v>191</v>
      </c>
      <c r="M560" s="102">
        <f>+J560/L560</f>
        <v>23.858638743455497</v>
      </c>
    </row>
    <row r="561" spans="7:13">
      <c r="H561" s="100" t="s">
        <v>165</v>
      </c>
      <c r="J561" s="46">
        <f>+G292</f>
        <v>634</v>
      </c>
      <c r="K561" s="101">
        <f>+H292</f>
        <v>1217.26</v>
      </c>
      <c r="L561" s="101">
        <f>+I292</f>
        <v>135</v>
      </c>
      <c r="M561" s="102">
        <f>+J561/L561</f>
        <v>4.6962962962962962</v>
      </c>
    </row>
    <row r="562" spans="7:13">
      <c r="H562" s="100" t="s">
        <v>166</v>
      </c>
      <c r="J562" s="46">
        <f>+G308</f>
        <v>1756</v>
      </c>
      <c r="K562" s="101">
        <f>+H308</f>
        <v>8883.6</v>
      </c>
      <c r="L562" s="101">
        <f>+I308</f>
        <v>105.5</v>
      </c>
      <c r="M562" s="102">
        <f>+J562/L562</f>
        <v>16.644549763033176</v>
      </c>
    </row>
    <row r="563" spans="7:13">
      <c r="H563" s="100" t="s">
        <v>167</v>
      </c>
      <c r="J563" s="46">
        <f>+G334</f>
        <v>0</v>
      </c>
      <c r="K563" s="101">
        <f>+H334</f>
        <v>0</v>
      </c>
      <c r="L563" s="101">
        <f>+I334</f>
        <v>0</v>
      </c>
      <c r="M563" s="102" t="e">
        <f>+J563/L563</f>
        <v>#DIV/0!</v>
      </c>
    </row>
    <row r="564" spans="7:13">
      <c r="G564" t="s">
        <v>170</v>
      </c>
      <c r="J564" s="46">
        <f>+B342</f>
        <v>11637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1732</v>
      </c>
      <c r="K567" s="101">
        <f>+H463</f>
        <v>8711.9600000000009</v>
      </c>
      <c r="L567" s="101">
        <f>+I463</f>
        <v>173.5</v>
      </c>
      <c r="M567" s="102">
        <f>+J567/L567</f>
        <v>9.9827089337175785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1732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25" activePane="bottomRight" state="frozen"/>
      <selection activeCell="E487" sqref="E487"/>
      <selection pane="topRight" activeCell="E487" sqref="E487"/>
      <selection pane="bottomLeft" activeCell="E487" sqref="E487"/>
      <selection pane="bottomRight" activeCell="E538" sqref="E538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387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9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f>108+42+108</f>
        <v>258</v>
      </c>
      <c r="H11" s="398">
        <f t="shared" si="0"/>
        <v>1297.74</v>
      </c>
      <c r="I11" s="129">
        <f>6*4</f>
        <v>24</v>
      </c>
      <c r="J11" s="130">
        <f t="array" ref="J11">IF(ISERROR(G11/I11),"",G11/I11)</f>
        <v>10.75</v>
      </c>
      <c r="K11" s="131">
        <f t="array" ref="K11">IF(ISERROR(G11/L11),"",G11/L11)</f>
        <v>12.9</v>
      </c>
      <c r="L11" s="129">
        <v>20</v>
      </c>
      <c r="M11" s="109">
        <f t="shared" si="1"/>
        <v>11.1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8">
        <f t="shared" si="0"/>
        <v>0</v>
      </c>
      <c r="I16" s="39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42736</v>
      </c>
      <c r="G19" s="128">
        <f>90*7+74</f>
        <v>704</v>
      </c>
      <c r="H19" s="398">
        <f t="shared" si="0"/>
        <v>3562.24</v>
      </c>
      <c r="I19" s="129">
        <f>8.5*5</f>
        <v>42.5</v>
      </c>
      <c r="J19" s="130">
        <f t="array" ref="J19">IF(ISERROR(G19/I19),"",G19/I19)</f>
        <v>16.564705882352943</v>
      </c>
      <c r="K19" s="131">
        <f t="array" ref="K19">IF(ISERROR(G19/L19),"",G19/L19)</f>
        <v>37.05263157894737</v>
      </c>
      <c r="L19" s="129">
        <v>19</v>
      </c>
      <c r="M19" s="109">
        <f t="shared" si="1"/>
        <v>5.4473684210526301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100*6+110+100*2</f>
        <v>910</v>
      </c>
      <c r="H21" s="398">
        <f t="shared" si="0"/>
        <v>4631.8999999999996</v>
      </c>
      <c r="I21" s="129">
        <f>11*5</f>
        <v>55</v>
      </c>
      <c r="J21" s="130">
        <f t="array" ref="J21">IF(ISERROR(G21/I21),"",G21/I21)</f>
        <v>16.545454545454547</v>
      </c>
      <c r="K21" s="131">
        <f t="array" ref="K21">IF(ISERROR(G21/L21),"",G21/L21)</f>
        <v>39.565217391304351</v>
      </c>
      <c r="L21" s="129">
        <v>23</v>
      </c>
      <c r="M21" s="109">
        <f t="shared" si="1"/>
        <v>15.434782608695649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396" t="s">
        <v>202</v>
      </c>
      <c r="D28" s="143"/>
      <c r="E28" s="143"/>
      <c r="F28" s="144"/>
      <c r="G28" s="145">
        <f>SUM(G7:G27)</f>
        <v>1872</v>
      </c>
      <c r="H28" s="146">
        <f>SUM(H7:H27)</f>
        <v>9491.8799999999992</v>
      </c>
      <c r="I28" s="146">
        <f>SUM(I7:I27)</f>
        <v>121.5</v>
      </c>
      <c r="J28" s="130">
        <f t="array" ref="J28">IF(ISERROR(G28/I28),"",G28/I28)</f>
        <v>15.407407407407407</v>
      </c>
      <c r="K28" s="146">
        <f>SUM(K7:K27)</f>
        <v>89.51784897025172</v>
      </c>
      <c r="L28" s="147"/>
      <c r="M28" s="146">
        <f t="shared" ref="M28:V28" si="10">SUM(M7:M27)</f>
        <v>31.98215102974828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>
        <v>42736</v>
      </c>
      <c r="G37" s="128">
        <f>108*5+93</f>
        <v>633</v>
      </c>
      <c r="H37" s="398">
        <f t="shared" si="11"/>
        <v>3215.64</v>
      </c>
      <c r="I37" s="129">
        <f>11*3</f>
        <v>33</v>
      </c>
      <c r="J37" s="130">
        <f t="array" ref="J37">IF(ISERROR(G37/I37),"",G37/I37)</f>
        <v>19.181818181818183</v>
      </c>
      <c r="K37" s="131">
        <f t="array" ref="K37">IF(ISERROR(G37/L37),"",G37/L37)</f>
        <v>30.142857142857142</v>
      </c>
      <c r="L37" s="129">
        <v>21</v>
      </c>
      <c r="M37" s="109">
        <f t="shared" ref="M37:M68" si="19">IF(ISERROR(I37-K37),"",I37-K37)</f>
        <v>2.8571428571428577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/>
      <c r="G38" s="128"/>
      <c r="H38" s="39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>
        <v>42736</v>
      </c>
      <c r="G45" s="128">
        <f>108*3+99</f>
        <v>423</v>
      </c>
      <c r="H45" s="398">
        <f t="shared" si="11"/>
        <v>2127.69</v>
      </c>
      <c r="I45" s="129">
        <f>3*2</f>
        <v>6</v>
      </c>
      <c r="J45" s="130">
        <f t="array" ref="J45">IF(ISERROR(G45/I45),"",G45/I45)</f>
        <v>70.5</v>
      </c>
      <c r="K45" s="131">
        <f t="array" ref="K45">IF(ISERROR(G45/L45),"",G45/L45)</f>
        <v>7.5535714285714288</v>
      </c>
      <c r="L45" s="129">
        <v>56</v>
      </c>
      <c r="M45" s="109">
        <f t="shared" si="19"/>
        <v>-1.5535714285714288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/>
      <c r="G46" s="128"/>
      <c r="H46" s="39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>
        <v>42736</v>
      </c>
      <c r="G48" s="128">
        <f>108*8+29+4</f>
        <v>897</v>
      </c>
      <c r="H48" s="398">
        <f t="shared" si="11"/>
        <v>4511.91</v>
      </c>
      <c r="I48" s="129">
        <f>5.5*2</f>
        <v>11</v>
      </c>
      <c r="J48" s="130">
        <f t="array" ref="J48">IF(ISERROR(G48/I48),"",G48/I48)</f>
        <v>81.545454545454547</v>
      </c>
      <c r="K48" s="131">
        <f t="array" ref="K48">IF(ISERROR(G48/L48),"",G48/L48)</f>
        <v>16.017857142857142</v>
      </c>
      <c r="L48" s="129">
        <v>56</v>
      </c>
      <c r="M48" s="109">
        <f t="shared" si="19"/>
        <v>-5.0178571428571423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42736</v>
      </c>
      <c r="G68" s="128">
        <f>108+77</f>
        <v>185</v>
      </c>
      <c r="H68" s="398">
        <f t="shared" si="11"/>
        <v>925</v>
      </c>
      <c r="I68" s="129">
        <v>5</v>
      </c>
      <c r="J68" s="130">
        <f t="array" ref="J68">IF(ISERROR(G68/I68),"",G68/I68)</f>
        <v>37</v>
      </c>
      <c r="K68" s="131">
        <f t="array" ref="K68">IF(ISERROR(G68/L68),"",G68/L68)</f>
        <v>3.7</v>
      </c>
      <c r="L68" s="129">
        <v>50</v>
      </c>
      <c r="M68" s="109">
        <f t="shared" si="19"/>
        <v>1.2999999999999998</v>
      </c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396" t="s">
        <v>202</v>
      </c>
      <c r="D86" s="143"/>
      <c r="E86" s="143"/>
      <c r="F86" s="144"/>
      <c r="G86" s="145">
        <f>SUM(G29:G85)</f>
        <v>2138</v>
      </c>
      <c r="H86" s="146">
        <f>SUM(H29:H85)</f>
        <v>10780.24</v>
      </c>
      <c r="I86" s="146">
        <f>SUM(I29:I85)</f>
        <v>55</v>
      </c>
      <c r="J86" s="130">
        <f t="array" ref="J86">IF(ISERROR(G86/I86),"",G86/I86)</f>
        <v>38.872727272727275</v>
      </c>
      <c r="K86" s="146">
        <f>SUM(K29:K85)</f>
        <v>57.414285714285711</v>
      </c>
      <c r="L86" s="147"/>
      <c r="M86" s="150">
        <f t="shared" ref="M86:V86" si="34">SUM(M29:M85)</f>
        <v>-2.4142857142857137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5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42736</v>
      </c>
      <c r="G91" s="128">
        <v>15</v>
      </c>
      <c r="H91" s="398">
        <f t="shared" si="36"/>
        <v>75.45</v>
      </c>
      <c r="I91" s="129">
        <v>2</v>
      </c>
      <c r="J91" s="130">
        <f t="array" ref="J91">IF(ISERROR(G91/I91),"",G91/I91)</f>
        <v>7.5</v>
      </c>
      <c r="K91" s="131">
        <f t="array" ref="K91">IF(ISERROR(G91/L91),"",G91/L91)</f>
        <v>1.6129032258064515</v>
      </c>
      <c r="L91" s="129">
        <v>9.3000000000000007</v>
      </c>
      <c r="M91" s="109">
        <f t="shared" si="37"/>
        <v>0.38709677419354849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42736</v>
      </c>
      <c r="G92" s="128">
        <f>108+4+108*3</f>
        <v>436</v>
      </c>
      <c r="H92" s="398">
        <f t="shared" si="36"/>
        <v>2193.08</v>
      </c>
      <c r="I92" s="129">
        <f>11*4</f>
        <v>44</v>
      </c>
      <c r="J92" s="130">
        <f t="array" ref="J92">IF(ISERROR(G92/I92),"",G92/I92)</f>
        <v>9.9090909090909083</v>
      </c>
      <c r="K92" s="131">
        <f t="array" ref="K92">IF(ISERROR(G92/L92),"",G92/L92)</f>
        <v>46.881720430107521</v>
      </c>
      <c r="L92" s="129">
        <v>9.3000000000000007</v>
      </c>
      <c r="M92" s="109">
        <f t="shared" si="37"/>
        <v>-2.8817204301075208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9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90*2+68+90</f>
        <v>338</v>
      </c>
      <c r="H115" s="398">
        <f t="shared" si="36"/>
        <v>1690</v>
      </c>
      <c r="I115" s="129">
        <f>6.5*2</f>
        <v>13</v>
      </c>
      <c r="J115" s="130">
        <f t="array" ref="J115">IF(ISERROR(G115/I115),"",G115/I115)</f>
        <v>26</v>
      </c>
      <c r="K115" s="131">
        <f t="array" ref="K115">IF(ISERROR(G115/L115),"",G115/L115)</f>
        <v>14.083333333333334</v>
      </c>
      <c r="L115" s="129">
        <v>24</v>
      </c>
      <c r="M115" s="109">
        <f t="shared" si="37"/>
        <v>-1.0833333333333339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18.75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9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396" t="s">
        <v>202</v>
      </c>
      <c r="D121" s="143"/>
      <c r="E121" s="143"/>
      <c r="F121" s="144"/>
      <c r="G121" s="145">
        <f>SUM(G87:G120)</f>
        <v>789</v>
      </c>
      <c r="H121" s="146">
        <f>SUM(H87:H120)</f>
        <v>3958.5299999999997</v>
      </c>
      <c r="I121" s="146">
        <f>SUM(I87:I120)</f>
        <v>59</v>
      </c>
      <c r="J121" s="130">
        <f t="array" ref="J121">IF(ISERROR(G121/I121),"",G121/I121)</f>
        <v>13.372881355932204</v>
      </c>
      <c r="K121" s="146">
        <f>SUM(K87:K120)</f>
        <v>62.577956989247305</v>
      </c>
      <c r="L121" s="147"/>
      <c r="M121" s="150">
        <f t="shared" ref="M121:V121" si="50">SUM(M87:M120)</f>
        <v>-3.5779569892473062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42736</v>
      </c>
      <c r="G135" s="128">
        <f>72+18+90*8+71</f>
        <v>881</v>
      </c>
      <c r="H135" s="398">
        <f t="shared" si="51"/>
        <v>4457.8599999999997</v>
      </c>
      <c r="I135" s="129">
        <f>11*3</f>
        <v>33</v>
      </c>
      <c r="J135" s="130">
        <f t="array" ref="J135">IF(ISERROR(G135/I135),"",G135/I135)</f>
        <v>26.696969696969695</v>
      </c>
      <c r="K135" s="131">
        <f t="array" ref="K135">IF(ISERROR(G135/L135),"",G135/L135)</f>
        <v>35.24</v>
      </c>
      <c r="L135" s="129">
        <v>25</v>
      </c>
      <c r="M135" s="109">
        <f t="shared" si="52"/>
        <v>-2.240000000000002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396" t="s">
        <v>202</v>
      </c>
      <c r="D137" s="143"/>
      <c r="E137" s="143"/>
      <c r="F137" s="144"/>
      <c r="G137" s="145">
        <f>SUM(G122:G136)</f>
        <v>881</v>
      </c>
      <c r="H137" s="146">
        <f>SUM(H122:H136)</f>
        <v>4457.8599999999997</v>
      </c>
      <c r="I137" s="146">
        <f>SUM(I122:I136)</f>
        <v>33</v>
      </c>
      <c r="J137" s="130">
        <f t="array" ref="J137">IF(ISERROR(G137/I137),"",G137/I137)</f>
        <v>26.696969696969695</v>
      </c>
      <c r="K137" s="146">
        <f>SUM(K122:K136)</f>
        <v>35.24</v>
      </c>
      <c r="L137" s="147"/>
      <c r="M137" s="150">
        <f>SUM(M122:M136)</f>
        <v>-2.240000000000002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18" t="s">
        <v>234</v>
      </c>
      <c r="B148" s="619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/>
      <c r="G151" s="128"/>
      <c r="H151" s="398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4"/>
        <v>0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618" t="s">
        <v>244</v>
      </c>
      <c r="B163" s="619"/>
      <c r="C163" s="396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5">SUM(M149:M159)</f>
        <v>0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5680</v>
      </c>
      <c r="H164" s="154">
        <f>SUM(H28,H86,H121,H137,H148,H163)</f>
        <v>28688.51</v>
      </c>
      <c r="I164" s="154">
        <f>SUM(I28,I86,I121,I137,I148,I163)</f>
        <v>268.5</v>
      </c>
      <c r="J164" s="155">
        <f t="array" ref="J164">IF(ISERROR(G164/I164),"",G164/I164)</f>
        <v>21.154562383612664</v>
      </c>
      <c r="K164" s="154">
        <f>SUM(K28,K86,K121,K137,K148,K163)</f>
        <v>244.75009167378474</v>
      </c>
      <c r="L164" s="155">
        <f>IF(ISERROR(G164/K164),"",G164/K164)</f>
        <v>23.207345750744764</v>
      </c>
      <c r="M164" s="154">
        <f t="shared" ref="M164:AA164" si="76">SUM(M28,M86,M121,M137,M148,M163)</f>
        <v>23.749908326215259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395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395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395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395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395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395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395">
        <f>G164</f>
        <v>5680</v>
      </c>
      <c r="C171" s="638" t="s">
        <v>269</v>
      </c>
      <c r="D171" s="639"/>
      <c r="E171" s="631">
        <f>H164</f>
        <v>28688.51</v>
      </c>
      <c r="F171" s="631"/>
      <c r="G171" s="631" t="s">
        <v>270</v>
      </c>
      <c r="H171" s="631"/>
      <c r="I171" s="640">
        <f>L164</f>
        <v>23.207345750744764</v>
      </c>
      <c r="J171" s="640"/>
      <c r="K171" s="628" t="s">
        <v>271</v>
      </c>
      <c r="L171" s="628"/>
      <c r="M171" s="640">
        <f>J164</f>
        <v>21.154562383612664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395">
        <f>I164+C170</f>
        <v>272.5</v>
      </c>
      <c r="C172" s="641" t="s">
        <v>251</v>
      </c>
      <c r="D172" s="642"/>
      <c r="E172" s="643">
        <f>K164+I170</f>
        <v>285.75009167378471</v>
      </c>
      <c r="F172" s="643"/>
      <c r="G172" s="631" t="s">
        <v>274</v>
      </c>
      <c r="H172" s="631"/>
      <c r="I172" s="640">
        <f>B172-E172</f>
        <v>-13.250091673784709</v>
      </c>
      <c r="J172" s="640"/>
      <c r="K172" s="628" t="s">
        <v>275</v>
      </c>
      <c r="L172" s="628"/>
      <c r="M172" s="632">
        <f>IF(ISERROR(I172/E172),"",I172/E172)</f>
        <v>-4.6369509791482945E-2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395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537</v>
      </c>
      <c r="H177" s="388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f>108+102</f>
        <v>210</v>
      </c>
      <c r="H181" s="398">
        <f t="shared" si="77"/>
        <v>1056.3</v>
      </c>
      <c r="I181" s="129">
        <f>5.5*4</f>
        <v>22</v>
      </c>
      <c r="J181" s="130">
        <f t="array" ref="J181">IF(ISERROR(G181/I181),"",G181/I181)</f>
        <v>9.545454545454545</v>
      </c>
      <c r="K181" s="131">
        <f t="array" ref="K181">IF(ISERROR(G181/L181),"",G181/L181)</f>
        <v>11.052631578947368</v>
      </c>
      <c r="L181" s="129">
        <v>19</v>
      </c>
      <c r="M181" s="109">
        <f t="shared" si="78"/>
        <v>10.947368421052632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42736</v>
      </c>
      <c r="G182" s="128">
        <f>108*3+118+11</f>
        <v>453</v>
      </c>
      <c r="H182" s="398">
        <f t="shared" si="77"/>
        <v>2278.59</v>
      </c>
      <c r="I182" s="129">
        <f>6*4</f>
        <v>24</v>
      </c>
      <c r="J182" s="130">
        <f t="array" ref="J182">IF(ISERROR(G182/I182),"",G182/I182)</f>
        <v>18.875</v>
      </c>
      <c r="K182" s="131">
        <f t="array" ref="K182">IF(ISERROR(G182/L182),"",G182/L182)</f>
        <v>22.65</v>
      </c>
      <c r="L182" s="129">
        <v>20</v>
      </c>
      <c r="M182" s="109">
        <f t="shared" si="78"/>
        <v>1.3500000000000014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398">
        <f t="shared" si="77"/>
        <v>0</v>
      </c>
      <c r="I187" s="39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90*8</f>
        <v>720</v>
      </c>
      <c r="H190" s="398">
        <f t="shared" ref="H190:H198" si="82">D190*G190</f>
        <v>3643.2</v>
      </c>
      <c r="I190" s="129">
        <f>11.5*5</f>
        <v>57.5</v>
      </c>
      <c r="J190" s="130">
        <f t="array" ref="J190">IF(ISERROR(G190/I190),"",G190/I190)</f>
        <v>12.521739130434783</v>
      </c>
      <c r="K190" s="131">
        <f t="array" ref="K190">IF(ISERROR(G190/L190),"",G190/L190)</f>
        <v>37.89473684210526</v>
      </c>
      <c r="L190" s="129">
        <v>19</v>
      </c>
      <c r="M190" s="109">
        <f t="shared" ref="M190:M198" si="83">IF(ISERROR(I190-K190),"",I190-K190)</f>
        <v>19.60526315789474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39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100*10</f>
        <v>1000</v>
      </c>
      <c r="H192" s="398">
        <f t="shared" si="82"/>
        <v>5090</v>
      </c>
      <c r="I192" s="129">
        <f>11.5*5</f>
        <v>57.5</v>
      </c>
      <c r="J192" s="130">
        <f t="array" ref="J192">IF(ISERROR(G192/I192),"",G192/I192)</f>
        <v>17.391304347826086</v>
      </c>
      <c r="K192" s="131">
        <f t="array" ref="K192">IF(ISERROR(G192/L192),"",G192/L192)</f>
        <v>43.478260869565219</v>
      </c>
      <c r="L192" s="129">
        <v>23</v>
      </c>
      <c r="M192" s="109">
        <f t="shared" si="83"/>
        <v>14.021739130434781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>
        <v>42736</v>
      </c>
      <c r="G197" s="128">
        <f>22+15</f>
        <v>37</v>
      </c>
      <c r="H197" s="398">
        <f t="shared" si="82"/>
        <v>184.63</v>
      </c>
      <c r="I197" s="129">
        <v>0.5</v>
      </c>
      <c r="J197" s="130">
        <f t="array" ref="J197">IF(ISERROR(G197/I197),"",G197/I197)</f>
        <v>74</v>
      </c>
      <c r="K197" s="131">
        <f t="array" ref="K197">IF(ISERROR(G197/L197),"",G197/L197)</f>
        <v>1.574468085106383</v>
      </c>
      <c r="L197" s="129">
        <v>23.5</v>
      </c>
      <c r="M197" s="109">
        <f t="shared" si="83"/>
        <v>-1.074468085106383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>
        <f t="shared" ref="W197:W198" si="89">IF(ISERROR(V197/G197),"",V197/G197)</f>
        <v>0</v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396" t="s">
        <v>202</v>
      </c>
      <c r="D199" s="143"/>
      <c r="E199" s="143"/>
      <c r="F199" s="144"/>
      <c r="G199" s="145">
        <f>SUM(G178:G198)</f>
        <v>2420</v>
      </c>
      <c r="H199" s="146">
        <f>SUM(H178:H198)</f>
        <v>12252.72</v>
      </c>
      <c r="I199" s="146">
        <f>SUM(I178:I198)</f>
        <v>161.5</v>
      </c>
      <c r="J199" s="130">
        <f t="array" ref="J199">IF(ISERROR(G199/I199),"",G199/I199)</f>
        <v>14.98452012383901</v>
      </c>
      <c r="K199" s="146">
        <f>SUM(K178:K198)</f>
        <v>116.65009737572424</v>
      </c>
      <c r="L199" s="147"/>
      <c r="M199" s="150">
        <f t="shared" ref="M199:AA199" si="90">SUM(M178:M198)</f>
        <v>44.849902624275771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>
        <v>42736</v>
      </c>
      <c r="G208" s="128">
        <f>108*4+45</f>
        <v>477</v>
      </c>
      <c r="H208" s="398">
        <f t="shared" si="91"/>
        <v>2423.16</v>
      </c>
      <c r="I208" s="129">
        <f>7.5*3</f>
        <v>22.5</v>
      </c>
      <c r="J208" s="130">
        <f t="array" ref="J208">IF(ISERROR(G208/I208),"",G208/I208)</f>
        <v>21.2</v>
      </c>
      <c r="K208" s="131">
        <f t="array" ref="K208">IF(ISERROR(G208/L208),"",G208/L208)</f>
        <v>22.714285714285715</v>
      </c>
      <c r="L208" s="129">
        <v>21</v>
      </c>
      <c r="M208" s="109">
        <f t="shared" ref="M208:M237" si="101">IF(ISERROR(I208-K208),"",I208-K208)</f>
        <v>-0.2142857142857153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>
        <f t="shared" ref="W208:W219" si="104">IF(ISERROR(V208/G208),"",V208/G208)</f>
        <v>0</v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108+108</f>
        <v>216</v>
      </c>
      <c r="H209" s="398">
        <f t="shared" si="91"/>
        <v>1097.28</v>
      </c>
      <c r="I209" s="129">
        <f>4*3</f>
        <v>12</v>
      </c>
      <c r="J209" s="130">
        <f t="array" ref="J209">IF(ISERROR(G209/I209),"",G209/I209)</f>
        <v>18</v>
      </c>
      <c r="K209" s="131">
        <f t="array" ref="K209">IF(ISERROR(G209/L209),"",G209/L209)</f>
        <v>10.285714285714286</v>
      </c>
      <c r="L209" s="129">
        <v>21</v>
      </c>
      <c r="M209" s="109">
        <f t="shared" si="101"/>
        <v>1.7142857142857135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/>
      <c r="G213" s="128"/>
      <c r="H213" s="398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f>108*12+70+108*2</f>
        <v>1582</v>
      </c>
      <c r="H216" s="398">
        <f t="shared" si="91"/>
        <v>7957.46</v>
      </c>
      <c r="I216" s="129">
        <f>9.5*2</f>
        <v>19</v>
      </c>
      <c r="J216" s="130">
        <f t="array" ref="J216">IF(ISERROR(G216/I216),"",G216/I216)</f>
        <v>83.263157894736835</v>
      </c>
      <c r="K216" s="131">
        <f t="array" ref="K216">IF(ISERROR(G216/L216),"",G216/L216)</f>
        <v>28.25</v>
      </c>
      <c r="L216" s="129">
        <v>56</v>
      </c>
      <c r="M216" s="109">
        <f t="shared" si="101"/>
        <v>-9.25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108</v>
      </c>
      <c r="H217" s="398">
        <f t="shared" si="91"/>
        <v>543.24</v>
      </c>
      <c r="I217" s="129">
        <f>2*2</f>
        <v>4</v>
      </c>
      <c r="J217" s="130">
        <f t="array" ref="J217">IF(ISERROR(G217/I217),"",G217/I217)</f>
        <v>27</v>
      </c>
      <c r="K217" s="131">
        <f t="array" ref="K217">IF(ISERROR(G217/L217),"",G217/L217)</f>
        <v>1.9285714285714286</v>
      </c>
      <c r="L217" s="129">
        <v>56</v>
      </c>
      <c r="M217" s="109">
        <f t="shared" si="101"/>
        <v>2.0714285714285712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/>
      <c r="G218" s="128"/>
      <c r="H218" s="39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398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396" t="s">
        <v>202</v>
      </c>
      <c r="D257" s="143"/>
      <c r="E257" s="143"/>
      <c r="F257" s="144"/>
      <c r="G257" s="145">
        <f>SUM(G200:G256)</f>
        <v>2383</v>
      </c>
      <c r="H257" s="146">
        <f>SUM(H200:H256)</f>
        <v>12021.14</v>
      </c>
      <c r="I257" s="146">
        <f>SUM(I200:I256)</f>
        <v>57.5</v>
      </c>
      <c r="J257" s="130">
        <f t="array" ref="J257">IF(ISERROR(G257/I257),"",G257/I257)</f>
        <v>41.443478260869568</v>
      </c>
      <c r="K257" s="146">
        <f>SUM(K200:K256)</f>
        <v>63.178571428571431</v>
      </c>
      <c r="L257" s="147"/>
      <c r="M257" s="150">
        <f t="shared" ref="M257:V257" si="114">SUM(M200:M256)</f>
        <v>-5.6785714285714306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108</v>
      </c>
      <c r="H263" s="398">
        <f t="shared" si="116"/>
        <v>543.24</v>
      </c>
      <c r="I263" s="129">
        <f>11.5*2</f>
        <v>23</v>
      </c>
      <c r="J263" s="130">
        <f t="array" ref="J263">IF(ISERROR(G263/I263),"",G263/I263)</f>
        <v>4.6956521739130439</v>
      </c>
      <c r="K263" s="131">
        <f t="array" ref="K263">IF(ISERROR(G263/L263),"",G263/L263)</f>
        <v>11.61290322580645</v>
      </c>
      <c r="L263" s="129">
        <v>9.3000000000000007</v>
      </c>
      <c r="M263" s="109">
        <f t="shared" si="117"/>
        <v>11.38709677419355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39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f>90+42</f>
        <v>132</v>
      </c>
      <c r="H286" s="398">
        <f t="shared" si="116"/>
        <v>663.96</v>
      </c>
      <c r="I286" s="129">
        <f>6*8</f>
        <v>48</v>
      </c>
      <c r="J286" s="130">
        <f t="array" ref="J286">IF(ISERROR(G286/I286),"",G286/I286)</f>
        <v>2.75</v>
      </c>
      <c r="K286" s="131">
        <f t="array" ref="K286">IF(ISERROR(G286/L286),"",G286/L286)</f>
        <v>5.5</v>
      </c>
      <c r="L286" s="129">
        <v>24</v>
      </c>
      <c r="M286" s="109">
        <f t="shared" si="120"/>
        <v>42.5</v>
      </c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39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396" t="s">
        <v>202</v>
      </c>
      <c r="D292" s="143"/>
      <c r="E292" s="143"/>
      <c r="F292" s="144"/>
      <c r="G292" s="145">
        <f>SUM(G258:G291)</f>
        <v>240</v>
      </c>
      <c r="H292" s="146">
        <f>SUM(H258:H291)</f>
        <v>1207.2</v>
      </c>
      <c r="I292" s="146">
        <f>SUM(I258:I291)</f>
        <v>71</v>
      </c>
      <c r="J292" s="130">
        <f t="array" ref="J292">IF(ISERROR(G292/I292),"",G292/I292)</f>
        <v>3.380281690140845</v>
      </c>
      <c r="K292" s="146">
        <f>SUM(K258:K291)</f>
        <v>17.112903225806448</v>
      </c>
      <c r="L292" s="147"/>
      <c r="M292" s="150">
        <f t="shared" ref="M292:V292" si="131">SUM(M258:M291)</f>
        <v>53.887096774193552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398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f>90*10</f>
        <v>900</v>
      </c>
      <c r="H306" s="398">
        <f t="shared" si="132"/>
        <v>4554</v>
      </c>
      <c r="I306" s="129">
        <f>11.5*5</f>
        <v>57.5</v>
      </c>
      <c r="J306" s="130">
        <f t="array" ref="J306">IF(ISERROR(G306/I306),"",G306/I306)</f>
        <v>15.652173913043478</v>
      </c>
      <c r="K306" s="131">
        <f t="array" ref="K306">IF(ISERROR(G306/L306),"",G306/L306)</f>
        <v>36</v>
      </c>
      <c r="L306" s="129">
        <v>25</v>
      </c>
      <c r="M306" s="109">
        <f t="shared" si="133"/>
        <v>21.5</v>
      </c>
      <c r="N306" s="130">
        <f t="shared" si="134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5"/>
        <v>0</v>
      </c>
      <c r="W306" s="133">
        <f t="shared" si="130"/>
        <v>0</v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39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396" t="s">
        <v>202</v>
      </c>
      <c r="D308" s="143"/>
      <c r="E308" s="143"/>
      <c r="F308" s="144"/>
      <c r="G308" s="145">
        <f>SUM(G293:G307)</f>
        <v>900</v>
      </c>
      <c r="H308" s="146">
        <f>SUM(H293:H307)</f>
        <v>4554</v>
      </c>
      <c r="I308" s="146">
        <f>SUM(I293:I307)</f>
        <v>57.5</v>
      </c>
      <c r="J308" s="130">
        <f t="array" ref="J308">IF(ISERROR(G308/I308),"",G308/I308)</f>
        <v>15.652173913043478</v>
      </c>
      <c r="K308" s="146">
        <f>SUM(K293:K307)</f>
        <v>36</v>
      </c>
      <c r="L308" s="146"/>
      <c r="M308" s="150">
        <f>SUM(M293:M307)</f>
        <v>21.5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42727</v>
      </c>
      <c r="G314" s="128">
        <v>18</v>
      </c>
      <c r="H314" s="398">
        <f t="shared" si="136"/>
        <v>90.54</v>
      </c>
      <c r="I314" s="129">
        <v>2</v>
      </c>
      <c r="J314" s="130">
        <f t="array" ref="J314">IF(ISERROR(G314/I314),"",G314/I314)</f>
        <v>9</v>
      </c>
      <c r="K314" s="131">
        <f t="array" ref="K314">IF(ISERROR(G314/L314),"",G314/L314)</f>
        <v>1.3333333333333333</v>
      </c>
      <c r="L314" s="129">
        <v>13.5</v>
      </c>
      <c r="M314" s="109">
        <f t="shared" si="137"/>
        <v>0.66666666666666674</v>
      </c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39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42727</v>
      </c>
      <c r="G316" s="128">
        <v>5</v>
      </c>
      <c r="H316" s="398">
        <f t="shared" si="136"/>
        <v>25.150000000000002</v>
      </c>
      <c r="I316" s="129">
        <v>1</v>
      </c>
      <c r="J316" s="130">
        <f t="array" ref="J316">IF(ISERROR(G316/I316),"",G316/I316)</f>
        <v>5</v>
      </c>
      <c r="K316" s="131">
        <f t="array" ref="K316">IF(ISERROR(G316/L316),"",G316/L316)</f>
        <v>0.37037037037037035</v>
      </c>
      <c r="L316" s="129">
        <v>13.5</v>
      </c>
      <c r="M316" s="109">
        <f t="shared" si="137"/>
        <v>0.62962962962962965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396" t="s">
        <v>202</v>
      </c>
      <c r="D319" s="143"/>
      <c r="E319" s="143"/>
      <c r="F319" s="144"/>
      <c r="G319" s="145">
        <f>SUM(G309:G318)</f>
        <v>23</v>
      </c>
      <c r="H319" s="146">
        <f>SUM(H309:H318)</f>
        <v>115.69000000000001</v>
      </c>
      <c r="I319" s="146">
        <f>SUM(I309:I318)</f>
        <v>3</v>
      </c>
      <c r="J319" s="130">
        <f t="array" ref="J319">IF(ISERROR(G319/I319),"",G319/I319)</f>
        <v>7.666666666666667</v>
      </c>
      <c r="K319" s="146">
        <f>SUM(K309:K318)</f>
        <v>1.7037037037037037</v>
      </c>
      <c r="L319" s="147"/>
      <c r="M319" s="150">
        <f>SUM(M309:M318)</f>
        <v>1.2962962962962963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4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4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5"/>
        <v>0</v>
      </c>
      <c r="N322" s="130">
        <f t="shared" si="146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7"/>
        <v>0</v>
      </c>
      <c r="W322" s="133" t="str">
        <f t="shared" si="143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4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4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18" t="s">
        <v>244</v>
      </c>
      <c r="B334" s="619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5">SUM(M320:M330)</f>
        <v>0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5966</v>
      </c>
      <c r="H335" s="154">
        <f>SUM(H199,H257,H292,H308,H319,H334)</f>
        <v>30150.75</v>
      </c>
      <c r="I335" s="154">
        <f>SUM(I199,I257,I292,I308,I319,I334)</f>
        <v>350.5</v>
      </c>
      <c r="J335" s="155">
        <f t="array" ref="J335">IF(ISERROR(G335/I335),"",G335/I335)</f>
        <v>17.021398002853068</v>
      </c>
      <c r="K335" s="154">
        <f>SUM(K199,K257,K292,K308,K319,K334)</f>
        <v>234.64527573380582</v>
      </c>
      <c r="L335" s="155">
        <f>IF(ISERROR(G335/K335),"",G335/K335)</f>
        <v>25.425613114700635</v>
      </c>
      <c r="M335" s="154">
        <f t="shared" ref="M335:AA335" si="156">SUM(M199,M257,M292,M308,M319,M334)</f>
        <v>115.85472426619418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3" t="s">
        <v>476</v>
      </c>
      <c r="B336" s="395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395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395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395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395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395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395">
        <f>G335</f>
        <v>5966</v>
      </c>
      <c r="C342" s="638" t="s">
        <v>269</v>
      </c>
      <c r="D342" s="639"/>
      <c r="E342" s="631">
        <f>H335</f>
        <v>30150.75</v>
      </c>
      <c r="F342" s="631"/>
      <c r="G342" s="631" t="s">
        <v>270</v>
      </c>
      <c r="H342" s="631"/>
      <c r="I342" s="640">
        <f>L335</f>
        <v>25.425613114700635</v>
      </c>
      <c r="J342" s="640"/>
      <c r="K342" s="628" t="s">
        <v>271</v>
      </c>
      <c r="L342" s="628"/>
      <c r="M342" s="640">
        <f>J335</f>
        <v>17.021398002853068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395">
        <f>I335+C341</f>
        <v>352.5</v>
      </c>
      <c r="C343" s="641" t="s">
        <v>251</v>
      </c>
      <c r="D343" s="642"/>
      <c r="E343" s="643">
        <f>K335+I341</f>
        <v>264.64527573380582</v>
      </c>
      <c r="F343" s="643"/>
      <c r="G343" s="631" t="s">
        <v>274</v>
      </c>
      <c r="H343" s="631"/>
      <c r="I343" s="640">
        <f>B343-E343</f>
        <v>87.854724266194182</v>
      </c>
      <c r="J343" s="640"/>
      <c r="K343" s="628" t="s">
        <v>275</v>
      </c>
      <c r="L343" s="628"/>
      <c r="M343" s="632">
        <f>IF(ISERROR(I343/E343),"",I343/E343)</f>
        <v>0.33197163267922114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395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296</v>
      </c>
      <c r="H348" s="388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7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7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7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7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0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>
        <v>42736</v>
      </c>
      <c r="G429" s="128">
        <f>72*6+57+60+72+31+23+46+56+64</f>
        <v>841</v>
      </c>
      <c r="H429" s="398">
        <f t="shared" ref="H429:H462" si="195">D429*G429</f>
        <v>4230.2300000000005</v>
      </c>
      <c r="I429" s="129">
        <f>11*2+7+7+10.5+8+10.5</f>
        <v>65</v>
      </c>
      <c r="J429" s="130">
        <f t="array" ref="J429">IF(ISERROR(G429/I429),"",G429/I429)</f>
        <v>12.938461538461539</v>
      </c>
      <c r="K429" s="131">
        <f t="array" ref="K429">IF(ISERROR(G429/L429),"",G429/L429)</f>
        <v>95.568181818181813</v>
      </c>
      <c r="L429" s="129">
        <v>8.8000000000000007</v>
      </c>
      <c r="M429" s="109">
        <f t="shared" ref="M429:M436" si="196">IF(ISERROR(I429-K429),"",I429-K429)</f>
        <v>-30.568181818181813</v>
      </c>
      <c r="N429" s="130">
        <f t="shared" ref="N429:N436" si="197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198">SUM(X429:AA429)</f>
        <v>0</v>
      </c>
      <c r="W429" s="133">
        <f t="shared" si="194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6"/>
        <v>0</v>
      </c>
      <c r="N430" s="130">
        <f t="shared" si="197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36+11</f>
        <v>47</v>
      </c>
      <c r="H434" s="398">
        <f t="shared" si="195"/>
        <v>236.41000000000003</v>
      </c>
      <c r="I434" s="129">
        <f>20+9+1.5</f>
        <v>30.5</v>
      </c>
      <c r="J434" s="130">
        <f t="array" ref="J434">IF(ISERROR(G434/I434),"",G434/I434)</f>
        <v>1.540983606557377</v>
      </c>
      <c r="K434" s="131">
        <f t="array" ref="K434">IF(ISERROR(G434/L434),"",G434/L434)</f>
        <v>5.053763440860215</v>
      </c>
      <c r="L434" s="129">
        <v>9.3000000000000007</v>
      </c>
      <c r="M434" s="109">
        <f t="shared" si="196"/>
        <v>25.446236559139784</v>
      </c>
      <c r="N434" s="130">
        <f t="shared" si="197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198"/>
        <v>0</v>
      </c>
      <c r="W434" s="133">
        <f t="shared" si="194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39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5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396" t="s">
        <v>202</v>
      </c>
      <c r="D463" s="143"/>
      <c r="E463" s="143"/>
      <c r="F463" s="144"/>
      <c r="G463" s="145">
        <f>SUM(G429:G462)</f>
        <v>888</v>
      </c>
      <c r="H463" s="146">
        <f>SUM(H429:H462)</f>
        <v>4466.6400000000003</v>
      </c>
      <c r="I463" s="146">
        <f>SUM(I429:I462)</f>
        <v>95.5</v>
      </c>
      <c r="J463" s="130">
        <f t="array" ref="J463">IF(ISERROR(G463/I463),"",G463/I463)</f>
        <v>9.2984293193717278</v>
      </c>
      <c r="K463" s="146">
        <f>SUM(K429:K462)</f>
        <v>100.62194525904202</v>
      </c>
      <c r="L463" s="147"/>
      <c r="M463" s="150">
        <f t="shared" ref="M463:V463" si="209">SUM(M429:M462)</f>
        <v>-5.1219452590420289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2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2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2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2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2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2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2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2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888</v>
      </c>
      <c r="H507" s="154">
        <f>SUM(H370,H428,H463,H479,H490,H506)</f>
        <v>4466.6400000000003</v>
      </c>
      <c r="I507" s="154">
        <f>SUM(I370,I428,I463,I479,I490,I506)</f>
        <v>95.5</v>
      </c>
      <c r="J507" s="155">
        <f t="array" ref="J507">IF(ISERROR(G507/I507),"",G507/I507)</f>
        <v>9.2984293193717278</v>
      </c>
      <c r="K507" s="154">
        <f>SUM(K370,K428,K463,K479,K490,K506)</f>
        <v>100.62194525904202</v>
      </c>
      <c r="L507" s="155">
        <f>IF(ISERROR(G507/K507),"",G507/K507)</f>
        <v>8.8251126303901692</v>
      </c>
      <c r="M507" s="154">
        <f t="shared" ref="M507:V507" si="235">SUM(M370,M428,M463,M479,M490,M506)</f>
        <v>-5.1219452590420289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395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395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395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395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395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395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395">
        <f>G507</f>
        <v>888</v>
      </c>
      <c r="C514" s="638" t="s">
        <v>269</v>
      </c>
      <c r="D514" s="639"/>
      <c r="E514" s="631">
        <f>H507</f>
        <v>4466.6400000000003</v>
      </c>
      <c r="F514" s="631"/>
      <c r="G514" s="631" t="s">
        <v>270</v>
      </c>
      <c r="H514" s="631"/>
      <c r="I514" s="640">
        <f>L507</f>
        <v>8.8251126303901692</v>
      </c>
      <c r="J514" s="640"/>
      <c r="K514" s="628" t="s">
        <v>271</v>
      </c>
      <c r="L514" s="628"/>
      <c r="M514" s="640">
        <f>J507</f>
        <v>9.2984293193717278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395">
        <f>I507+C513</f>
        <v>96.5</v>
      </c>
      <c r="C515" s="641" t="s">
        <v>251</v>
      </c>
      <c r="D515" s="642"/>
      <c r="E515" s="643">
        <f>K507+I513</f>
        <v>111.62194525904202</v>
      </c>
      <c r="F515" s="643"/>
      <c r="G515" s="631" t="s">
        <v>274</v>
      </c>
      <c r="H515" s="631"/>
      <c r="I515" s="640">
        <f>B515-E515</f>
        <v>-15.121945259042022</v>
      </c>
      <c r="J515" s="640"/>
      <c r="K515" s="628" t="s">
        <v>275</v>
      </c>
      <c r="L515" s="628"/>
      <c r="M515" s="632">
        <f>IF(ISERROR(I515/E515),"",I515/E515)</f>
        <v>-0.13547466158154109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395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12534</v>
      </c>
      <c r="D519" s="627"/>
      <c r="E519" s="673" t="s">
        <v>269</v>
      </c>
      <c r="F519" s="673"/>
      <c r="G519" s="643">
        <f>SUM(E171,E342,E514)</f>
        <v>63305.899999999994</v>
      </c>
      <c r="H519" s="643"/>
      <c r="I519" s="631" t="s">
        <v>270</v>
      </c>
      <c r="J519" s="673"/>
      <c r="K519" s="626">
        <f>IF(ISERROR(C519/G520),"",C519/G520)</f>
        <v>18.933039605131381</v>
      </c>
      <c r="L519" s="627"/>
      <c r="M519" s="631" t="s">
        <v>271</v>
      </c>
      <c r="N519" s="631"/>
      <c r="O519" s="668">
        <f t="array" ref="O519">IF(ISERROR(C519/C520),"",C519/C520)</f>
        <v>17.372141372141371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721.5</v>
      </c>
      <c r="D520" s="627"/>
      <c r="E520" s="631" t="s">
        <v>251</v>
      </c>
      <c r="F520" s="631"/>
      <c r="G520" s="643">
        <f>SUM(E172,E343,E515)</f>
        <v>662.01731266663262</v>
      </c>
      <c r="H520" s="643"/>
      <c r="I520" s="641" t="s">
        <v>274</v>
      </c>
      <c r="J520" s="642"/>
      <c r="K520" s="638">
        <f>C520-G520</f>
        <v>59.48268733336738</v>
      </c>
      <c r="L520" s="639"/>
      <c r="M520" s="638" t="s">
        <v>275</v>
      </c>
      <c r="N520" s="639"/>
      <c r="O520" s="671">
        <f>IF(ISERROR(K520/C520),"",K520/C520)</f>
        <v>8.244308708713427E-2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4292</v>
      </c>
      <c r="D524" s="642"/>
      <c r="E524" s="681">
        <f>IF(ISERROR(C524/C530),"",C524/C530)</f>
        <v>0.34242859422371152</v>
      </c>
      <c r="F524" s="682"/>
      <c r="G524" s="676"/>
      <c r="H524" s="677"/>
      <c r="I524" s="683" t="s">
        <v>301</v>
      </c>
      <c r="J524" s="684"/>
      <c r="K524" s="638">
        <f t="shared" ref="K524:K529" si="237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8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4521</v>
      </c>
      <c r="D525" s="642"/>
      <c r="E525" s="681">
        <f>IF(ISERROR(C525/C530),"",C525/C530)</f>
        <v>0.36069889899473434</v>
      </c>
      <c r="F525" s="682"/>
      <c r="G525" s="676"/>
      <c r="H525" s="677"/>
      <c r="I525" s="683" t="s">
        <v>302</v>
      </c>
      <c r="J525" s="684"/>
      <c r="K525" s="638">
        <f t="shared" si="237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8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1917</v>
      </c>
      <c r="D526" s="642"/>
      <c r="E526" s="681">
        <f>IF(ISERROR(C526/C530),"",C526/C530)</f>
        <v>0.15294399234083295</v>
      </c>
      <c r="F526" s="682"/>
      <c r="G526" s="676"/>
      <c r="H526" s="677"/>
      <c r="I526" s="683" t="s">
        <v>303</v>
      </c>
      <c r="J526" s="684"/>
      <c r="K526" s="638">
        <f t="shared" si="237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8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1781</v>
      </c>
      <c r="D527" s="642"/>
      <c r="E527" s="681">
        <f>IF(ISERROR(C527/C530),"",C527/C530)</f>
        <v>0.14209350566459231</v>
      </c>
      <c r="F527" s="682"/>
      <c r="G527" s="676"/>
      <c r="H527" s="677"/>
      <c r="I527" s="683" t="s">
        <v>304</v>
      </c>
      <c r="J527" s="684"/>
      <c r="K527" s="638">
        <f t="shared" si="237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8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23</v>
      </c>
      <c r="D528" s="642"/>
      <c r="E528" s="681">
        <f>IF(ISERROR(C528/C530),"",C528/C530)</f>
        <v>1.8350087761289293E-3</v>
      </c>
      <c r="F528" s="682"/>
      <c r="G528" s="676"/>
      <c r="H528" s="677"/>
      <c r="I528" s="683" t="s">
        <v>306</v>
      </c>
      <c r="J528" s="684"/>
      <c r="K528" s="638">
        <f t="shared" si="237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8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0</v>
      </c>
      <c r="D529" s="642"/>
      <c r="E529" s="681">
        <f>IF(ISERROR(C529/C530),"",C529/C530)</f>
        <v>0</v>
      </c>
      <c r="F529" s="682"/>
      <c r="G529" s="676"/>
      <c r="H529" s="677"/>
      <c r="I529" s="683" t="s">
        <v>307</v>
      </c>
      <c r="J529" s="684"/>
      <c r="K529" s="638">
        <f t="shared" si="237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8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12534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38</v>
      </c>
      <c r="D533" s="106">
        <f>+'31'!C533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44</v>
      </c>
      <c r="D534" s="106">
        <f>+'31'!C534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>
        <v>1</v>
      </c>
      <c r="Q534" s="106">
        <f>J534-K534-L534</f>
        <v>44</v>
      </c>
      <c r="R534" s="109">
        <f>Q534*11-M534-N534</f>
        <v>484</v>
      </c>
      <c r="S534" s="391">
        <f t="array" ref="S534">IF(ISERROR(Q534/J534),"",Q534/J534)</f>
        <v>1</v>
      </c>
      <c r="T534" s="391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+'31'!C535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92</v>
      </c>
      <c r="D536" s="112">
        <f t="shared" ref="D536:N536" si="239">SUM(D533:D535)</f>
        <v>93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92</v>
      </c>
      <c r="K536" s="112">
        <f t="shared" si="239"/>
        <v>0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1</v>
      </c>
      <c r="Q536" s="112">
        <f>SUM(Q533:Q535)</f>
        <v>92</v>
      </c>
      <c r="R536" s="114">
        <f>SUM(R533:R535)</f>
        <v>1012</v>
      </c>
      <c r="S536" s="115">
        <f t="array" ref="S536">IF(ISERROR(Q536/J536),"",Q536/J536)</f>
        <v>1</v>
      </c>
      <c r="T536" s="115">
        <f t="array" ref="T536">IF(ISERROR((O536:P536)/C536),"",SUM(O536:P536)/C536)</f>
        <v>1.0869565217391304E-2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70"/>
  <sheetViews>
    <sheetView topLeftCell="A522" zoomScaleNormal="100" workbookViewId="0">
      <selection activeCell="D539" sqref="D539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65" t="s">
        <v>23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5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44" t="s">
        <v>502</v>
      </c>
      <c r="B4" s="745" t="s">
        <v>25</v>
      </c>
      <c r="C4" s="745" t="s">
        <v>26</v>
      </c>
      <c r="D4" s="745" t="s">
        <v>27</v>
      </c>
      <c r="E4" s="757" t="s">
        <v>28</v>
      </c>
      <c r="F4" s="760" t="s">
        <v>29</v>
      </c>
      <c r="G4" s="724" t="s">
        <v>30</v>
      </c>
      <c r="H4" s="724"/>
      <c r="I4" s="745" t="s">
        <v>31</v>
      </c>
      <c r="J4" s="748" t="s">
        <v>32</v>
      </c>
      <c r="K4" s="751" t="s">
        <v>33</v>
      </c>
      <c r="L4" s="745" t="s">
        <v>34</v>
      </c>
      <c r="M4" s="754" t="s">
        <v>35</v>
      </c>
      <c r="N4" s="742" t="s">
        <v>36</v>
      </c>
      <c r="O4" s="724" t="s">
        <v>37</v>
      </c>
      <c r="P4" s="724"/>
      <c r="Q4" s="724"/>
      <c r="R4" s="724"/>
      <c r="S4" s="724"/>
      <c r="T4" s="724"/>
      <c r="U4" s="724"/>
      <c r="V4" s="743" t="s">
        <v>38</v>
      </c>
      <c r="W4" s="742" t="s">
        <v>39</v>
      </c>
      <c r="X4" s="724" t="s">
        <v>40</v>
      </c>
      <c r="Y4" s="724"/>
      <c r="Z4" s="724"/>
      <c r="AA4" s="724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45"/>
      <c r="B5" s="746"/>
      <c r="C5" s="746"/>
      <c r="D5" s="746"/>
      <c r="E5" s="758"/>
      <c r="F5" s="761"/>
      <c r="G5" s="724"/>
      <c r="H5" s="724"/>
      <c r="I5" s="746"/>
      <c r="J5" s="749"/>
      <c r="K5" s="752"/>
      <c r="L5" s="746"/>
      <c r="M5" s="755"/>
      <c r="N5" s="742"/>
      <c r="O5" s="724" t="s">
        <v>41</v>
      </c>
      <c r="P5" s="724" t="s">
        <v>42</v>
      </c>
      <c r="Q5" s="724" t="s">
        <v>43</v>
      </c>
      <c r="R5" s="741" t="s">
        <v>44</v>
      </c>
      <c r="S5" s="694" t="s">
        <v>45</v>
      </c>
      <c r="T5" s="724" t="s">
        <v>46</v>
      </c>
      <c r="U5" s="724" t="s">
        <v>47</v>
      </c>
      <c r="V5" s="743"/>
      <c r="W5" s="742"/>
      <c r="X5" s="724" t="s">
        <v>13</v>
      </c>
      <c r="Y5" s="724" t="s">
        <v>48</v>
      </c>
      <c r="Z5" s="724" t="s">
        <v>49</v>
      </c>
      <c r="AA5" s="724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646"/>
      <c r="B6" s="747"/>
      <c r="C6" s="747"/>
      <c r="D6" s="747"/>
      <c r="E6" s="759"/>
      <c r="F6" s="762"/>
      <c r="G6" s="335" t="s">
        <v>50</v>
      </c>
      <c r="H6" s="335" t="s">
        <v>51</v>
      </c>
      <c r="I6" s="747"/>
      <c r="J6" s="750"/>
      <c r="K6" s="753"/>
      <c r="L6" s="747"/>
      <c r="M6" s="755"/>
      <c r="N6" s="742"/>
      <c r="O6" s="724"/>
      <c r="P6" s="724"/>
      <c r="Q6" s="724"/>
      <c r="R6" s="741"/>
      <c r="S6" s="694"/>
      <c r="T6" s="724"/>
      <c r="U6" s="724"/>
      <c r="V6" s="743"/>
      <c r="W6" s="742"/>
      <c r="X6" s="724"/>
      <c r="Y6" s="724"/>
      <c r="Z6" s="724"/>
      <c r="AA6" s="724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SUM('31:16'!G7)</f>
        <v>2083</v>
      </c>
      <c r="H7" s="95">
        <f t="shared" ref="H7:H24" si="0">D7*G7</f>
        <v>10477.49</v>
      </c>
      <c r="I7" s="93">
        <f>SUM('31:16'!I7)</f>
        <v>69.5</v>
      </c>
      <c r="J7" s="31">
        <f>IF(ISERROR(G7/I7),"",G7/I7)</f>
        <v>29.971223021582734</v>
      </c>
      <c r="K7" s="96">
        <f t="array" ref="K7">IF(ISERROR(G7/L7),"",G7/L7)</f>
        <v>130.1875</v>
      </c>
      <c r="L7" s="84">
        <v>16</v>
      </c>
      <c r="M7" s="97">
        <f t="shared" ref="M7:M16" si="1">IF(ISERROR(I7-K7),"",I7-K7)</f>
        <v>-60.6875</v>
      </c>
      <c r="N7" s="93">
        <f>SUM('31:16'!N7)</f>
        <v>0</v>
      </c>
      <c r="O7" s="93">
        <f>SUM('31:16'!O7)</f>
        <v>0</v>
      </c>
      <c r="P7" s="93">
        <f>SUM('31:16'!P7)</f>
        <v>0</v>
      </c>
      <c r="Q7" s="93">
        <f>SUM('31:16'!Q7)</f>
        <v>0</v>
      </c>
      <c r="R7" s="93">
        <f>SUM('31:16'!R7)</f>
        <v>0</v>
      </c>
      <c r="S7" s="93">
        <f>SUM('31:16'!S7)</f>
        <v>0</v>
      </c>
      <c r="T7" s="93">
        <f>SUM('31:16'!T7)</f>
        <v>0</v>
      </c>
      <c r="U7" s="93">
        <f>SUM('31:16'!U7)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SUM('31:16'!X7)</f>
        <v>0</v>
      </c>
      <c r="Y7" s="93">
        <f>SUM('31:16'!Y7)</f>
        <v>0</v>
      </c>
      <c r="Z7" s="93">
        <f>SUM('31:16'!Z7)</f>
        <v>0</v>
      </c>
      <c r="AA7" s="93">
        <f>SUM('31:16'!AA7)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SUM('31:16'!G8)</f>
        <v>0</v>
      </c>
      <c r="H8" s="95">
        <f t="shared" si="0"/>
        <v>0</v>
      </c>
      <c r="I8" s="93">
        <f>SUM('31:16'!I8)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SUM('31:16'!N8)</f>
        <v>0</v>
      </c>
      <c r="O8" s="93">
        <f>SUM('31:16'!O8)</f>
        <v>0</v>
      </c>
      <c r="P8" s="93">
        <f>SUM('31:16'!P8)</f>
        <v>0</v>
      </c>
      <c r="Q8" s="93">
        <f>SUM('31:16'!Q8)</f>
        <v>0</v>
      </c>
      <c r="R8" s="93">
        <f>SUM('31:16'!R8)</f>
        <v>0</v>
      </c>
      <c r="S8" s="93">
        <f>SUM('31:16'!S8)</f>
        <v>0</v>
      </c>
      <c r="T8" s="93">
        <f>SUM('31:16'!T8)</f>
        <v>0</v>
      </c>
      <c r="U8" s="93">
        <f>SUM('31:16'!U8)</f>
        <v>0</v>
      </c>
      <c r="V8" s="205">
        <f t="shared" si="2"/>
        <v>0</v>
      </c>
      <c r="W8" s="33" t="str">
        <f t="shared" si="3"/>
        <v/>
      </c>
      <c r="X8" s="93">
        <f>SUM('31:16'!X8)</f>
        <v>0</v>
      </c>
      <c r="Y8" s="93">
        <f>SUM('31:16'!Y8)</f>
        <v>0</v>
      </c>
      <c r="Z8" s="93">
        <f>SUM('31:16'!Z8)</f>
        <v>0</v>
      </c>
      <c r="AA8" s="93">
        <f>SUM('31:16'!AA8)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SUM('31:16'!G9)</f>
        <v>0</v>
      </c>
      <c r="H9" s="95">
        <f t="shared" si="0"/>
        <v>0</v>
      </c>
      <c r="I9" s="93">
        <f>SUM('31:16'!I9)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SUM('31:16'!N9)</f>
        <v>0</v>
      </c>
      <c r="O9" s="93">
        <f>SUM('31:16'!O9)</f>
        <v>0</v>
      </c>
      <c r="P9" s="93">
        <f>SUM('31:16'!P9)</f>
        <v>0</v>
      </c>
      <c r="Q9" s="93">
        <f>SUM('31:16'!Q9)</f>
        <v>0</v>
      </c>
      <c r="R9" s="93">
        <f>SUM('31:16'!R9)</f>
        <v>0</v>
      </c>
      <c r="S9" s="93">
        <f>SUM('31:16'!S9)</f>
        <v>0</v>
      </c>
      <c r="T9" s="93">
        <f>SUM('31:16'!T9)</f>
        <v>0</v>
      </c>
      <c r="U9" s="93">
        <f>SUM('31:16'!U9)</f>
        <v>0</v>
      </c>
      <c r="V9" s="205">
        <f t="shared" si="2"/>
        <v>0</v>
      </c>
      <c r="W9" s="33" t="str">
        <f t="shared" si="3"/>
        <v/>
      </c>
      <c r="X9" s="93">
        <f>SUM('31:16'!X9)</f>
        <v>0</v>
      </c>
      <c r="Y9" s="93">
        <f>SUM('31:16'!Y9)</f>
        <v>0</v>
      </c>
      <c r="Z9" s="93">
        <f>SUM('31:16'!Z9)</f>
        <v>0</v>
      </c>
      <c r="AA9" s="93">
        <f>SUM('31:16'!AA9)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SUM('31:16'!G10)</f>
        <v>1623</v>
      </c>
      <c r="H10" s="95">
        <f t="shared" si="0"/>
        <v>8163.6900000000005</v>
      </c>
      <c r="I10" s="93">
        <f>SUM('31:16'!I10)</f>
        <v>109</v>
      </c>
      <c r="J10" s="31">
        <f t="array" ref="J10">IF(ISERROR(G10/I10),"",G10/I10)</f>
        <v>14.889908256880734</v>
      </c>
      <c r="K10" s="35">
        <f t="array" ref="K10">IF(ISERROR(G10/L10),"",G10/L10)</f>
        <v>85.421052631578945</v>
      </c>
      <c r="L10" s="87">
        <v>19</v>
      </c>
      <c r="M10" s="36">
        <f t="shared" si="1"/>
        <v>23.578947368421055</v>
      </c>
      <c r="N10" s="93">
        <f>SUM('31:16'!N10)</f>
        <v>0</v>
      </c>
      <c r="O10" s="93">
        <f>SUM('31:16'!O10)</f>
        <v>0</v>
      </c>
      <c r="P10" s="93">
        <f>SUM('31:16'!P10)</f>
        <v>0</v>
      </c>
      <c r="Q10" s="93">
        <f>SUM('31:16'!Q10)</f>
        <v>0</v>
      </c>
      <c r="R10" s="93">
        <f>SUM('31:16'!R10)</f>
        <v>0</v>
      </c>
      <c r="S10" s="93">
        <f>SUM('31:16'!S10)</f>
        <v>0</v>
      </c>
      <c r="T10" s="93">
        <f>SUM('31:16'!T10)</f>
        <v>0</v>
      </c>
      <c r="U10" s="93">
        <f>SUM('31:16'!U10)</f>
        <v>0</v>
      </c>
      <c r="V10" s="205">
        <f t="shared" si="2"/>
        <v>0</v>
      </c>
      <c r="W10" s="33">
        <f t="shared" si="3"/>
        <v>0</v>
      </c>
      <c r="X10" s="93">
        <f>SUM('31:16'!X10)</f>
        <v>0</v>
      </c>
      <c r="Y10" s="93">
        <f>SUM('31:16'!Y10)</f>
        <v>0</v>
      </c>
      <c r="Z10" s="93">
        <f>SUM('31:16'!Z10)</f>
        <v>0</v>
      </c>
      <c r="AA10" s="93">
        <f>SUM('31:16'!AA10)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SUM('31:16'!G11)</f>
        <v>977</v>
      </c>
      <c r="H11" s="95">
        <f t="shared" si="0"/>
        <v>4914.3100000000004</v>
      </c>
      <c r="I11" s="93">
        <f>SUM('31:16'!I11)</f>
        <v>76</v>
      </c>
      <c r="J11" s="31">
        <f t="array" ref="J11">IF(ISERROR(G11/I11),"",G11/I11)</f>
        <v>12.855263157894736</v>
      </c>
      <c r="K11" s="35">
        <f t="array" ref="K11">IF(ISERROR(G11/L11),"",G11/L11)</f>
        <v>48.85</v>
      </c>
      <c r="L11" s="87">
        <v>20</v>
      </c>
      <c r="M11" s="36">
        <f t="shared" si="1"/>
        <v>27.15</v>
      </c>
      <c r="N11" s="93">
        <f>SUM('31:16'!N11)</f>
        <v>0</v>
      </c>
      <c r="O11" s="93">
        <f>SUM('31:16'!O11)</f>
        <v>0</v>
      </c>
      <c r="P11" s="93">
        <f>SUM('31:16'!P11)</f>
        <v>0</v>
      </c>
      <c r="Q11" s="93">
        <f>SUM('31:16'!Q11)</f>
        <v>0</v>
      </c>
      <c r="R11" s="93">
        <f>SUM('31:16'!R11)</f>
        <v>0</v>
      </c>
      <c r="S11" s="93">
        <f>SUM('31:16'!S11)</f>
        <v>0</v>
      </c>
      <c r="T11" s="93">
        <f>SUM('31:16'!T11)</f>
        <v>0</v>
      </c>
      <c r="U11" s="93">
        <f>SUM('31:16'!U11)</f>
        <v>0</v>
      </c>
      <c r="V11" s="205">
        <f t="shared" si="2"/>
        <v>0</v>
      </c>
      <c r="W11" s="33">
        <f t="shared" si="3"/>
        <v>0</v>
      </c>
      <c r="X11" s="93">
        <f>SUM('31:16'!X11)</f>
        <v>0</v>
      </c>
      <c r="Y11" s="93">
        <f>SUM('31:16'!Y11)</f>
        <v>0</v>
      </c>
      <c r="Z11" s="93">
        <f>SUM('31:16'!Z11)</f>
        <v>0</v>
      </c>
      <c r="AA11" s="93">
        <f>SUM('31:16'!AA11)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SUM('31:16'!G12)</f>
        <v>1135</v>
      </c>
      <c r="H12" s="95">
        <f t="shared" si="0"/>
        <v>5720.4</v>
      </c>
      <c r="I12" s="93">
        <f>SUM('31:16'!I12)</f>
        <v>57</v>
      </c>
      <c r="J12" s="31">
        <f t="array" ref="J12">IF(ISERROR(G12/I12),"",G12/I12)</f>
        <v>19.912280701754387</v>
      </c>
      <c r="K12" s="35">
        <f t="array" ref="K12">IF(ISERROR(G12/L12),"",G12/L12)</f>
        <v>59.736842105263158</v>
      </c>
      <c r="L12" s="87">
        <v>19</v>
      </c>
      <c r="M12" s="36">
        <f t="shared" si="1"/>
        <v>-2.7368421052631575</v>
      </c>
      <c r="N12" s="93">
        <f>SUM('31:16'!N12)</f>
        <v>0</v>
      </c>
      <c r="O12" s="93">
        <f>SUM('31:16'!O12)</f>
        <v>0</v>
      </c>
      <c r="P12" s="93">
        <f>SUM('31:16'!P12)</f>
        <v>0</v>
      </c>
      <c r="Q12" s="93">
        <f>SUM('31:16'!Q12)</f>
        <v>0</v>
      </c>
      <c r="R12" s="93">
        <f>SUM('31:16'!R12)</f>
        <v>0</v>
      </c>
      <c r="S12" s="93">
        <f>SUM('31:16'!S12)</f>
        <v>0</v>
      </c>
      <c r="T12" s="93">
        <f>SUM('31:16'!T12)</f>
        <v>0</v>
      </c>
      <c r="U12" s="93">
        <f>SUM('31:16'!U12)</f>
        <v>0</v>
      </c>
      <c r="V12" s="205">
        <f t="shared" si="2"/>
        <v>0</v>
      </c>
      <c r="W12" s="33">
        <f t="shared" si="3"/>
        <v>0</v>
      </c>
      <c r="X12" s="93">
        <f>SUM('31:16'!X12)</f>
        <v>0</v>
      </c>
      <c r="Y12" s="93">
        <f>SUM('31:16'!Y12)</f>
        <v>0</v>
      </c>
      <c r="Z12" s="93">
        <f>SUM('31:16'!Z12)</f>
        <v>0</v>
      </c>
      <c r="AA12" s="93">
        <f>SUM('31:16'!AA12)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SUM('31:16'!G13)</f>
        <v>0</v>
      </c>
      <c r="H13" s="95">
        <f t="shared" si="0"/>
        <v>0</v>
      </c>
      <c r="I13" s="93">
        <f>SUM('31:16'!I13)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SUM('31:16'!N13)</f>
        <v>0</v>
      </c>
      <c r="O13" s="93">
        <f>SUM('31:16'!O13)</f>
        <v>0</v>
      </c>
      <c r="P13" s="93">
        <f>SUM('31:16'!P13)</f>
        <v>0</v>
      </c>
      <c r="Q13" s="93">
        <f>SUM('31:16'!Q13)</f>
        <v>0</v>
      </c>
      <c r="R13" s="93">
        <f>SUM('31:16'!R13)</f>
        <v>0</v>
      </c>
      <c r="S13" s="93">
        <f>SUM('31:16'!S13)</f>
        <v>0</v>
      </c>
      <c r="T13" s="93">
        <f>SUM('31:16'!T13)</f>
        <v>0</v>
      </c>
      <c r="U13" s="93">
        <f>SUM('31:16'!U13)</f>
        <v>0</v>
      </c>
      <c r="V13" s="205">
        <f t="shared" si="2"/>
        <v>0</v>
      </c>
      <c r="W13" s="33" t="str">
        <f t="shared" si="3"/>
        <v/>
      </c>
      <c r="X13" s="93">
        <f>SUM('31:16'!X13)</f>
        <v>0</v>
      </c>
      <c r="Y13" s="93">
        <f>SUM('31:16'!Y13)</f>
        <v>0</v>
      </c>
      <c r="Z13" s="93">
        <f>SUM('31:16'!Z13)</f>
        <v>0</v>
      </c>
      <c r="AA13" s="93">
        <f>SUM('31:16'!AA13)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SUM('31:16'!G14)</f>
        <v>532</v>
      </c>
      <c r="H14" s="95">
        <f t="shared" si="0"/>
        <v>2675.96</v>
      </c>
      <c r="I14" s="93">
        <f>SUM('31:16'!I14)</f>
        <v>105</v>
      </c>
      <c r="J14" s="31">
        <f t="array" ref="J14">IF(ISERROR(G14/I14),"",G14/I14)</f>
        <v>5.0666666666666664</v>
      </c>
      <c r="K14" s="35">
        <f t="array" ref="K14">IF(ISERROR(G14/L14),"",G14/L14)</f>
        <v>177.33333333333334</v>
      </c>
      <c r="L14" s="87">
        <v>3</v>
      </c>
      <c r="M14" s="36">
        <f t="shared" si="1"/>
        <v>-72.333333333333343</v>
      </c>
      <c r="N14" s="93">
        <f>SUM('31:16'!N14)</f>
        <v>0</v>
      </c>
      <c r="O14" s="93">
        <f>SUM('31:16'!O14)</f>
        <v>0</v>
      </c>
      <c r="P14" s="93">
        <f>SUM('31:16'!P14)</f>
        <v>0</v>
      </c>
      <c r="Q14" s="93">
        <f>SUM('31:16'!Q14)</f>
        <v>0</v>
      </c>
      <c r="R14" s="93">
        <f>SUM('31:16'!R14)</f>
        <v>0</v>
      </c>
      <c r="S14" s="93">
        <f>SUM('31:16'!S14)</f>
        <v>0</v>
      </c>
      <c r="T14" s="93">
        <f>SUM('31:16'!T14)</f>
        <v>0</v>
      </c>
      <c r="U14" s="93">
        <f>SUM('31:16'!U14)</f>
        <v>0</v>
      </c>
      <c r="V14" s="205">
        <f t="shared" si="2"/>
        <v>0</v>
      </c>
      <c r="W14" s="33">
        <f t="shared" si="3"/>
        <v>0</v>
      </c>
      <c r="X14" s="93">
        <f>SUM('31:16'!X14)</f>
        <v>0</v>
      </c>
      <c r="Y14" s="93">
        <f>SUM('31:16'!Y14)</f>
        <v>0</v>
      </c>
      <c r="Z14" s="93">
        <f>SUM('31:16'!Z14)</f>
        <v>0</v>
      </c>
      <c r="AA14" s="93">
        <f>SUM('31:16'!AA14)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SUM('31:16'!G15)</f>
        <v>3004</v>
      </c>
      <c r="H15" s="95">
        <f t="shared" si="0"/>
        <v>15140.16</v>
      </c>
      <c r="I15" s="93">
        <f>SUM('31:16'!I15)</f>
        <v>230</v>
      </c>
      <c r="J15" s="31">
        <f t="array" ref="J15">IF(ISERROR(G15/I15),"",G15/I15)</f>
        <v>13.060869565217391</v>
      </c>
      <c r="K15" s="35">
        <f t="array" ref="K15">IF(ISERROR(G15/L15),"",G15/L15)</f>
        <v>176.70588235294119</v>
      </c>
      <c r="L15" s="87">
        <v>17</v>
      </c>
      <c r="M15" s="36">
        <f t="shared" si="1"/>
        <v>53.294117647058812</v>
      </c>
      <c r="N15" s="93">
        <f>SUM('31:16'!N15)</f>
        <v>0</v>
      </c>
      <c r="O15" s="93">
        <f>SUM('31:16'!O15)</f>
        <v>0</v>
      </c>
      <c r="P15" s="93">
        <f>SUM('31:16'!P15)</f>
        <v>0</v>
      </c>
      <c r="Q15" s="93">
        <f>SUM('31:16'!Q15)</f>
        <v>0</v>
      </c>
      <c r="R15" s="93">
        <f>SUM('31:16'!R15)</f>
        <v>0</v>
      </c>
      <c r="S15" s="93">
        <f>SUM('31:16'!S15)</f>
        <v>0</v>
      </c>
      <c r="T15" s="93">
        <f>SUM('31:16'!T15)</f>
        <v>0</v>
      </c>
      <c r="U15" s="93">
        <f>SUM('31:16'!U15)</f>
        <v>0</v>
      </c>
      <c r="V15" s="205">
        <f t="shared" si="2"/>
        <v>0</v>
      </c>
      <c r="W15" s="33">
        <f t="shared" si="3"/>
        <v>0</v>
      </c>
      <c r="X15" s="93">
        <f>SUM('31:16'!X15)</f>
        <v>0</v>
      </c>
      <c r="Y15" s="93">
        <f>SUM('31:16'!Y15)</f>
        <v>0</v>
      </c>
      <c r="Z15" s="93">
        <f>SUM('31:16'!Z15)</f>
        <v>0</v>
      </c>
      <c r="AA15" s="93">
        <f>SUM('31:16'!AA15)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SUM('31:16'!G16)</f>
        <v>1230</v>
      </c>
      <c r="H16" s="95">
        <f t="shared" si="0"/>
        <v>6199.2</v>
      </c>
      <c r="I16" s="93">
        <f>SUM('31:16'!I16)</f>
        <v>77</v>
      </c>
      <c r="J16" s="31">
        <f t="array" ref="J16">IF(ISERROR(G16/I16),"",G16/I16)</f>
        <v>15.974025974025974</v>
      </c>
      <c r="K16" s="35">
        <f t="array" ref="K16">IF(ISERROR(G16/L16),"",G16/L16)</f>
        <v>72.352941176470594</v>
      </c>
      <c r="L16" s="87">
        <v>17</v>
      </c>
      <c r="M16" s="36">
        <f t="shared" si="1"/>
        <v>4.6470588235294059</v>
      </c>
      <c r="N16" s="93">
        <f>SUM('31:16'!N16)</f>
        <v>0</v>
      </c>
      <c r="O16" s="93">
        <f>SUM('31:16'!O16)</f>
        <v>0</v>
      </c>
      <c r="P16" s="93">
        <f>SUM('31:16'!P16)</f>
        <v>0</v>
      </c>
      <c r="Q16" s="93">
        <f>SUM('31:16'!Q16)</f>
        <v>0</v>
      </c>
      <c r="R16" s="93">
        <f>SUM('31:16'!R16)</f>
        <v>0</v>
      </c>
      <c r="S16" s="93">
        <f>SUM('31:16'!S16)</f>
        <v>0</v>
      </c>
      <c r="T16" s="93">
        <f>SUM('31:16'!T16)</f>
        <v>0</v>
      </c>
      <c r="U16" s="93">
        <f>SUM('31:16'!U16)</f>
        <v>0</v>
      </c>
      <c r="V16" s="205">
        <f t="shared" si="2"/>
        <v>0</v>
      </c>
      <c r="W16" s="33">
        <f t="shared" si="3"/>
        <v>0</v>
      </c>
      <c r="X16" s="93">
        <f>SUM('31:16'!X16)</f>
        <v>0</v>
      </c>
      <c r="Y16" s="93">
        <f>SUM('31:16'!Y16)</f>
        <v>0</v>
      </c>
      <c r="Z16" s="93">
        <f>SUM('31:16'!Z16)</f>
        <v>0</v>
      </c>
      <c r="AA16" s="93">
        <f>SUM('31:16'!AA16)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SUM('31:16'!G17)</f>
        <v>0</v>
      </c>
      <c r="H17" s="95">
        <f t="shared" si="0"/>
        <v>0</v>
      </c>
      <c r="I17" s="93">
        <f>SUM('31:16'!I17)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SUM('31:16'!N17)</f>
        <v>0</v>
      </c>
      <c r="O17" s="93">
        <f>SUM('31:16'!O17)</f>
        <v>0</v>
      </c>
      <c r="P17" s="93">
        <f>SUM('31:16'!P17)</f>
        <v>0</v>
      </c>
      <c r="Q17" s="93">
        <f>SUM('31:16'!Q17)</f>
        <v>0</v>
      </c>
      <c r="R17" s="93">
        <f>SUM('31:16'!R17)</f>
        <v>0</v>
      </c>
      <c r="S17" s="93">
        <f>SUM('31:16'!S17)</f>
        <v>0</v>
      </c>
      <c r="T17" s="93">
        <f>SUM('31:16'!T17)</f>
        <v>0</v>
      </c>
      <c r="U17" s="93">
        <f>SUM('31:16'!U17)</f>
        <v>0</v>
      </c>
      <c r="V17" s="205">
        <f t="shared" si="2"/>
        <v>0</v>
      </c>
      <c r="W17" s="33" t="str">
        <f>IF(ISERROR(V17/G17),"",V17/G17)</f>
        <v/>
      </c>
      <c r="X17" s="93">
        <f>SUM('31:16'!X17)</f>
        <v>0</v>
      </c>
      <c r="Y17" s="93">
        <f>SUM('31:16'!Y17)</f>
        <v>0</v>
      </c>
      <c r="Z17" s="93">
        <f>SUM('31:16'!Z17)</f>
        <v>0</v>
      </c>
      <c r="AA17" s="93">
        <f>SUM('31:16'!AA17)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SUM('31:16'!G18)</f>
        <v>119</v>
      </c>
      <c r="H18" s="95">
        <f t="shared" si="0"/>
        <v>0</v>
      </c>
      <c r="I18" s="93">
        <f>SUM('31:16'!I18)</f>
        <v>7.5</v>
      </c>
      <c r="J18" s="31">
        <f t="array" ref="J18">IF(ISERROR(G18/I18),"",G18/I18)</f>
        <v>15.866666666666667</v>
      </c>
      <c r="K18" s="35">
        <f t="array" ref="K18">IF(ISERROR(G18/L18),"",G18/L18)</f>
        <v>7</v>
      </c>
      <c r="L18" s="87">
        <v>17</v>
      </c>
      <c r="M18" s="36">
        <f>IF(ISERROR(I18-K18),"",I18-K18)</f>
        <v>0.5</v>
      </c>
      <c r="N18" s="93">
        <f>SUM('31:16'!N18)</f>
        <v>0</v>
      </c>
      <c r="O18" s="93">
        <f>SUM('31:16'!O18)</f>
        <v>0</v>
      </c>
      <c r="P18" s="93">
        <f>SUM('31:16'!P18)</f>
        <v>0</v>
      </c>
      <c r="Q18" s="93">
        <f>SUM('31:16'!Q18)</f>
        <v>0</v>
      </c>
      <c r="R18" s="93">
        <f>SUM('31:16'!R18)</f>
        <v>0</v>
      </c>
      <c r="S18" s="93">
        <f>SUM('31:16'!S18)</f>
        <v>0</v>
      </c>
      <c r="T18" s="93">
        <f>SUM('31:16'!T18)</f>
        <v>0</v>
      </c>
      <c r="U18" s="93">
        <f>SUM('31:16'!U18)</f>
        <v>0</v>
      </c>
      <c r="V18" s="205">
        <f t="shared" si="2"/>
        <v>0</v>
      </c>
      <c r="W18" s="33">
        <f>IF(ISERROR(V18/G18),"",V18/G18)</f>
        <v>0</v>
      </c>
      <c r="X18" s="93">
        <f>SUM('31:16'!X18)</f>
        <v>0</v>
      </c>
      <c r="Y18" s="93">
        <f>SUM('31:16'!Y18)</f>
        <v>0</v>
      </c>
      <c r="Z18" s="93">
        <f>SUM('31:16'!Z18)</f>
        <v>0</v>
      </c>
      <c r="AA18" s="93">
        <f>SUM('31:16'!AA18)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SUM('31:16'!G19)</f>
        <v>3631</v>
      </c>
      <c r="H19" s="95">
        <f t="shared" si="0"/>
        <v>18372.859999999997</v>
      </c>
      <c r="I19" s="93">
        <f>SUM('31:16'!I19)</f>
        <v>233.5</v>
      </c>
      <c r="J19" s="31">
        <f t="array" ref="J19">IF(ISERROR(G19/I19),"",G19/I19)</f>
        <v>15.550321199143468</v>
      </c>
      <c r="K19" s="35">
        <f t="array" ref="K19">IF(ISERROR(G19/L19),"",G19/L19)</f>
        <v>191.10526315789474</v>
      </c>
      <c r="L19" s="87">
        <v>19</v>
      </c>
      <c r="M19" s="36">
        <f t="shared" ref="M19:M21" si="4">IF(ISERROR(I19-K19),"",I19-K19)</f>
        <v>42.39473684210526</v>
      </c>
      <c r="N19" s="93">
        <f>SUM('31:16'!N19)</f>
        <v>0</v>
      </c>
      <c r="O19" s="93">
        <f>SUM('31:16'!O19)</f>
        <v>0</v>
      </c>
      <c r="P19" s="93">
        <f>SUM('31:16'!P19)</f>
        <v>0</v>
      </c>
      <c r="Q19" s="93">
        <f>SUM('31:16'!Q19)</f>
        <v>0</v>
      </c>
      <c r="R19" s="93">
        <f>SUM('31:16'!R19)</f>
        <v>0</v>
      </c>
      <c r="S19" s="93">
        <f>SUM('31:16'!S19)</f>
        <v>0</v>
      </c>
      <c r="T19" s="93">
        <f>SUM('31:16'!T19)</f>
        <v>0</v>
      </c>
      <c r="U19" s="93">
        <f>SUM('31:16'!U19)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SUM('31:16'!X19)</f>
        <v>0</v>
      </c>
      <c r="Y19" s="93">
        <f>SUM('31:16'!Y19)</f>
        <v>0</v>
      </c>
      <c r="Z19" s="93">
        <f>SUM('31:16'!Z19)</f>
        <v>0</v>
      </c>
      <c r="AA19" s="93">
        <f>SUM('31:16'!AA19)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SUM('31:16'!G20)</f>
        <v>5471</v>
      </c>
      <c r="H20" s="95">
        <f t="shared" si="0"/>
        <v>27847.39</v>
      </c>
      <c r="I20" s="93">
        <f>SUM('31:16'!I20)</f>
        <v>280</v>
      </c>
      <c r="J20" s="31">
        <f t="array" ref="J20">IF(ISERROR(G20/I20),"",G20/I20)</f>
        <v>19.539285714285715</v>
      </c>
      <c r="K20" s="35">
        <f t="array" ref="K20">IF(ISERROR(G20/L20),"",G20/L20)</f>
        <v>237.86956521739131</v>
      </c>
      <c r="L20" s="87">
        <v>23</v>
      </c>
      <c r="M20" s="36">
        <f t="shared" si="4"/>
        <v>42.130434782608688</v>
      </c>
      <c r="N20" s="93">
        <f>SUM('31:16'!N20)</f>
        <v>0</v>
      </c>
      <c r="O20" s="93">
        <f>SUM('31:16'!O20)</f>
        <v>0</v>
      </c>
      <c r="P20" s="93">
        <f>SUM('31:16'!P20)</f>
        <v>0</v>
      </c>
      <c r="Q20" s="93">
        <f>SUM('31:16'!Q20)</f>
        <v>0</v>
      </c>
      <c r="R20" s="93">
        <f>SUM('31:16'!R20)</f>
        <v>0</v>
      </c>
      <c r="S20" s="93">
        <f>SUM('31:16'!S20)</f>
        <v>0</v>
      </c>
      <c r="T20" s="93">
        <f>SUM('31:16'!T20)</f>
        <v>0</v>
      </c>
      <c r="U20" s="93">
        <f>SUM('31:16'!U20)</f>
        <v>0</v>
      </c>
      <c r="V20" s="205">
        <f t="shared" si="2"/>
        <v>0</v>
      </c>
      <c r="W20" s="33">
        <f t="shared" si="5"/>
        <v>0</v>
      </c>
      <c r="X20" s="93">
        <f>SUM('31:16'!X20)</f>
        <v>0</v>
      </c>
      <c r="Y20" s="93">
        <f>SUM('31:16'!Y20)</f>
        <v>0</v>
      </c>
      <c r="Z20" s="93">
        <f>SUM('31:16'!Z20)</f>
        <v>0</v>
      </c>
      <c r="AA20" s="93">
        <f>SUM('31:16'!AA20)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SUM('31:16'!G21)</f>
        <v>2184</v>
      </c>
      <c r="H21" s="95">
        <f t="shared" si="0"/>
        <v>11116.56</v>
      </c>
      <c r="I21" s="93">
        <f>SUM('31:16'!I21)</f>
        <v>115.5</v>
      </c>
      <c r="J21" s="31">
        <f t="array" ref="J21">IF(ISERROR(G21/I21),"",G21/I21)</f>
        <v>18.90909090909091</v>
      </c>
      <c r="K21" s="35">
        <f t="array" ref="K21">IF(ISERROR(G21/L21),"",G21/L21)</f>
        <v>94.956521739130437</v>
      </c>
      <c r="L21" s="87">
        <v>23</v>
      </c>
      <c r="M21" s="36">
        <f t="shared" si="4"/>
        <v>20.543478260869563</v>
      </c>
      <c r="N21" s="93">
        <f>SUM('31:16'!N21)</f>
        <v>0</v>
      </c>
      <c r="O21" s="93">
        <f>SUM('31:16'!O21)</f>
        <v>0</v>
      </c>
      <c r="P21" s="93">
        <f>SUM('31:16'!P21)</f>
        <v>0</v>
      </c>
      <c r="Q21" s="93">
        <f>SUM('31:16'!Q21)</f>
        <v>0</v>
      </c>
      <c r="R21" s="93">
        <f>SUM('31:16'!R21)</f>
        <v>0</v>
      </c>
      <c r="S21" s="93">
        <f>SUM('31:16'!S21)</f>
        <v>0</v>
      </c>
      <c r="T21" s="93">
        <f>SUM('31:16'!T21)</f>
        <v>0</v>
      </c>
      <c r="U21" s="93">
        <f>SUM('31:16'!U21)</f>
        <v>0</v>
      </c>
      <c r="V21" s="205">
        <f t="shared" si="2"/>
        <v>0</v>
      </c>
      <c r="W21" s="33">
        <f t="shared" si="5"/>
        <v>0</v>
      </c>
      <c r="X21" s="93">
        <f>SUM('31:16'!X21)</f>
        <v>0</v>
      </c>
      <c r="Y21" s="93">
        <f>SUM('31:16'!Y21)</f>
        <v>0</v>
      </c>
      <c r="Z21" s="93">
        <f>SUM('31:16'!Z21)</f>
        <v>0</v>
      </c>
      <c r="AA21" s="93">
        <f>SUM('31:16'!AA21)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SUM('31:16'!G22)</f>
        <v>0</v>
      </c>
      <c r="H22" s="95">
        <f t="shared" si="0"/>
        <v>0</v>
      </c>
      <c r="I22" s="93">
        <f>SUM('31:16'!I22)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SUM('31:16'!N22)</f>
        <v>0</v>
      </c>
      <c r="O22" s="93">
        <f>SUM('31:16'!O22)</f>
        <v>0</v>
      </c>
      <c r="P22" s="93">
        <f>SUM('31:16'!P22)</f>
        <v>0</v>
      </c>
      <c r="Q22" s="93">
        <f>SUM('31:16'!Q22)</f>
        <v>0</v>
      </c>
      <c r="R22" s="93">
        <f>SUM('31:16'!R22)</f>
        <v>0</v>
      </c>
      <c r="S22" s="93">
        <f>SUM('31:16'!S22)</f>
        <v>0</v>
      </c>
      <c r="T22" s="93">
        <f>SUM('31:16'!T22)</f>
        <v>0</v>
      </c>
      <c r="U22" s="93">
        <f>SUM('31:16'!U22)</f>
        <v>0</v>
      </c>
      <c r="V22" s="205">
        <f t="shared" si="2"/>
        <v>0</v>
      </c>
      <c r="W22" s="33"/>
      <c r="X22" s="93">
        <f>SUM('31:16'!X22)</f>
        <v>0</v>
      </c>
      <c r="Y22" s="93">
        <f>SUM('31:16'!Y22)</f>
        <v>0</v>
      </c>
      <c r="Z22" s="93">
        <f>SUM('31:16'!Z22)</f>
        <v>0</v>
      </c>
      <c r="AA22" s="93">
        <f>SUM('31:16'!AA22)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SUM('31:16'!G23)</f>
        <v>0</v>
      </c>
      <c r="H23" s="95">
        <f t="shared" si="0"/>
        <v>0</v>
      </c>
      <c r="I23" s="93">
        <f>SUM('31:16'!I23)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SUM('31:16'!N23)</f>
        <v>0</v>
      </c>
      <c r="O23" s="93">
        <f>SUM('31:16'!O23)</f>
        <v>0</v>
      </c>
      <c r="P23" s="93">
        <f>SUM('31:16'!P23)</f>
        <v>0</v>
      </c>
      <c r="Q23" s="93">
        <f>SUM('31:16'!Q23)</f>
        <v>0</v>
      </c>
      <c r="R23" s="93">
        <f>SUM('31:16'!R23)</f>
        <v>0</v>
      </c>
      <c r="S23" s="93">
        <f>SUM('31:16'!S23)</f>
        <v>0</v>
      </c>
      <c r="T23" s="93">
        <f>SUM('31:16'!T23)</f>
        <v>0</v>
      </c>
      <c r="U23" s="93">
        <f>SUM('31:16'!U23)</f>
        <v>0</v>
      </c>
      <c r="V23" s="205">
        <f t="shared" si="2"/>
        <v>0</v>
      </c>
      <c r="W23" s="33"/>
      <c r="X23" s="93">
        <f>SUM('31:16'!X23)</f>
        <v>0</v>
      </c>
      <c r="Y23" s="93">
        <f>SUM('31:16'!Y23)</f>
        <v>0</v>
      </c>
      <c r="Z23" s="93">
        <f>SUM('31:16'!Z23)</f>
        <v>0</v>
      </c>
      <c r="AA23" s="93">
        <f>SUM('31:16'!AA23)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SUM('31:16'!G24)</f>
        <v>0</v>
      </c>
      <c r="H24" s="95">
        <f t="shared" si="0"/>
        <v>0</v>
      </c>
      <c r="I24" s="93">
        <f>SUM('31:16'!I24)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SUM('31:16'!N24)</f>
        <v>0</v>
      </c>
      <c r="O24" s="93">
        <f>SUM('31:16'!O24)</f>
        <v>0</v>
      </c>
      <c r="P24" s="93">
        <f>SUM('31:16'!P24)</f>
        <v>0</v>
      </c>
      <c r="Q24" s="93">
        <f>SUM('31:16'!Q24)</f>
        <v>0</v>
      </c>
      <c r="R24" s="93">
        <f>SUM('31:16'!R24)</f>
        <v>0</v>
      </c>
      <c r="S24" s="93">
        <f>SUM('31:16'!S24)</f>
        <v>0</v>
      </c>
      <c r="T24" s="93">
        <f>SUM('31:16'!T24)</f>
        <v>0</v>
      </c>
      <c r="U24" s="93">
        <f>SUM('31:16'!U24)</f>
        <v>0</v>
      </c>
      <c r="V24" s="205">
        <f t="shared" si="2"/>
        <v>0</v>
      </c>
      <c r="W24" s="33"/>
      <c r="X24" s="93">
        <f>SUM('31:16'!X24)</f>
        <v>0</v>
      </c>
      <c r="Y24" s="93">
        <f>SUM('31:16'!Y24)</f>
        <v>0</v>
      </c>
      <c r="Z24" s="93">
        <f>SUM('31:16'!Z24)</f>
        <v>0</v>
      </c>
      <c r="AA24" s="93">
        <f>SUM('31:16'!AA24)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SUM('31:16'!G25)</f>
        <v>0</v>
      </c>
      <c r="H25" s="95">
        <f>D25*G25</f>
        <v>0</v>
      </c>
      <c r="I25" s="93">
        <f>SUM('31:16'!I25)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SUM('31:16'!N25)</f>
        <v>0</v>
      </c>
      <c r="O25" s="93">
        <f>SUM('31:16'!O25)</f>
        <v>0</v>
      </c>
      <c r="P25" s="93">
        <f>SUM('31:16'!P25)</f>
        <v>0</v>
      </c>
      <c r="Q25" s="93">
        <f>SUM('31:16'!Q25)</f>
        <v>0</v>
      </c>
      <c r="R25" s="93">
        <f>SUM('31:16'!R25)</f>
        <v>0</v>
      </c>
      <c r="S25" s="93">
        <f>SUM('31:16'!S25)</f>
        <v>0</v>
      </c>
      <c r="T25" s="93">
        <f>SUM('31:16'!T25)</f>
        <v>0</v>
      </c>
      <c r="U25" s="93">
        <f>SUM('31:16'!U25)</f>
        <v>0</v>
      </c>
      <c r="V25" s="205">
        <f t="shared" si="2"/>
        <v>0</v>
      </c>
      <c r="W25" s="33"/>
      <c r="X25" s="93">
        <f>SUM('31:16'!X25)</f>
        <v>0</v>
      </c>
      <c r="Y25" s="93">
        <f>SUM('31:16'!Y25)</f>
        <v>0</v>
      </c>
      <c r="Z25" s="93">
        <f>SUM('31:16'!Z25)</f>
        <v>0</v>
      </c>
      <c r="AA25" s="93">
        <f>SUM('31:16'!AA25)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SUM('31:16'!G26)</f>
        <v>0</v>
      </c>
      <c r="H26" s="95">
        <f t="shared" ref="H26:H27" si="6">D26*G26</f>
        <v>0</v>
      </c>
      <c r="I26" s="93">
        <f>SUM('31:16'!I26)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SUM('31:16'!N26)</f>
        <v>0</v>
      </c>
      <c r="O26" s="93">
        <f>SUM('31:16'!O26)</f>
        <v>0</v>
      </c>
      <c r="P26" s="93">
        <f>SUM('31:16'!P26)</f>
        <v>0</v>
      </c>
      <c r="Q26" s="93">
        <f>SUM('31:16'!Q26)</f>
        <v>0</v>
      </c>
      <c r="R26" s="93">
        <f>SUM('31:16'!R26)</f>
        <v>0</v>
      </c>
      <c r="S26" s="93">
        <f>SUM('31:16'!S26)</f>
        <v>0</v>
      </c>
      <c r="T26" s="93">
        <f>SUM('31:16'!T26)</f>
        <v>0</v>
      </c>
      <c r="U26" s="93">
        <f>SUM('31:16'!U26)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SUM('31:16'!X26)</f>
        <v>0</v>
      </c>
      <c r="Y26" s="93">
        <f>SUM('31:16'!Y26)</f>
        <v>0</v>
      </c>
      <c r="Z26" s="93">
        <f>SUM('31:16'!Z26)</f>
        <v>0</v>
      </c>
      <c r="AA26" s="93">
        <f>SUM('31:16'!AA26)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SUM('31:16'!G27)</f>
        <v>430</v>
      </c>
      <c r="H27" s="95">
        <f t="shared" si="6"/>
        <v>2145.7000000000003</v>
      </c>
      <c r="I27" s="93">
        <f>SUM('31:16'!I27)</f>
        <v>17.54</v>
      </c>
      <c r="J27" s="31">
        <f t="array" ref="J27">IF(ISERROR(G27/I27),"",G27/I27)</f>
        <v>24.515393386545043</v>
      </c>
      <c r="K27" s="35">
        <f t="array" ref="K27">IF(ISERROR(G27/L27),"",G27/L27)</f>
        <v>18.297872340425531</v>
      </c>
      <c r="L27" s="87">
        <v>23.5</v>
      </c>
      <c r="M27" s="36">
        <f t="shared" si="7"/>
        <v>-0.75787234042553209</v>
      </c>
      <c r="N27" s="93">
        <f>SUM('31:16'!N27)</f>
        <v>0</v>
      </c>
      <c r="O27" s="93">
        <f>SUM('31:16'!O27)</f>
        <v>0</v>
      </c>
      <c r="P27" s="93">
        <f>SUM('31:16'!P27)</f>
        <v>0</v>
      </c>
      <c r="Q27" s="93">
        <f>SUM('31:16'!Q27)</f>
        <v>0</v>
      </c>
      <c r="R27" s="93">
        <f>SUM('31:16'!R27)</f>
        <v>0</v>
      </c>
      <c r="S27" s="93">
        <f>SUM('31:16'!S27)</f>
        <v>0</v>
      </c>
      <c r="T27" s="93">
        <f>SUM('31:16'!T27)</f>
        <v>0</v>
      </c>
      <c r="U27" s="93">
        <f>SUM('31:16'!U27)</f>
        <v>0</v>
      </c>
      <c r="V27" s="205">
        <f t="shared" si="2"/>
        <v>0</v>
      </c>
      <c r="W27" s="33">
        <f t="shared" si="8"/>
        <v>0</v>
      </c>
      <c r="X27" s="93">
        <f>SUM('31:16'!X27)</f>
        <v>0</v>
      </c>
      <c r="Y27" s="93">
        <f>SUM('31:16'!Y27)</f>
        <v>0</v>
      </c>
      <c r="Z27" s="93">
        <f>SUM('31:16'!Z27)</f>
        <v>0</v>
      </c>
      <c r="AA27" s="93">
        <f>SUM('31:16'!AA27)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737" t="s">
        <v>70</v>
      </c>
      <c r="B28" s="738"/>
      <c r="C28" s="31" t="s">
        <v>71</v>
      </c>
      <c r="D28" s="30"/>
      <c r="E28" s="30"/>
      <c r="F28" s="30"/>
      <c r="G28" s="94">
        <f>SUM(G7:G27)</f>
        <v>22419</v>
      </c>
      <c r="H28" s="30">
        <f>SUM(H7:H27)</f>
        <v>112773.71999999999</v>
      </c>
      <c r="I28" s="30">
        <f>SUM(I7:I27)</f>
        <v>1377.54</v>
      </c>
      <c r="J28" s="31">
        <f t="array" ref="J28">IF(ISERROR(G28/I28),"",G28/I28)</f>
        <v>16.274663530641579</v>
      </c>
      <c r="K28" s="30">
        <f>SUM(K7:K27)</f>
        <v>1299.8167740544293</v>
      </c>
      <c r="L28" s="98"/>
      <c r="M28" s="89">
        <f t="shared" ref="M28:AA28" si="9">SUM(M7:M27)</f>
        <v>77.723225945570746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SUM('31:16'!G29)</f>
        <v>1815</v>
      </c>
      <c r="H29" s="339">
        <f t="shared" ref="H29:H85" si="10">D29*G29</f>
        <v>9129.4500000000007</v>
      </c>
      <c r="I29" s="93">
        <f>SUM('31:16'!I29)</f>
        <v>20.54</v>
      </c>
      <c r="J29" s="31">
        <f t="array" ref="J29">IF(ISERROR(G29/I29),"",G29/I29)</f>
        <v>88.364167478091531</v>
      </c>
      <c r="K29" s="35">
        <f t="array" ref="K29">IF(ISERROR(G29/L29),"",G29/L29)</f>
        <v>34.903846153846153</v>
      </c>
      <c r="L29" s="87">
        <v>52</v>
      </c>
      <c r="M29" s="36">
        <f t="shared" ref="M29" si="11">IF(ISERROR(I29-K29),"",I29-K29)</f>
        <v>-14.363846153846154</v>
      </c>
      <c r="N29" s="93">
        <f>SUM('31:16'!N29)</f>
        <v>0</v>
      </c>
      <c r="O29" s="93">
        <f>SUM('31:16'!O29)</f>
        <v>0</v>
      </c>
      <c r="P29" s="93">
        <f>SUM('31:16'!P29)</f>
        <v>0</v>
      </c>
      <c r="Q29" s="93">
        <f>SUM('31:16'!Q29)</f>
        <v>0</v>
      </c>
      <c r="R29" s="93">
        <f>SUM('31:16'!R29)</f>
        <v>0</v>
      </c>
      <c r="S29" s="93">
        <f>SUM('31:16'!S29)</f>
        <v>0</v>
      </c>
      <c r="T29" s="93">
        <f>SUM('31:16'!T29)</f>
        <v>0</v>
      </c>
      <c r="U29" s="93">
        <f>SUM('31:16'!U29)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SUM('31:16'!X29)</f>
        <v>0</v>
      </c>
      <c r="Y29" s="93">
        <f>SUM('31:16'!Y29)</f>
        <v>0</v>
      </c>
      <c r="Z29" s="93">
        <f>SUM('31:16'!Z29)</f>
        <v>0</v>
      </c>
      <c r="AA29" s="93">
        <f>SUM('31:16'!AA29)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SUM('31:16'!G30)</f>
        <v>1380</v>
      </c>
      <c r="H30" s="339">
        <f t="shared" si="10"/>
        <v>6941.4000000000005</v>
      </c>
      <c r="I30" s="93">
        <f>SUM('31:16'!I30)</f>
        <v>13.02</v>
      </c>
      <c r="J30" s="31"/>
      <c r="K30" s="35">
        <f t="array" ref="K30">IF(ISERROR(G30/L30),"",G30/L30)</f>
        <v>26.53846153846154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SUM('31:16'!G31)</f>
        <v>2088</v>
      </c>
      <c r="H31" s="339">
        <f t="shared" si="10"/>
        <v>10502.640000000001</v>
      </c>
      <c r="I31" s="93">
        <f>SUM('31:16'!I31)</f>
        <v>28.52</v>
      </c>
      <c r="J31" s="31">
        <f t="array" ref="J31">IF(ISERROR(G31/I31),"",G31/I31)</f>
        <v>73.211781206171111</v>
      </c>
      <c r="K31" s="35">
        <f t="array" ref="K31">IF(ISERROR(G31/L31),"",G31/L31)</f>
        <v>40.153846153846153</v>
      </c>
      <c r="L31" s="87">
        <v>52</v>
      </c>
      <c r="M31" s="36">
        <f t="shared" ref="M31:M33" si="14">IF(ISERROR(I31-K31),"",I31-K31)</f>
        <v>-11.633846153846154</v>
      </c>
      <c r="N31" s="93">
        <f>SUM('31:16'!N31)</f>
        <v>0</v>
      </c>
      <c r="O31" s="93">
        <f>SUM('31:16'!O31)</f>
        <v>0</v>
      </c>
      <c r="P31" s="93">
        <f>SUM('31:16'!P31)</f>
        <v>0</v>
      </c>
      <c r="Q31" s="93">
        <f>SUM('31:16'!Q31)</f>
        <v>0</v>
      </c>
      <c r="R31" s="93">
        <f>SUM('31:16'!R31)</f>
        <v>0</v>
      </c>
      <c r="S31" s="93">
        <f>SUM('31:16'!S31)</f>
        <v>0</v>
      </c>
      <c r="T31" s="93">
        <f>SUM('31:16'!T31)</f>
        <v>0</v>
      </c>
      <c r="U31" s="93">
        <f>SUM('31:16'!U31)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SUM('31:16'!X31)</f>
        <v>0</v>
      </c>
      <c r="Y31" s="93">
        <f>SUM('31:16'!Y31)</f>
        <v>0</v>
      </c>
      <c r="Z31" s="93">
        <f>SUM('31:16'!Z31)</f>
        <v>0</v>
      </c>
      <c r="AA31" s="93">
        <f>SUM('31:16'!AA31)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SUM('31:16'!G32)</f>
        <v>2337</v>
      </c>
      <c r="H32" s="339">
        <f t="shared" si="10"/>
        <v>11755.11</v>
      </c>
      <c r="I32" s="93">
        <f>SUM('31:16'!I32)</f>
        <v>36</v>
      </c>
      <c r="J32" s="31">
        <f t="array" ref="J32">IF(ISERROR(G32/I32),"",G32/I32)</f>
        <v>64.916666666666671</v>
      </c>
      <c r="K32" s="35">
        <f t="array" ref="K32">IF(ISERROR(G32/L32),"",G32/L32)</f>
        <v>44.942307692307693</v>
      </c>
      <c r="L32" s="87">
        <v>52</v>
      </c>
      <c r="M32" s="36">
        <f t="shared" si="14"/>
        <v>-8.9423076923076934</v>
      </c>
      <c r="N32" s="93">
        <f>SUM('31:16'!N32)</f>
        <v>0</v>
      </c>
      <c r="O32" s="93">
        <f>SUM('31:16'!O32)</f>
        <v>0</v>
      </c>
      <c r="P32" s="93">
        <f>SUM('31:16'!P32)</f>
        <v>0</v>
      </c>
      <c r="Q32" s="93">
        <f>SUM('31:16'!Q32)</f>
        <v>0</v>
      </c>
      <c r="R32" s="93">
        <f>SUM('31:16'!R32)</f>
        <v>0</v>
      </c>
      <c r="S32" s="93">
        <f>SUM('31:16'!S32)</f>
        <v>0</v>
      </c>
      <c r="T32" s="93">
        <f>SUM('31:16'!T32)</f>
        <v>0</v>
      </c>
      <c r="U32" s="93">
        <f>SUM('31:16'!U32)</f>
        <v>0</v>
      </c>
      <c r="V32" s="206">
        <f t="shared" si="15"/>
        <v>0</v>
      </c>
      <c r="W32" s="33">
        <f t="shared" si="16"/>
        <v>0</v>
      </c>
      <c r="X32" s="93">
        <f>SUM('31:16'!X32)</f>
        <v>0</v>
      </c>
      <c r="Y32" s="93">
        <f>SUM('31:16'!Y32)</f>
        <v>0</v>
      </c>
      <c r="Z32" s="93">
        <f>SUM('31:16'!Z32)</f>
        <v>0</v>
      </c>
      <c r="AA32" s="93">
        <f>SUM('31:16'!AA32)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SUM('31:16'!G33)</f>
        <v>1518</v>
      </c>
      <c r="H33" s="339">
        <f t="shared" si="10"/>
        <v>7635.54</v>
      </c>
      <c r="I33" s="93">
        <f>SUM('31:16'!I33)</f>
        <v>31</v>
      </c>
      <c r="J33" s="31">
        <f t="array" ref="J33">IF(ISERROR(G33/I33),"",G33/I33)</f>
        <v>48.967741935483872</v>
      </c>
      <c r="K33" s="35">
        <f t="array" ref="K33">IF(ISERROR(G33/L33),"",G33/L33)</f>
        <v>29.192307692307693</v>
      </c>
      <c r="L33" s="87">
        <v>52</v>
      </c>
      <c r="M33" s="36">
        <f t="shared" si="14"/>
        <v>1.8076923076923066</v>
      </c>
      <c r="N33" s="93">
        <f>SUM('31:16'!N33)</f>
        <v>0</v>
      </c>
      <c r="O33" s="93">
        <f>SUM('31:16'!O33)</f>
        <v>0</v>
      </c>
      <c r="P33" s="93">
        <f>SUM('31:16'!P33)</f>
        <v>0</v>
      </c>
      <c r="Q33" s="93">
        <f>SUM('31:16'!Q33)</f>
        <v>0</v>
      </c>
      <c r="R33" s="93">
        <f>SUM('31:16'!R33)</f>
        <v>0</v>
      </c>
      <c r="S33" s="93">
        <f>SUM('31:16'!S33)</f>
        <v>0</v>
      </c>
      <c r="T33" s="93">
        <f>SUM('31:16'!T33)</f>
        <v>0</v>
      </c>
      <c r="U33" s="93">
        <f>SUM('31:16'!U33)</f>
        <v>0</v>
      </c>
      <c r="V33" s="206">
        <f t="shared" si="15"/>
        <v>0</v>
      </c>
      <c r="W33" s="33">
        <f t="shared" si="16"/>
        <v>0</v>
      </c>
      <c r="X33" s="93">
        <f>SUM('31:16'!X33)</f>
        <v>0</v>
      </c>
      <c r="Y33" s="93">
        <f>SUM('31:16'!Y33)</f>
        <v>0</v>
      </c>
      <c r="Z33" s="93">
        <f>SUM('31:16'!Z33)</f>
        <v>0</v>
      </c>
      <c r="AA33" s="93">
        <f>SUM('31:16'!AA33)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SUM('31:16'!G34)</f>
        <v>559</v>
      </c>
      <c r="H34" s="339">
        <f t="shared" si="10"/>
        <v>0</v>
      </c>
      <c r="I34" s="93">
        <f>SUM('31:16'!I34)</f>
        <v>11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SUM('31:16'!G35)</f>
        <v>764</v>
      </c>
      <c r="H35" s="339">
        <f t="shared" si="10"/>
        <v>0</v>
      </c>
      <c r="I35" s="93">
        <f>SUM('31:16'!I35)</f>
        <v>15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SUM('31:16'!G36)</f>
        <v>806</v>
      </c>
      <c r="H36" s="339">
        <f t="shared" si="10"/>
        <v>0</v>
      </c>
      <c r="I36" s="93">
        <f>SUM('31:16'!I36)</f>
        <v>19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SUM('31:16'!G37)</f>
        <v>1882</v>
      </c>
      <c r="H37" s="339">
        <f t="shared" si="10"/>
        <v>9560.56</v>
      </c>
      <c r="I37" s="93">
        <f>SUM('31:16'!I37)</f>
        <v>81.5</v>
      </c>
      <c r="J37" s="31">
        <f t="array" ref="J37">IF(ISERROR(G37/I37),"",G37/I37)</f>
        <v>23.092024539877301</v>
      </c>
      <c r="K37" s="35">
        <f t="array" ref="K37">IF(ISERROR(G37/L37),"",G37/L37)</f>
        <v>89.61904761904762</v>
      </c>
      <c r="L37" s="87">
        <v>21</v>
      </c>
      <c r="M37" s="36">
        <f t="shared" ref="M37:M66" si="17">IF(ISERROR(I37-K37),"",I37-K37)</f>
        <v>-8.1190476190476204</v>
      </c>
      <c r="N37" s="93">
        <f>SUM('31:16'!N37)</f>
        <v>0</v>
      </c>
      <c r="O37" s="93">
        <f>SUM('31:16'!O37)</f>
        <v>0</v>
      </c>
      <c r="P37" s="93">
        <f>SUM('31:16'!P37)</f>
        <v>0</v>
      </c>
      <c r="Q37" s="93">
        <f>SUM('31:16'!Q37)</f>
        <v>0</v>
      </c>
      <c r="R37" s="93">
        <f>SUM('31:16'!R37)</f>
        <v>0</v>
      </c>
      <c r="S37" s="93">
        <f>SUM('31:16'!S37)</f>
        <v>0</v>
      </c>
      <c r="T37" s="93">
        <f>SUM('31:16'!T37)</f>
        <v>0</v>
      </c>
      <c r="U37" s="93">
        <f>SUM('31:16'!U37)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SUM('31:16'!X37)</f>
        <v>0</v>
      </c>
      <c r="Y37" s="93">
        <f>SUM('31:16'!Y37)</f>
        <v>0</v>
      </c>
      <c r="Z37" s="93">
        <f>SUM('31:16'!Z37)</f>
        <v>0</v>
      </c>
      <c r="AA37" s="93">
        <f>SUM('31:16'!AA37)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SUM('31:16'!G38)</f>
        <v>1859</v>
      </c>
      <c r="H38" s="339">
        <f t="shared" si="10"/>
        <v>9443.7199999999993</v>
      </c>
      <c r="I38" s="93">
        <f>SUM('31:16'!I38)</f>
        <v>86.55</v>
      </c>
      <c r="J38" s="31">
        <f t="array" ref="J38">IF(ISERROR(G38/I38),"",G38/I38)</f>
        <v>21.478913922588099</v>
      </c>
      <c r="K38" s="35">
        <f t="array" ref="K38">IF(ISERROR(G38/L38),"",G38/L38)</f>
        <v>88.523809523809518</v>
      </c>
      <c r="L38" s="87">
        <v>21</v>
      </c>
      <c r="M38" s="36">
        <f t="shared" si="17"/>
        <v>-1.9738095238095212</v>
      </c>
      <c r="N38" s="93">
        <f>SUM('31:16'!N38)</f>
        <v>0</v>
      </c>
      <c r="O38" s="93">
        <f>SUM('31:16'!O38)</f>
        <v>0</v>
      </c>
      <c r="P38" s="93">
        <f>SUM('31:16'!P38)</f>
        <v>0</v>
      </c>
      <c r="Q38" s="93">
        <f>SUM('31:16'!Q38)</f>
        <v>0</v>
      </c>
      <c r="R38" s="93">
        <f>SUM('31:16'!R38)</f>
        <v>0</v>
      </c>
      <c r="S38" s="93">
        <f>SUM('31:16'!S38)</f>
        <v>0</v>
      </c>
      <c r="T38" s="93">
        <f>SUM('31:16'!T38)</f>
        <v>0</v>
      </c>
      <c r="U38" s="93">
        <f>SUM('31:16'!U38)</f>
        <v>0</v>
      </c>
      <c r="V38" s="206">
        <f t="shared" si="18"/>
        <v>0</v>
      </c>
      <c r="W38" s="33">
        <f t="shared" si="19"/>
        <v>0</v>
      </c>
      <c r="X38" s="93">
        <f>SUM('31:16'!X38)</f>
        <v>0</v>
      </c>
      <c r="Y38" s="93">
        <f>SUM('31:16'!Y38)</f>
        <v>0</v>
      </c>
      <c r="Z38" s="93">
        <f>SUM('31:16'!Z38)</f>
        <v>0</v>
      </c>
      <c r="AA38" s="93">
        <f>SUM('31:16'!AA38)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SUM('31:16'!G39)</f>
        <v>0</v>
      </c>
      <c r="H39" s="339">
        <f t="shared" si="10"/>
        <v>0</v>
      </c>
      <c r="I39" s="93">
        <f>SUM('31:16'!I39)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SUM('31:16'!N39)</f>
        <v>0</v>
      </c>
      <c r="O39" s="93">
        <f>SUM('31:16'!O39)</f>
        <v>0</v>
      </c>
      <c r="P39" s="93">
        <f>SUM('31:16'!P39)</f>
        <v>0</v>
      </c>
      <c r="Q39" s="93">
        <f>SUM('31:16'!Q39)</f>
        <v>0</v>
      </c>
      <c r="R39" s="93">
        <f>SUM('31:16'!R39)</f>
        <v>0</v>
      </c>
      <c r="S39" s="93">
        <f>SUM('31:16'!S39)</f>
        <v>0</v>
      </c>
      <c r="T39" s="93">
        <f>SUM('31:16'!T39)</f>
        <v>0</v>
      </c>
      <c r="U39" s="93">
        <f>SUM('31:16'!U39)</f>
        <v>0</v>
      </c>
      <c r="V39" s="206">
        <f t="shared" si="18"/>
        <v>0</v>
      </c>
      <c r="W39" s="33" t="str">
        <f t="shared" si="19"/>
        <v/>
      </c>
      <c r="X39" s="93">
        <f>SUM('31:16'!X39)</f>
        <v>0</v>
      </c>
      <c r="Y39" s="93">
        <f>SUM('31:16'!Y39)</f>
        <v>0</v>
      </c>
      <c r="Z39" s="93">
        <f>SUM('31:16'!Z39)</f>
        <v>0</v>
      </c>
      <c r="AA39" s="93">
        <f>SUM('31:16'!AA39)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SUM('31:16'!G40)</f>
        <v>1908</v>
      </c>
      <c r="H40" s="339">
        <f t="shared" si="10"/>
        <v>9692.64</v>
      </c>
      <c r="I40" s="93">
        <f>SUM('31:16'!I40)</f>
        <v>76.5</v>
      </c>
      <c r="J40" s="31">
        <f t="array" ref="J40">IF(ISERROR(G40/I40),"",G40/I40)</f>
        <v>24.941176470588236</v>
      </c>
      <c r="K40" s="35">
        <f t="array" ref="K40">IF(ISERROR(G40/L40),"",G40/L40)</f>
        <v>90.857142857142861</v>
      </c>
      <c r="L40" s="87">
        <v>21</v>
      </c>
      <c r="M40" s="36">
        <f t="shared" si="17"/>
        <v>-14.357142857142861</v>
      </c>
      <c r="N40" s="93">
        <f>SUM('31:16'!N40)</f>
        <v>0</v>
      </c>
      <c r="O40" s="93">
        <f>SUM('31:16'!O40)</f>
        <v>0</v>
      </c>
      <c r="P40" s="93">
        <f>SUM('31:16'!P40)</f>
        <v>0</v>
      </c>
      <c r="Q40" s="93">
        <f>SUM('31:16'!Q40)</f>
        <v>0</v>
      </c>
      <c r="R40" s="93">
        <f>SUM('31:16'!R40)</f>
        <v>0</v>
      </c>
      <c r="S40" s="93">
        <f>SUM('31:16'!S40)</f>
        <v>0</v>
      </c>
      <c r="T40" s="93">
        <f>SUM('31:16'!T40)</f>
        <v>0</v>
      </c>
      <c r="U40" s="93">
        <f>SUM('31:16'!U40)</f>
        <v>0</v>
      </c>
      <c r="V40" s="206">
        <f t="shared" si="18"/>
        <v>0</v>
      </c>
      <c r="W40" s="33">
        <f t="shared" si="19"/>
        <v>0</v>
      </c>
      <c r="X40" s="93">
        <f>SUM('31:16'!X40)</f>
        <v>0</v>
      </c>
      <c r="Y40" s="93">
        <f>SUM('31:16'!Y40)</f>
        <v>0</v>
      </c>
      <c r="Z40" s="93">
        <f>SUM('31:16'!Z40)</f>
        <v>0</v>
      </c>
      <c r="AA40" s="93">
        <f>SUM('31:16'!AA40)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SUM('31:16'!G41)</f>
        <v>1688</v>
      </c>
      <c r="H41" s="339">
        <f t="shared" si="10"/>
        <v>8575.0400000000009</v>
      </c>
      <c r="I41" s="93">
        <f>SUM('31:16'!I41)</f>
        <v>72.5</v>
      </c>
      <c r="J41" s="31">
        <f t="array" ref="J41">IF(ISERROR(G41/I41),"",G41/I41)</f>
        <v>23.282758620689656</v>
      </c>
      <c r="K41" s="35">
        <f t="array" ref="K41">IF(ISERROR(G41/L41),"",G41/L41)</f>
        <v>80.38095238095238</v>
      </c>
      <c r="L41" s="87">
        <v>21</v>
      </c>
      <c r="M41" s="36">
        <f t="shared" si="17"/>
        <v>-7.8809523809523796</v>
      </c>
      <c r="N41" s="93">
        <f>SUM('31:16'!N41)</f>
        <v>0</v>
      </c>
      <c r="O41" s="93">
        <f>SUM('31:16'!O41)</f>
        <v>0</v>
      </c>
      <c r="P41" s="93">
        <f>SUM('31:16'!P41)</f>
        <v>0</v>
      </c>
      <c r="Q41" s="93">
        <f>SUM('31:16'!Q41)</f>
        <v>0</v>
      </c>
      <c r="R41" s="93">
        <f>SUM('31:16'!R41)</f>
        <v>0</v>
      </c>
      <c r="S41" s="93">
        <f>SUM('31:16'!S41)</f>
        <v>0</v>
      </c>
      <c r="T41" s="93">
        <f>SUM('31:16'!T41)</f>
        <v>0</v>
      </c>
      <c r="U41" s="93">
        <f>SUM('31:16'!U41)</f>
        <v>0</v>
      </c>
      <c r="V41" s="206">
        <f t="shared" si="18"/>
        <v>0</v>
      </c>
      <c r="W41" s="33">
        <f t="shared" si="19"/>
        <v>0</v>
      </c>
      <c r="X41" s="93">
        <f>SUM('31:16'!X41)</f>
        <v>0</v>
      </c>
      <c r="Y41" s="93">
        <f>SUM('31:16'!Y41)</f>
        <v>0</v>
      </c>
      <c r="Z41" s="93">
        <f>SUM('31:16'!Z41)</f>
        <v>0</v>
      </c>
      <c r="AA41" s="93">
        <f>SUM('31:16'!AA41)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SUM('31:16'!G42)</f>
        <v>1519</v>
      </c>
      <c r="H42" s="339">
        <f t="shared" si="10"/>
        <v>7716.52</v>
      </c>
      <c r="I42" s="93">
        <f>SUM('31:16'!I42)</f>
        <v>66</v>
      </c>
      <c r="J42" s="31">
        <f t="array" ref="J42">IF(ISERROR(G42/I42),"",G42/I42)</f>
        <v>23.015151515151516</v>
      </c>
      <c r="K42" s="35">
        <f t="array" ref="K42">IF(ISERROR(G42/L42),"",G42/L42)</f>
        <v>72.333333333333329</v>
      </c>
      <c r="L42" s="87">
        <v>21</v>
      </c>
      <c r="M42" s="36">
        <f t="shared" si="17"/>
        <v>-6.3333333333333286</v>
      </c>
      <c r="N42" s="93">
        <f>SUM('31:16'!N42)</f>
        <v>0</v>
      </c>
      <c r="O42" s="93">
        <f>SUM('31:16'!O42)</f>
        <v>0</v>
      </c>
      <c r="P42" s="93">
        <f>SUM('31:16'!P42)</f>
        <v>0</v>
      </c>
      <c r="Q42" s="93">
        <f>SUM('31:16'!Q42)</f>
        <v>0</v>
      </c>
      <c r="R42" s="93">
        <f>SUM('31:16'!R42)</f>
        <v>0</v>
      </c>
      <c r="S42" s="93">
        <f>SUM('31:16'!S42)</f>
        <v>0</v>
      </c>
      <c r="T42" s="93">
        <f>SUM('31:16'!T42)</f>
        <v>0</v>
      </c>
      <c r="U42" s="93">
        <f>SUM('31:16'!U42)</f>
        <v>0</v>
      </c>
      <c r="V42" s="206">
        <f t="shared" si="18"/>
        <v>0</v>
      </c>
      <c r="W42" s="33">
        <f t="shared" si="19"/>
        <v>0</v>
      </c>
      <c r="X42" s="93">
        <f>SUM('31:16'!X42)</f>
        <v>0</v>
      </c>
      <c r="Y42" s="93">
        <f>SUM('31:16'!Y42)</f>
        <v>0</v>
      </c>
      <c r="Z42" s="93">
        <f>SUM('31:16'!Z42)</f>
        <v>0</v>
      </c>
      <c r="AA42" s="93">
        <f>SUM('31:16'!AA42)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SUM('31:16'!G43)</f>
        <v>0</v>
      </c>
      <c r="H43" s="339">
        <f t="shared" si="10"/>
        <v>0</v>
      </c>
      <c r="I43" s="93">
        <f>SUM('31:16'!I43)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SUM('31:16'!N43)</f>
        <v>0</v>
      </c>
      <c r="O43" s="93">
        <f>SUM('31:16'!O43)</f>
        <v>0</v>
      </c>
      <c r="P43" s="93">
        <f>SUM('31:16'!P43)</f>
        <v>0</v>
      </c>
      <c r="Q43" s="93">
        <f>SUM('31:16'!Q43)</f>
        <v>0</v>
      </c>
      <c r="R43" s="93">
        <f>SUM('31:16'!R43)</f>
        <v>0</v>
      </c>
      <c r="S43" s="93">
        <f>SUM('31:16'!S43)</f>
        <v>0</v>
      </c>
      <c r="T43" s="93">
        <f>SUM('31:16'!T43)</f>
        <v>0</v>
      </c>
      <c r="U43" s="93">
        <f>SUM('31:16'!U43)</f>
        <v>0</v>
      </c>
      <c r="V43" s="206">
        <f t="shared" si="18"/>
        <v>0</v>
      </c>
      <c r="W43" s="33" t="str">
        <f t="shared" si="19"/>
        <v/>
      </c>
      <c r="X43" s="93">
        <f>SUM('31:16'!X43)</f>
        <v>0</v>
      </c>
      <c r="Y43" s="93">
        <f>SUM('31:16'!Y43)</f>
        <v>0</v>
      </c>
      <c r="Z43" s="93">
        <f>SUM('31:16'!Z43)</f>
        <v>0</v>
      </c>
      <c r="AA43" s="93">
        <f>SUM('31:16'!AA43)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SUM('31:16'!G44)</f>
        <v>1685</v>
      </c>
      <c r="H44" s="339">
        <f t="shared" si="10"/>
        <v>8559.7999999999993</v>
      </c>
      <c r="I44" s="93">
        <f>SUM('31:16'!I44)</f>
        <v>79.5</v>
      </c>
      <c r="J44" s="31">
        <f t="array" ref="J44">IF(ISERROR(G44/I44),"",G44/I44)</f>
        <v>21.19496855345912</v>
      </c>
      <c r="K44" s="35">
        <f t="array" ref="K44">IF(ISERROR(G44/L44),"",G44/L44)</f>
        <v>80.238095238095241</v>
      </c>
      <c r="L44" s="87">
        <v>21</v>
      </c>
      <c r="M44" s="36">
        <f t="shared" si="17"/>
        <v>-0.7380952380952408</v>
      </c>
      <c r="N44" s="93">
        <f>SUM('31:16'!N44)</f>
        <v>0</v>
      </c>
      <c r="O44" s="93">
        <f>SUM('31:16'!O44)</f>
        <v>0</v>
      </c>
      <c r="P44" s="93">
        <f>SUM('31:16'!P44)</f>
        <v>0</v>
      </c>
      <c r="Q44" s="93">
        <f>SUM('31:16'!Q44)</f>
        <v>0</v>
      </c>
      <c r="R44" s="93">
        <f>SUM('31:16'!R44)</f>
        <v>0</v>
      </c>
      <c r="S44" s="93">
        <f>SUM('31:16'!S44)</f>
        <v>0</v>
      </c>
      <c r="T44" s="93">
        <f>SUM('31:16'!T44)</f>
        <v>0</v>
      </c>
      <c r="U44" s="93">
        <f>SUM('31:16'!U44)</f>
        <v>0</v>
      </c>
      <c r="V44" s="206">
        <f t="shared" si="18"/>
        <v>0</v>
      </c>
      <c r="W44" s="33">
        <f t="shared" si="19"/>
        <v>0</v>
      </c>
      <c r="X44" s="93">
        <f>SUM('31:16'!X44)</f>
        <v>0</v>
      </c>
      <c r="Y44" s="93">
        <f>SUM('31:16'!Y44)</f>
        <v>0</v>
      </c>
      <c r="Z44" s="93">
        <f>SUM('31:16'!Z44)</f>
        <v>0</v>
      </c>
      <c r="AA44" s="93">
        <f>SUM('31:16'!AA44)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SUM('31:16'!G45)</f>
        <v>1204</v>
      </c>
      <c r="H45" s="339">
        <f t="shared" si="10"/>
        <v>6056.12</v>
      </c>
      <c r="I45" s="93">
        <f>SUM('31:16'!I45)</f>
        <v>20.02</v>
      </c>
      <c r="J45" s="31">
        <f t="array" ref="J45">IF(ISERROR(G45/I45),"",G45/I45)</f>
        <v>60.13986013986014</v>
      </c>
      <c r="K45" s="35">
        <f t="array" ref="K45">IF(ISERROR(G45/L45),"",G45/L45)</f>
        <v>21.5</v>
      </c>
      <c r="L45" s="87">
        <v>56</v>
      </c>
      <c r="M45" s="36">
        <f t="shared" si="17"/>
        <v>-1.4800000000000004</v>
      </c>
      <c r="N45" s="93">
        <f>SUM('31:16'!N45)</f>
        <v>0</v>
      </c>
      <c r="O45" s="93">
        <f>SUM('31:16'!O45)</f>
        <v>0</v>
      </c>
      <c r="P45" s="93">
        <f>SUM('31:16'!P45)</f>
        <v>0</v>
      </c>
      <c r="Q45" s="93">
        <f>SUM('31:16'!Q45)</f>
        <v>0</v>
      </c>
      <c r="R45" s="93">
        <f>SUM('31:16'!R45)</f>
        <v>0</v>
      </c>
      <c r="S45" s="93">
        <f>SUM('31:16'!S45)</f>
        <v>0</v>
      </c>
      <c r="T45" s="93">
        <f>SUM('31:16'!T45)</f>
        <v>0</v>
      </c>
      <c r="U45" s="93">
        <f>SUM('31:16'!U45)</f>
        <v>0</v>
      </c>
      <c r="V45" s="206">
        <f t="shared" si="18"/>
        <v>0</v>
      </c>
      <c r="W45" s="33">
        <f t="shared" si="19"/>
        <v>0</v>
      </c>
      <c r="X45" s="93">
        <f>SUM('31:16'!X45)</f>
        <v>0</v>
      </c>
      <c r="Y45" s="93">
        <f>SUM('31:16'!Y45)</f>
        <v>0</v>
      </c>
      <c r="Z45" s="93">
        <f>SUM('31:16'!Z45)</f>
        <v>0</v>
      </c>
      <c r="AA45" s="93">
        <f>SUM('31:16'!AA45)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SUM('31:16'!G46)</f>
        <v>2406</v>
      </c>
      <c r="H46" s="339">
        <f t="shared" si="10"/>
        <v>12102.18</v>
      </c>
      <c r="I46" s="93">
        <f>SUM('31:16'!I46)</f>
        <v>27.52</v>
      </c>
      <c r="J46" s="31">
        <f t="array" ref="J46">IF(ISERROR(G46/I46),"",G46/I46)</f>
        <v>87.427325581395351</v>
      </c>
      <c r="K46" s="35">
        <f t="array" ref="K46">IF(ISERROR(G46/L46),"",G46/L46)</f>
        <v>42.964285714285715</v>
      </c>
      <c r="L46" s="87">
        <v>56</v>
      </c>
      <c r="M46" s="36">
        <f t="shared" si="17"/>
        <v>-15.444285714285716</v>
      </c>
      <c r="N46" s="93">
        <f>SUM('31:16'!N46)</f>
        <v>0</v>
      </c>
      <c r="O46" s="93">
        <f>SUM('31:16'!O46)</f>
        <v>0</v>
      </c>
      <c r="P46" s="93">
        <f>SUM('31:16'!P46)</f>
        <v>0</v>
      </c>
      <c r="Q46" s="93">
        <f>SUM('31:16'!Q46)</f>
        <v>0</v>
      </c>
      <c r="R46" s="93">
        <f>SUM('31:16'!R46)</f>
        <v>0</v>
      </c>
      <c r="S46" s="93">
        <f>SUM('31:16'!S46)</f>
        <v>0</v>
      </c>
      <c r="T46" s="93">
        <f>SUM('31:16'!T46)</f>
        <v>0</v>
      </c>
      <c r="U46" s="93">
        <f>SUM('31:16'!U46)</f>
        <v>0</v>
      </c>
      <c r="V46" s="206">
        <f t="shared" si="18"/>
        <v>0</v>
      </c>
      <c r="W46" s="33">
        <f t="shared" si="19"/>
        <v>0</v>
      </c>
      <c r="X46" s="93">
        <f>SUM('31:16'!X46)</f>
        <v>0</v>
      </c>
      <c r="Y46" s="93">
        <f>SUM('31:16'!Y46)</f>
        <v>0</v>
      </c>
      <c r="Z46" s="93">
        <f>SUM('31:16'!Z46)</f>
        <v>0</v>
      </c>
      <c r="AA46" s="93">
        <f>SUM('31:16'!AA46)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SUM('31:16'!G47)</f>
        <v>1971</v>
      </c>
      <c r="H47" s="339">
        <f t="shared" si="10"/>
        <v>9914.130000000001</v>
      </c>
      <c r="I47" s="93">
        <f>SUM('31:16'!I47)</f>
        <v>28</v>
      </c>
      <c r="J47" s="31">
        <f t="array" ref="J47">IF(ISERROR(G47/I47),"",G47/I47)</f>
        <v>70.392857142857139</v>
      </c>
      <c r="K47" s="35">
        <f t="array" ref="K47">IF(ISERROR(G47/L47),"",G47/L47)</f>
        <v>35.196428571428569</v>
      </c>
      <c r="L47" s="87">
        <v>56</v>
      </c>
      <c r="M47" s="36">
        <f t="shared" si="17"/>
        <v>-7.1964285714285694</v>
      </c>
      <c r="N47" s="93">
        <f>SUM('31:16'!N47)</f>
        <v>0</v>
      </c>
      <c r="O47" s="93">
        <f>SUM('31:16'!O47)</f>
        <v>0</v>
      </c>
      <c r="P47" s="93">
        <f>SUM('31:16'!P47)</f>
        <v>0</v>
      </c>
      <c r="Q47" s="93">
        <f>SUM('31:16'!Q47)</f>
        <v>0</v>
      </c>
      <c r="R47" s="93">
        <f>SUM('31:16'!R47)</f>
        <v>0</v>
      </c>
      <c r="S47" s="93">
        <f>SUM('31:16'!S47)</f>
        <v>0</v>
      </c>
      <c r="T47" s="93">
        <f>SUM('31:16'!T47)</f>
        <v>0</v>
      </c>
      <c r="U47" s="93">
        <f>SUM('31:16'!U47)</f>
        <v>0</v>
      </c>
      <c r="V47" s="206">
        <f t="shared" si="18"/>
        <v>0</v>
      </c>
      <c r="W47" s="33">
        <f t="shared" si="19"/>
        <v>0</v>
      </c>
      <c r="X47" s="93">
        <f>SUM('31:16'!X47)</f>
        <v>0</v>
      </c>
      <c r="Y47" s="93">
        <f>SUM('31:16'!Y47)</f>
        <v>0</v>
      </c>
      <c r="Z47" s="93">
        <f>SUM('31:16'!Z47)</f>
        <v>0</v>
      </c>
      <c r="AA47" s="93">
        <f>SUM('31:16'!AA47)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SUM('31:16'!G48)</f>
        <v>2257</v>
      </c>
      <c r="H48" s="339">
        <f t="shared" si="10"/>
        <v>11352.710000000001</v>
      </c>
      <c r="I48" s="93">
        <f>SUM('31:16'!I48)</f>
        <v>26.5</v>
      </c>
      <c r="J48" s="31">
        <f t="array" ref="J48">IF(ISERROR(G48/I48),"",G48/I48)</f>
        <v>85.169811320754718</v>
      </c>
      <c r="K48" s="35">
        <f t="array" ref="K48">IF(ISERROR(G48/L48),"",G48/L48)</f>
        <v>40.303571428571431</v>
      </c>
      <c r="L48" s="87">
        <v>56</v>
      </c>
      <c r="M48" s="36">
        <f t="shared" si="17"/>
        <v>-13.803571428571431</v>
      </c>
      <c r="N48" s="93">
        <f>SUM('31:16'!N48)</f>
        <v>0</v>
      </c>
      <c r="O48" s="93">
        <f>SUM('31:16'!O48)</f>
        <v>0</v>
      </c>
      <c r="P48" s="93">
        <f>SUM('31:16'!P48)</f>
        <v>0</v>
      </c>
      <c r="Q48" s="93">
        <f>SUM('31:16'!Q48)</f>
        <v>0</v>
      </c>
      <c r="R48" s="93">
        <f>SUM('31:16'!R48)</f>
        <v>0</v>
      </c>
      <c r="S48" s="93">
        <f>SUM('31:16'!S48)</f>
        <v>0</v>
      </c>
      <c r="T48" s="93">
        <f>SUM('31:16'!T48)</f>
        <v>0</v>
      </c>
      <c r="U48" s="93">
        <f>SUM('31:16'!U48)</f>
        <v>0</v>
      </c>
      <c r="V48" s="206">
        <f t="shared" si="18"/>
        <v>0</v>
      </c>
      <c r="W48" s="33">
        <f t="shared" si="19"/>
        <v>0</v>
      </c>
      <c r="X48" s="93">
        <f>SUM('31:16'!X48)</f>
        <v>0</v>
      </c>
      <c r="Y48" s="93">
        <f>SUM('31:16'!Y48)</f>
        <v>0</v>
      </c>
      <c r="Z48" s="93">
        <f>SUM('31:16'!Z48)</f>
        <v>0</v>
      </c>
      <c r="AA48" s="93">
        <f>SUM('31:16'!AA48)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SUM('31:16'!G49)</f>
        <v>725</v>
      </c>
      <c r="H49" s="339">
        <f t="shared" si="10"/>
        <v>3646.75</v>
      </c>
      <c r="I49" s="93">
        <f>SUM('31:16'!I49)</f>
        <v>14.5</v>
      </c>
      <c r="J49" s="31"/>
      <c r="K49" s="35">
        <f t="array" ref="K49">IF(ISERROR(G49/L49),"",G49/L49)</f>
        <v>13.425925925925926</v>
      </c>
      <c r="L49" s="87">
        <v>54</v>
      </c>
      <c r="M49" s="36">
        <f t="shared" si="17"/>
        <v>1.0740740740740744</v>
      </c>
      <c r="N49" s="93">
        <f>SUM('31:16'!N49)</f>
        <v>0</v>
      </c>
      <c r="O49" s="93">
        <f>SUM('31:16'!O49)</f>
        <v>0</v>
      </c>
      <c r="P49" s="93">
        <f>SUM('31:16'!P49)</f>
        <v>0</v>
      </c>
      <c r="Q49" s="93">
        <f>SUM('31:16'!Q49)</f>
        <v>0</v>
      </c>
      <c r="R49" s="93">
        <f>SUM('31:16'!R49)</f>
        <v>0</v>
      </c>
      <c r="S49" s="93">
        <f>SUM('31:16'!S49)</f>
        <v>0</v>
      </c>
      <c r="T49" s="93">
        <f>SUM('31:16'!T49)</f>
        <v>0</v>
      </c>
      <c r="U49" s="93">
        <f>SUM('31:16'!U49)</f>
        <v>0</v>
      </c>
      <c r="V49" s="206"/>
      <c r="W49" s="33"/>
      <c r="X49" s="93">
        <f>SUM('31:16'!X49)</f>
        <v>0</v>
      </c>
      <c r="Y49" s="93">
        <f>SUM('31:16'!Y49)</f>
        <v>0</v>
      </c>
      <c r="Z49" s="93">
        <f>SUM('31:16'!Z49)</f>
        <v>0</v>
      </c>
      <c r="AA49" s="93">
        <f>SUM('31:16'!AA49)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SUM('31:16'!G50)</f>
        <v>621</v>
      </c>
      <c r="H50" s="339">
        <f t="shared" si="10"/>
        <v>3123.63</v>
      </c>
      <c r="I50" s="93">
        <f>SUM('31:16'!I50)</f>
        <v>10.5</v>
      </c>
      <c r="J50" s="31"/>
      <c r="K50" s="35">
        <f t="array" ref="K50">IF(ISERROR(G50/L50),"",G50/L50)</f>
        <v>11.5</v>
      </c>
      <c r="L50" s="87">
        <v>54</v>
      </c>
      <c r="M50" s="36">
        <f t="shared" si="17"/>
        <v>-1</v>
      </c>
      <c r="N50" s="93">
        <f>SUM('31:16'!N50)</f>
        <v>0</v>
      </c>
      <c r="O50" s="93">
        <f>SUM('31:16'!O50)</f>
        <v>0</v>
      </c>
      <c r="P50" s="93">
        <f>SUM('31:16'!P50)</f>
        <v>0</v>
      </c>
      <c r="Q50" s="93">
        <f>SUM('31:16'!Q50)</f>
        <v>0</v>
      </c>
      <c r="R50" s="93">
        <f>SUM('31:16'!R50)</f>
        <v>0</v>
      </c>
      <c r="S50" s="93">
        <f>SUM('31:16'!S50)</f>
        <v>0</v>
      </c>
      <c r="T50" s="93">
        <f>SUM('31:16'!T50)</f>
        <v>0</v>
      </c>
      <c r="U50" s="93">
        <f>SUM('31:16'!U50)</f>
        <v>0</v>
      </c>
      <c r="V50" s="206"/>
      <c r="W50" s="33"/>
      <c r="X50" s="93">
        <f>SUM('31:16'!X50)</f>
        <v>0</v>
      </c>
      <c r="Y50" s="93">
        <f>SUM('31:16'!Y50)</f>
        <v>0</v>
      </c>
      <c r="Z50" s="93">
        <f>SUM('31:16'!Z50)</f>
        <v>0</v>
      </c>
      <c r="AA50" s="93">
        <f>SUM('31:16'!AA50)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SUM('31:16'!G51)</f>
        <v>617</v>
      </c>
      <c r="H51" s="339">
        <f t="shared" si="10"/>
        <v>3103.51</v>
      </c>
      <c r="I51" s="93">
        <f>SUM('31:16'!I51)</f>
        <v>11</v>
      </c>
      <c r="J51" s="31"/>
      <c r="K51" s="35">
        <f t="array" ref="K51">IF(ISERROR(G51/L51),"",G51/L51)</f>
        <v>11.425925925925926</v>
      </c>
      <c r="L51" s="87">
        <v>54</v>
      </c>
      <c r="M51" s="36">
        <f t="shared" si="17"/>
        <v>-0.4259259259259256</v>
      </c>
      <c r="N51" s="93">
        <f>SUM('31:16'!N51)</f>
        <v>0</v>
      </c>
      <c r="O51" s="93">
        <f>SUM('31:16'!O51)</f>
        <v>0</v>
      </c>
      <c r="P51" s="93">
        <f>SUM('31:16'!P51)</f>
        <v>0</v>
      </c>
      <c r="Q51" s="93">
        <f>SUM('31:16'!Q51)</f>
        <v>0</v>
      </c>
      <c r="R51" s="93">
        <f>SUM('31:16'!R51)</f>
        <v>0</v>
      </c>
      <c r="S51" s="93">
        <f>SUM('31:16'!S51)</f>
        <v>0</v>
      </c>
      <c r="T51" s="93">
        <f>SUM('31:16'!T51)</f>
        <v>0</v>
      </c>
      <c r="U51" s="93">
        <f>SUM('31:16'!U51)</f>
        <v>0</v>
      </c>
      <c r="V51" s="206"/>
      <c r="W51" s="33"/>
      <c r="X51" s="93">
        <f>SUM('31:16'!X51)</f>
        <v>0</v>
      </c>
      <c r="Y51" s="93">
        <f>SUM('31:16'!Y51)</f>
        <v>0</v>
      </c>
      <c r="Z51" s="93">
        <f>SUM('31:16'!Z51)</f>
        <v>0</v>
      </c>
      <c r="AA51" s="93">
        <f>SUM('31:16'!AA51)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SUM('31:16'!G52)</f>
        <v>647</v>
      </c>
      <c r="H52" s="339">
        <f t="shared" si="10"/>
        <v>3254.4100000000003</v>
      </c>
      <c r="I52" s="93">
        <f>SUM('31:16'!I52)</f>
        <v>10.5</v>
      </c>
      <c r="J52" s="31"/>
      <c r="K52" s="35">
        <f t="array" ref="K52">IF(ISERROR(G52/L52),"",G52/L52)</f>
        <v>11.981481481481481</v>
      </c>
      <c r="L52" s="87">
        <v>54</v>
      </c>
      <c r="M52" s="36">
        <f t="shared" si="17"/>
        <v>-1.481481481481481</v>
      </c>
      <c r="N52" s="93">
        <f>SUM('31:16'!N52)</f>
        <v>0</v>
      </c>
      <c r="O52" s="93">
        <f>SUM('31:16'!O52)</f>
        <v>0</v>
      </c>
      <c r="P52" s="93">
        <f>SUM('31:16'!P52)</f>
        <v>0</v>
      </c>
      <c r="Q52" s="93">
        <f>SUM('31:16'!Q52)</f>
        <v>0</v>
      </c>
      <c r="R52" s="93">
        <f>SUM('31:16'!R52)</f>
        <v>0</v>
      </c>
      <c r="S52" s="93">
        <f>SUM('31:16'!S52)</f>
        <v>0</v>
      </c>
      <c r="T52" s="93">
        <f>SUM('31:16'!T52)</f>
        <v>0</v>
      </c>
      <c r="U52" s="93">
        <f>SUM('31:16'!U52)</f>
        <v>0</v>
      </c>
      <c r="V52" s="206"/>
      <c r="W52" s="33"/>
      <c r="X52" s="93">
        <f>SUM('31:16'!X52)</f>
        <v>0</v>
      </c>
      <c r="Y52" s="93">
        <f>SUM('31:16'!Y52)</f>
        <v>0</v>
      </c>
      <c r="Z52" s="93">
        <f>SUM('31:16'!Z52)</f>
        <v>0</v>
      </c>
      <c r="AA52" s="93">
        <f>SUM('31:16'!AA52)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SUM('31:16'!G53)</f>
        <v>0</v>
      </c>
      <c r="H53" s="339">
        <f t="shared" si="10"/>
        <v>0</v>
      </c>
      <c r="I53" s="93">
        <f>SUM('31:16'!I53)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SUM('31:16'!N53)</f>
        <v>0</v>
      </c>
      <c r="O53" s="93">
        <f>SUM('31:16'!O53)</f>
        <v>0</v>
      </c>
      <c r="P53" s="93">
        <f>SUM('31:16'!P53)</f>
        <v>0</v>
      </c>
      <c r="Q53" s="93">
        <f>SUM('31:16'!Q53)</f>
        <v>0</v>
      </c>
      <c r="R53" s="93">
        <f>SUM('31:16'!R53)</f>
        <v>0</v>
      </c>
      <c r="S53" s="93">
        <f>SUM('31:16'!S53)</f>
        <v>0</v>
      </c>
      <c r="T53" s="93">
        <f>SUM('31:16'!T53)</f>
        <v>0</v>
      </c>
      <c r="U53" s="93">
        <f>SUM('31:16'!U53)</f>
        <v>0</v>
      </c>
      <c r="V53" s="206"/>
      <c r="W53" s="33"/>
      <c r="X53" s="93">
        <f>SUM('31:16'!X53)</f>
        <v>0</v>
      </c>
      <c r="Y53" s="93">
        <f>SUM('31:16'!Y53)</f>
        <v>0</v>
      </c>
      <c r="Z53" s="93">
        <f>SUM('31:16'!Z53)</f>
        <v>0</v>
      </c>
      <c r="AA53" s="93">
        <f>SUM('31:16'!AA53)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SUM('31:16'!G54)</f>
        <v>0</v>
      </c>
      <c r="H54" s="339">
        <f t="shared" si="10"/>
        <v>0</v>
      </c>
      <c r="I54" s="93">
        <f>SUM('31:16'!I54)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SUM('31:16'!N54)</f>
        <v>0</v>
      </c>
      <c r="O54" s="93">
        <f>SUM('31:16'!O54)</f>
        <v>0</v>
      </c>
      <c r="P54" s="93">
        <f>SUM('31:16'!P54)</f>
        <v>0</v>
      </c>
      <c r="Q54" s="93">
        <f>SUM('31:16'!Q54)</f>
        <v>0</v>
      </c>
      <c r="R54" s="93">
        <f>SUM('31:16'!R54)</f>
        <v>0</v>
      </c>
      <c r="S54" s="93">
        <f>SUM('31:16'!S54)</f>
        <v>0</v>
      </c>
      <c r="T54" s="93">
        <f>SUM('31:16'!T54)</f>
        <v>0</v>
      </c>
      <c r="U54" s="93">
        <f>SUM('31:16'!U54)</f>
        <v>0</v>
      </c>
      <c r="V54" s="206"/>
      <c r="W54" s="33"/>
      <c r="X54" s="93">
        <f>SUM('31:16'!X54)</f>
        <v>0</v>
      </c>
      <c r="Y54" s="93">
        <f>SUM('31:16'!Y54)</f>
        <v>0</v>
      </c>
      <c r="Z54" s="93">
        <f>SUM('31:16'!Z54)</f>
        <v>0</v>
      </c>
      <c r="AA54" s="93">
        <f>SUM('31:16'!AA54)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SUM('31:16'!G55)</f>
        <v>0</v>
      </c>
      <c r="H55" s="339">
        <f t="shared" si="10"/>
        <v>0</v>
      </c>
      <c r="I55" s="93">
        <f>SUM('31:16'!I55)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SUM('31:16'!N55)</f>
        <v>0</v>
      </c>
      <c r="O55" s="93">
        <f>SUM('31:16'!O55)</f>
        <v>0</v>
      </c>
      <c r="P55" s="93">
        <f>SUM('31:16'!P55)</f>
        <v>0</v>
      </c>
      <c r="Q55" s="93">
        <f>SUM('31:16'!Q55)</f>
        <v>0</v>
      </c>
      <c r="R55" s="93">
        <f>SUM('31:16'!R55)</f>
        <v>0</v>
      </c>
      <c r="S55" s="93">
        <f>SUM('31:16'!S55)</f>
        <v>0</v>
      </c>
      <c r="T55" s="93">
        <f>SUM('31:16'!T55)</f>
        <v>0</v>
      </c>
      <c r="U55" s="93">
        <f>SUM('31:16'!U55)</f>
        <v>0</v>
      </c>
      <c r="V55" s="206"/>
      <c r="W55" s="33"/>
      <c r="X55" s="93">
        <f>SUM('31:16'!X55)</f>
        <v>0</v>
      </c>
      <c r="Y55" s="93">
        <f>SUM('31:16'!Y55)</f>
        <v>0</v>
      </c>
      <c r="Z55" s="93">
        <f>SUM('31:16'!Z55)</f>
        <v>0</v>
      </c>
      <c r="AA55" s="93">
        <f>SUM('31:16'!AA55)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SUM('31:16'!G56)</f>
        <v>0</v>
      </c>
      <c r="H56" s="339">
        <f t="shared" si="10"/>
        <v>0</v>
      </c>
      <c r="I56" s="93">
        <f>SUM('31:16'!I56)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SUM('31:16'!N56)</f>
        <v>0</v>
      </c>
      <c r="O56" s="93">
        <f>SUM('31:16'!O56)</f>
        <v>0</v>
      </c>
      <c r="P56" s="93">
        <f>SUM('31:16'!P56)</f>
        <v>0</v>
      </c>
      <c r="Q56" s="93">
        <f>SUM('31:16'!Q56)</f>
        <v>0</v>
      </c>
      <c r="R56" s="93">
        <f>SUM('31:16'!R56)</f>
        <v>0</v>
      </c>
      <c r="S56" s="93">
        <f>SUM('31:16'!S56)</f>
        <v>0</v>
      </c>
      <c r="T56" s="93">
        <f>SUM('31:16'!T56)</f>
        <v>0</v>
      </c>
      <c r="U56" s="93">
        <f>SUM('31:16'!U56)</f>
        <v>0</v>
      </c>
      <c r="V56" s="206"/>
      <c r="W56" s="33"/>
      <c r="X56" s="93">
        <f>SUM('31:16'!X56)</f>
        <v>0</v>
      </c>
      <c r="Y56" s="93">
        <f>SUM('31:16'!Y56)</f>
        <v>0</v>
      </c>
      <c r="Z56" s="93">
        <f>SUM('31:16'!Z56)</f>
        <v>0</v>
      </c>
      <c r="AA56" s="93">
        <f>SUM('31:16'!AA56)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SUM('31:16'!G57)</f>
        <v>375</v>
      </c>
      <c r="H57" s="339">
        <f t="shared" si="10"/>
        <v>1886.25</v>
      </c>
      <c r="I57" s="93">
        <f>SUM('31:16'!I57)</f>
        <v>9.0299999999999994</v>
      </c>
      <c r="J57" s="31">
        <f t="array" ref="J57">IF(ISERROR(G57/I57),"",G57/I57)</f>
        <v>41.528239202657808</v>
      </c>
      <c r="K57" s="35">
        <f t="array" ref="K57">IF(ISERROR(G57/L57),"",G57/L57)</f>
        <v>9.375</v>
      </c>
      <c r="L57" s="87">
        <v>40</v>
      </c>
      <c r="M57" s="36">
        <f t="shared" si="17"/>
        <v>-0.34500000000000064</v>
      </c>
      <c r="N57" s="93">
        <f>SUM('31:16'!N57)</f>
        <v>0</v>
      </c>
      <c r="O57" s="93">
        <f>SUM('31:16'!O57)</f>
        <v>0</v>
      </c>
      <c r="P57" s="93">
        <f>SUM('31:16'!P57)</f>
        <v>0</v>
      </c>
      <c r="Q57" s="93">
        <f>SUM('31:16'!Q57)</f>
        <v>0</v>
      </c>
      <c r="R57" s="93">
        <f>SUM('31:16'!R57)</f>
        <v>0</v>
      </c>
      <c r="S57" s="93">
        <f>SUM('31:16'!S57)</f>
        <v>0</v>
      </c>
      <c r="T57" s="93">
        <f>SUM('31:16'!T57)</f>
        <v>0</v>
      </c>
      <c r="U57" s="93">
        <f>SUM('31:16'!U57)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SUM('31:16'!X57)</f>
        <v>0</v>
      </c>
      <c r="Y57" s="93">
        <f>SUM('31:16'!Y57)</f>
        <v>0</v>
      </c>
      <c r="Z57" s="93">
        <f>SUM('31:16'!Z57)</f>
        <v>0</v>
      </c>
      <c r="AA57" s="93">
        <f>SUM('31:16'!AA57)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SUM('31:16'!G58)</f>
        <v>396</v>
      </c>
      <c r="H58" s="339">
        <f t="shared" si="10"/>
        <v>1991.88</v>
      </c>
      <c r="I58" s="93">
        <f>SUM('31:16'!I58)</f>
        <v>14.5</v>
      </c>
      <c r="J58" s="31">
        <f t="array" ref="J58">IF(ISERROR(G58/I58),"",G58/I58)</f>
        <v>27.310344827586206</v>
      </c>
      <c r="K58" s="35">
        <f t="array" ref="K58">IF(ISERROR(G58/L58),"",G58/L58)</f>
        <v>9.9</v>
      </c>
      <c r="L58" s="87">
        <v>40</v>
      </c>
      <c r="M58" s="36">
        <f t="shared" si="17"/>
        <v>4.5999999999999996</v>
      </c>
      <c r="N58" s="93">
        <f>SUM('31:16'!N58)</f>
        <v>0</v>
      </c>
      <c r="O58" s="93">
        <f>SUM('31:16'!O58)</f>
        <v>0</v>
      </c>
      <c r="P58" s="93">
        <f>SUM('31:16'!P58)</f>
        <v>0</v>
      </c>
      <c r="Q58" s="93">
        <f>SUM('31:16'!Q58)</f>
        <v>0</v>
      </c>
      <c r="R58" s="93">
        <f>SUM('31:16'!R58)</f>
        <v>0</v>
      </c>
      <c r="S58" s="93">
        <f>SUM('31:16'!S58)</f>
        <v>0</v>
      </c>
      <c r="T58" s="93">
        <f>SUM('31:16'!T58)</f>
        <v>0</v>
      </c>
      <c r="U58" s="93">
        <f>SUM('31:16'!U58)</f>
        <v>0</v>
      </c>
      <c r="V58" s="206">
        <f t="shared" si="20"/>
        <v>0</v>
      </c>
      <c r="W58" s="33">
        <f t="shared" si="21"/>
        <v>0</v>
      </c>
      <c r="X58" s="93">
        <f>SUM('31:16'!X58)</f>
        <v>0</v>
      </c>
      <c r="Y58" s="93">
        <f>SUM('31:16'!Y58)</f>
        <v>0</v>
      </c>
      <c r="Z58" s="93">
        <f>SUM('31:16'!Z58)</f>
        <v>0</v>
      </c>
      <c r="AA58" s="93">
        <f>SUM('31:16'!AA58)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SUM('31:16'!G59)</f>
        <v>720</v>
      </c>
      <c r="H59" s="339">
        <f t="shared" si="10"/>
        <v>3621.6000000000004</v>
      </c>
      <c r="I59" s="93">
        <f>SUM('31:16'!I59)</f>
        <v>43</v>
      </c>
      <c r="J59" s="31">
        <f t="array" ref="J59">IF(ISERROR(G59/I59),"",G59/I59)</f>
        <v>16.744186046511629</v>
      </c>
      <c r="K59" s="35">
        <f t="array" ref="K59">IF(ISERROR(G59/L59),"",G59/L59)</f>
        <v>18</v>
      </c>
      <c r="L59" s="87">
        <v>40</v>
      </c>
      <c r="M59" s="36">
        <f t="shared" si="17"/>
        <v>25</v>
      </c>
      <c r="N59" s="93">
        <f>SUM('31:16'!N59)</f>
        <v>0</v>
      </c>
      <c r="O59" s="93">
        <f>SUM('31:16'!O59)</f>
        <v>0</v>
      </c>
      <c r="P59" s="93">
        <f>SUM('31:16'!P59)</f>
        <v>0</v>
      </c>
      <c r="Q59" s="93">
        <f>SUM('31:16'!Q59)</f>
        <v>0</v>
      </c>
      <c r="R59" s="93">
        <f>SUM('31:16'!R59)</f>
        <v>0</v>
      </c>
      <c r="S59" s="93">
        <f>SUM('31:16'!S59)</f>
        <v>0</v>
      </c>
      <c r="T59" s="93">
        <f>SUM('31:16'!T59)</f>
        <v>0</v>
      </c>
      <c r="U59" s="93">
        <f>SUM('31:16'!U59)</f>
        <v>0</v>
      </c>
      <c r="V59" s="206">
        <f t="shared" si="20"/>
        <v>0</v>
      </c>
      <c r="W59" s="33">
        <f t="shared" si="21"/>
        <v>0</v>
      </c>
      <c r="X59" s="93">
        <f>SUM('31:16'!X59)</f>
        <v>0</v>
      </c>
      <c r="Y59" s="93">
        <f>SUM('31:16'!Y59)</f>
        <v>0</v>
      </c>
      <c r="Z59" s="93">
        <f>SUM('31:16'!Z59)</f>
        <v>0</v>
      </c>
      <c r="AA59" s="93">
        <f>SUM('31:16'!AA59)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SUM('31:16'!G60)</f>
        <v>0</v>
      </c>
      <c r="H60" s="339">
        <f t="shared" si="10"/>
        <v>0</v>
      </c>
      <c r="I60" s="93">
        <f>SUM('31:16'!I60)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SUM('31:16'!N60)</f>
        <v>0</v>
      </c>
      <c r="O60" s="93">
        <f>SUM('31:16'!O60)</f>
        <v>0</v>
      </c>
      <c r="P60" s="93">
        <f>SUM('31:16'!P60)</f>
        <v>0</v>
      </c>
      <c r="Q60" s="93">
        <f>SUM('31:16'!Q60)</f>
        <v>0</v>
      </c>
      <c r="R60" s="93">
        <f>SUM('31:16'!R60)</f>
        <v>0</v>
      </c>
      <c r="S60" s="93">
        <f>SUM('31:16'!S60)</f>
        <v>0</v>
      </c>
      <c r="T60" s="93">
        <f>SUM('31:16'!T60)</f>
        <v>0</v>
      </c>
      <c r="U60" s="93">
        <f>SUM('31:16'!U60)</f>
        <v>0</v>
      </c>
      <c r="V60" s="206">
        <f t="shared" si="20"/>
        <v>0</v>
      </c>
      <c r="W60" s="33" t="str">
        <f t="shared" si="21"/>
        <v/>
      </c>
      <c r="X60" s="93">
        <f>SUM('31:16'!X60)</f>
        <v>0</v>
      </c>
      <c r="Y60" s="93">
        <f>SUM('31:16'!Y60)</f>
        <v>0</v>
      </c>
      <c r="Z60" s="93">
        <f>SUM('31:16'!Z60)</f>
        <v>0</v>
      </c>
      <c r="AA60" s="93">
        <f>SUM('31:16'!AA60)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SUM('31:16'!G61)</f>
        <v>0</v>
      </c>
      <c r="H61" s="339">
        <f t="shared" si="10"/>
        <v>0</v>
      </c>
      <c r="I61" s="93">
        <f>SUM('31:16'!I61)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SUM('31:16'!N61)</f>
        <v>0</v>
      </c>
      <c r="O61" s="93">
        <f>SUM('31:16'!O61)</f>
        <v>0</v>
      </c>
      <c r="P61" s="93">
        <f>SUM('31:16'!P61)</f>
        <v>0</v>
      </c>
      <c r="Q61" s="93">
        <f>SUM('31:16'!Q61)</f>
        <v>0</v>
      </c>
      <c r="R61" s="93">
        <f>SUM('31:16'!R61)</f>
        <v>0</v>
      </c>
      <c r="S61" s="93">
        <f>SUM('31:16'!S61)</f>
        <v>0</v>
      </c>
      <c r="T61" s="93">
        <f>SUM('31:16'!T61)</f>
        <v>0</v>
      </c>
      <c r="U61" s="93">
        <f>SUM('31:16'!U61)</f>
        <v>0</v>
      </c>
      <c r="V61" s="206">
        <f t="shared" si="20"/>
        <v>0</v>
      </c>
      <c r="W61" s="33" t="str">
        <f t="shared" si="21"/>
        <v/>
      </c>
      <c r="X61" s="93">
        <f>SUM('31:16'!X61)</f>
        <v>0</v>
      </c>
      <c r="Y61" s="93">
        <f>SUM('31:16'!Y61)</f>
        <v>0</v>
      </c>
      <c r="Z61" s="93">
        <f>SUM('31:16'!Z61)</f>
        <v>0</v>
      </c>
      <c r="AA61" s="93">
        <f>SUM('31:16'!AA61)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SUM('31:16'!G62)</f>
        <v>0</v>
      </c>
      <c r="H62" s="339">
        <f t="shared" si="10"/>
        <v>0</v>
      </c>
      <c r="I62" s="93">
        <f>SUM('31:16'!I62)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SUM('31:16'!N62)</f>
        <v>0</v>
      </c>
      <c r="O62" s="93">
        <f>SUM('31:16'!O62)</f>
        <v>0</v>
      </c>
      <c r="P62" s="93">
        <f>SUM('31:16'!P62)</f>
        <v>0</v>
      </c>
      <c r="Q62" s="93">
        <f>SUM('31:16'!Q62)</f>
        <v>0</v>
      </c>
      <c r="R62" s="93">
        <f>SUM('31:16'!R62)</f>
        <v>0</v>
      </c>
      <c r="S62" s="93">
        <f>SUM('31:16'!S62)</f>
        <v>0</v>
      </c>
      <c r="T62" s="93">
        <f>SUM('31:16'!T62)</f>
        <v>0</v>
      </c>
      <c r="U62" s="93">
        <f>SUM('31:16'!U62)</f>
        <v>0</v>
      </c>
      <c r="V62" s="206">
        <f t="shared" si="20"/>
        <v>0</v>
      </c>
      <c r="W62" s="33" t="str">
        <f t="shared" si="21"/>
        <v/>
      </c>
      <c r="X62" s="93">
        <f>SUM('31:16'!X62)</f>
        <v>0</v>
      </c>
      <c r="Y62" s="93">
        <f>SUM('31:16'!Y62)</f>
        <v>0</v>
      </c>
      <c r="Z62" s="93">
        <f>SUM('31:16'!Z62)</f>
        <v>0</v>
      </c>
      <c r="AA62" s="93">
        <f>SUM('31:16'!AA62)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SUM('31:16'!G63)</f>
        <v>0</v>
      </c>
      <c r="H63" s="339">
        <f t="shared" si="10"/>
        <v>0</v>
      </c>
      <c r="I63" s="93">
        <f>SUM('31:16'!I63)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SUM('31:16'!N63)</f>
        <v>0</v>
      </c>
      <c r="O63" s="93">
        <f>SUM('31:16'!O63)</f>
        <v>0</v>
      </c>
      <c r="P63" s="93">
        <f>SUM('31:16'!P63)</f>
        <v>0</v>
      </c>
      <c r="Q63" s="93">
        <f>SUM('31:16'!Q63)</f>
        <v>0</v>
      </c>
      <c r="R63" s="93">
        <f>SUM('31:16'!R63)</f>
        <v>0</v>
      </c>
      <c r="S63" s="93">
        <f>SUM('31:16'!S63)</f>
        <v>0</v>
      </c>
      <c r="T63" s="93">
        <f>SUM('31:16'!T63)</f>
        <v>0</v>
      </c>
      <c r="U63" s="93">
        <f>SUM('31:16'!U63)</f>
        <v>0</v>
      </c>
      <c r="V63" s="206">
        <f t="shared" si="20"/>
        <v>0</v>
      </c>
      <c r="W63" s="33" t="str">
        <f t="shared" si="21"/>
        <v/>
      </c>
      <c r="X63" s="93">
        <f>SUM('31:16'!X63)</f>
        <v>0</v>
      </c>
      <c r="Y63" s="93">
        <f>SUM('31:16'!Y63)</f>
        <v>0</v>
      </c>
      <c r="Z63" s="93">
        <f>SUM('31:16'!Z63)</f>
        <v>0</v>
      </c>
      <c r="AA63" s="93">
        <f>SUM('31:16'!AA63)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SUM('31:16'!G64)</f>
        <v>760</v>
      </c>
      <c r="H64" s="339">
        <f t="shared" si="10"/>
        <v>3822.8</v>
      </c>
      <c r="I64" s="93">
        <f>SUM('31:16'!I64)</f>
        <v>14</v>
      </c>
      <c r="J64" s="31">
        <f t="array" ref="J64">IF(ISERROR(G64/I64),"",G64/I64)</f>
        <v>54.285714285714285</v>
      </c>
      <c r="K64" s="35">
        <f t="array" ref="K64">IF(ISERROR(G64/L64),"",G64/L64)</f>
        <v>15.2</v>
      </c>
      <c r="L64" s="87">
        <v>50</v>
      </c>
      <c r="M64" s="36">
        <f t="shared" si="17"/>
        <v>-1.1999999999999993</v>
      </c>
      <c r="N64" s="93">
        <f>SUM('31:16'!N64)</f>
        <v>0</v>
      </c>
      <c r="O64" s="93">
        <f>SUM('31:16'!O64)</f>
        <v>0</v>
      </c>
      <c r="P64" s="93">
        <f>SUM('31:16'!P64)</f>
        <v>0</v>
      </c>
      <c r="Q64" s="93">
        <f>SUM('31:16'!Q64)</f>
        <v>0</v>
      </c>
      <c r="R64" s="93">
        <f>SUM('31:16'!R64)</f>
        <v>0</v>
      </c>
      <c r="S64" s="93">
        <f>SUM('31:16'!S64)</f>
        <v>0</v>
      </c>
      <c r="T64" s="93">
        <f>SUM('31:16'!T64)</f>
        <v>0</v>
      </c>
      <c r="U64" s="93">
        <f>SUM('31:16'!U64)</f>
        <v>0</v>
      </c>
      <c r="V64" s="206">
        <f t="shared" si="20"/>
        <v>0</v>
      </c>
      <c r="W64" s="33">
        <f t="shared" si="21"/>
        <v>0</v>
      </c>
      <c r="X64" s="93">
        <f>SUM('31:16'!X64)</f>
        <v>0</v>
      </c>
      <c r="Y64" s="93">
        <f>SUM('31:16'!Y64)</f>
        <v>0</v>
      </c>
      <c r="Z64" s="93">
        <f>SUM('31:16'!Z64)</f>
        <v>0</v>
      </c>
      <c r="AA64" s="93">
        <f>SUM('31:16'!AA64)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SUM('31:16'!G65)</f>
        <v>1373</v>
      </c>
      <c r="H65" s="339">
        <f t="shared" si="10"/>
        <v>6906.1900000000005</v>
      </c>
      <c r="I65" s="93">
        <f>SUM('31:16'!I65)</f>
        <v>22.5</v>
      </c>
      <c r="J65" s="31">
        <f t="array" ref="J65">IF(ISERROR(G65/I65),"",G65/I65)</f>
        <v>61.022222222222226</v>
      </c>
      <c r="K65" s="35">
        <f t="array" ref="K65">IF(ISERROR(G65/L65),"",G65/L65)</f>
        <v>27.46</v>
      </c>
      <c r="L65" s="87">
        <v>50</v>
      </c>
      <c r="M65" s="36">
        <f t="shared" si="17"/>
        <v>-4.9600000000000009</v>
      </c>
      <c r="N65" s="93">
        <f>SUM('31:16'!N65)</f>
        <v>0</v>
      </c>
      <c r="O65" s="93">
        <f>SUM('31:16'!O65)</f>
        <v>0</v>
      </c>
      <c r="P65" s="93">
        <f>SUM('31:16'!P65)</f>
        <v>0</v>
      </c>
      <c r="Q65" s="93">
        <f>SUM('31:16'!Q65)</f>
        <v>0</v>
      </c>
      <c r="R65" s="93">
        <f>SUM('31:16'!R65)</f>
        <v>0</v>
      </c>
      <c r="S65" s="93">
        <f>SUM('31:16'!S65)</f>
        <v>0</v>
      </c>
      <c r="T65" s="93">
        <f>SUM('31:16'!T65)</f>
        <v>0</v>
      </c>
      <c r="U65" s="93">
        <f>SUM('31:16'!U65)</f>
        <v>0</v>
      </c>
      <c r="V65" s="206">
        <f t="shared" si="20"/>
        <v>0</v>
      </c>
      <c r="W65" s="33">
        <f t="shared" si="21"/>
        <v>0</v>
      </c>
      <c r="X65" s="93">
        <f>SUM('31:16'!X65)</f>
        <v>0</v>
      </c>
      <c r="Y65" s="93">
        <f>SUM('31:16'!Y65)</f>
        <v>0</v>
      </c>
      <c r="Z65" s="93">
        <f>SUM('31:16'!Z65)</f>
        <v>0</v>
      </c>
      <c r="AA65" s="93">
        <f>SUM('31:16'!AA65)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SUM('31:16'!G66)</f>
        <v>1164</v>
      </c>
      <c r="H66" s="339">
        <f t="shared" si="10"/>
        <v>5854.92</v>
      </c>
      <c r="I66" s="93">
        <f>SUM('31:16'!I66)</f>
        <v>17</v>
      </c>
      <c r="J66" s="31">
        <f t="array" ref="J66">IF(ISERROR(G66/I66),"",G66/I66)</f>
        <v>68.470588235294116</v>
      </c>
      <c r="K66" s="35">
        <f t="array" ref="K66">IF(ISERROR(G66/L66),"",G66/L66)</f>
        <v>23.28</v>
      </c>
      <c r="L66" s="87">
        <v>50</v>
      </c>
      <c r="M66" s="36">
        <f t="shared" si="17"/>
        <v>-6.2800000000000011</v>
      </c>
      <c r="N66" s="93">
        <f>SUM('31:16'!N66)</f>
        <v>0</v>
      </c>
      <c r="O66" s="93">
        <f>SUM('31:16'!O66)</f>
        <v>0</v>
      </c>
      <c r="P66" s="93">
        <f>SUM('31:16'!P66)</f>
        <v>0</v>
      </c>
      <c r="Q66" s="93">
        <f>SUM('31:16'!Q66)</f>
        <v>0</v>
      </c>
      <c r="R66" s="93">
        <f>SUM('31:16'!R66)</f>
        <v>0</v>
      </c>
      <c r="S66" s="93">
        <f>SUM('31:16'!S66)</f>
        <v>0</v>
      </c>
      <c r="T66" s="93">
        <f>SUM('31:16'!T66)</f>
        <v>0</v>
      </c>
      <c r="U66" s="93">
        <f>SUM('31:16'!U66)</f>
        <v>0</v>
      </c>
      <c r="V66" s="206">
        <f t="shared" si="20"/>
        <v>0</v>
      </c>
      <c r="W66" s="33">
        <f t="shared" si="21"/>
        <v>0</v>
      </c>
      <c r="X66" s="93">
        <f>SUM('31:16'!X66)</f>
        <v>0</v>
      </c>
      <c r="Y66" s="93">
        <f>SUM('31:16'!Y66)</f>
        <v>0</v>
      </c>
      <c r="Z66" s="93">
        <f>SUM('31:16'!Z66)</f>
        <v>0</v>
      </c>
      <c r="AA66" s="93">
        <f>SUM('31:16'!AA66)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SUM('31:16'!G67)</f>
        <v>301</v>
      </c>
      <c r="H67" s="339">
        <f t="shared" si="10"/>
        <v>1514.03</v>
      </c>
      <c r="I67" s="93">
        <f>SUM('31:16'!I67)</f>
        <v>3.52</v>
      </c>
      <c r="J67" s="31"/>
      <c r="K67" s="35">
        <f t="array" ref="K67">IF(ISERROR(G67/L67),"",G67/L67)</f>
        <v>6.02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SUM('31:16'!G68)</f>
        <v>185</v>
      </c>
      <c r="H68" s="339">
        <f t="shared" si="10"/>
        <v>925</v>
      </c>
      <c r="I68" s="93">
        <f>SUM('31:16'!I68)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SUM('31:16'!N68)</f>
        <v>0</v>
      </c>
      <c r="O68" s="93">
        <f>SUM('31:16'!O68)</f>
        <v>0</v>
      </c>
      <c r="P68" s="93">
        <f>SUM('31:16'!P68)</f>
        <v>0</v>
      </c>
      <c r="Q68" s="93">
        <f>SUM('31:16'!Q68)</f>
        <v>0</v>
      </c>
      <c r="R68" s="93">
        <f>SUM('31:16'!R68)</f>
        <v>0</v>
      </c>
      <c r="S68" s="93">
        <f>SUM('31:16'!S68)</f>
        <v>0</v>
      </c>
      <c r="T68" s="93">
        <f>SUM('31:16'!T68)</f>
        <v>0</v>
      </c>
      <c r="U68" s="93">
        <f>SUM('31:16'!U68)</f>
        <v>0</v>
      </c>
      <c r="V68" s="206"/>
      <c r="W68" s="33"/>
      <c r="X68" s="93">
        <f>SUM('31:16'!X68)</f>
        <v>0</v>
      </c>
      <c r="Y68" s="93">
        <f>SUM('31:16'!Y68)</f>
        <v>0</v>
      </c>
      <c r="Z68" s="93">
        <f>SUM('31:16'!Z68)</f>
        <v>0</v>
      </c>
      <c r="AA68" s="93">
        <f>SUM('31:16'!AA68)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SUM('31:16'!G69)</f>
        <v>1287</v>
      </c>
      <c r="H69" s="339">
        <f t="shared" si="10"/>
        <v>6473.6100000000006</v>
      </c>
      <c r="I69" s="93">
        <f>SUM('31:16'!I69)</f>
        <v>48</v>
      </c>
      <c r="J69" s="31">
        <f t="array" ref="J69">IF(ISERROR(G69/I69),"",G69/I69)</f>
        <v>26.8125</v>
      </c>
      <c r="K69" s="35">
        <f t="array" ref="K69">IF(ISERROR(G69/L69),"",G69/L69)</f>
        <v>59.860465116279073</v>
      </c>
      <c r="L69" s="87">
        <v>21.5</v>
      </c>
      <c r="M69" s="36">
        <f t="shared" ref="M69:M70" si="22">IF(ISERROR(I69-K69),"",I69-K69)</f>
        <v>-11.860465116279073</v>
      </c>
      <c r="N69" s="93">
        <f>SUM('31:16'!N69)</f>
        <v>0</v>
      </c>
      <c r="O69" s="93">
        <f>SUM('31:16'!O69)</f>
        <v>0</v>
      </c>
      <c r="P69" s="93">
        <f>SUM('31:16'!P69)</f>
        <v>0</v>
      </c>
      <c r="Q69" s="93">
        <f>SUM('31:16'!Q69)</f>
        <v>0</v>
      </c>
      <c r="R69" s="93">
        <f>SUM('31:16'!R69)</f>
        <v>0</v>
      </c>
      <c r="S69" s="93">
        <f>SUM('31:16'!S69)</f>
        <v>0</v>
      </c>
      <c r="T69" s="93">
        <f>SUM('31:16'!T69)</f>
        <v>0</v>
      </c>
      <c r="U69" s="93">
        <f>SUM('31:16'!U69)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SUM('31:16'!X69)</f>
        <v>0</v>
      </c>
      <c r="Y69" s="93">
        <f>SUM('31:16'!Y69)</f>
        <v>0</v>
      </c>
      <c r="Z69" s="93">
        <f>SUM('31:16'!Z69)</f>
        <v>0</v>
      </c>
      <c r="AA69" s="93">
        <f>SUM('31:16'!AA69)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SUM('31:16'!G70)</f>
        <v>1036</v>
      </c>
      <c r="H70" s="339">
        <f t="shared" si="10"/>
        <v>5211.08</v>
      </c>
      <c r="I70" s="93">
        <f>SUM('31:16'!I70)</f>
        <v>48</v>
      </c>
      <c r="J70" s="31">
        <f t="array" ref="J70">IF(ISERROR(G70/I70),"",G70/I70)</f>
        <v>21.583333333333332</v>
      </c>
      <c r="K70" s="35">
        <f t="array" ref="K70">IF(ISERROR(G70/L70),"",G70/L70)</f>
        <v>48.186046511627907</v>
      </c>
      <c r="L70" s="87">
        <v>21.5</v>
      </c>
      <c r="M70" s="36">
        <f t="shared" si="22"/>
        <v>-0.18604651162790731</v>
      </c>
      <c r="N70" s="93">
        <f>SUM('31:16'!N70)</f>
        <v>0</v>
      </c>
      <c r="O70" s="93">
        <f>SUM('31:16'!O70)</f>
        <v>0</v>
      </c>
      <c r="P70" s="93">
        <f>SUM('31:16'!P70)</f>
        <v>0</v>
      </c>
      <c r="Q70" s="93">
        <f>SUM('31:16'!Q70)</f>
        <v>0</v>
      </c>
      <c r="R70" s="93">
        <f>SUM('31:16'!R70)</f>
        <v>0</v>
      </c>
      <c r="S70" s="93">
        <f>SUM('31:16'!S70)</f>
        <v>0</v>
      </c>
      <c r="T70" s="93">
        <f>SUM('31:16'!T70)</f>
        <v>0</v>
      </c>
      <c r="U70" s="93">
        <f>SUM('31:16'!U70)</f>
        <v>0</v>
      </c>
      <c r="V70" s="206">
        <f t="shared" si="23"/>
        <v>0</v>
      </c>
      <c r="W70" s="33">
        <f t="shared" si="24"/>
        <v>0</v>
      </c>
      <c r="X70" s="93">
        <f>SUM('31:16'!X70)</f>
        <v>0</v>
      </c>
      <c r="Y70" s="93">
        <f>SUM('31:16'!Y70)</f>
        <v>0</v>
      </c>
      <c r="Z70" s="93">
        <f>SUM('31:16'!Z70)</f>
        <v>0</v>
      </c>
      <c r="AA70" s="93">
        <f>SUM('31:16'!AA70)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SUM('31:16'!G71)</f>
        <v>0</v>
      </c>
      <c r="H71" s="339">
        <f t="shared" si="10"/>
        <v>0</v>
      </c>
      <c r="I71" s="93">
        <f>SUM('31:16'!I71)</f>
        <v>0</v>
      </c>
      <c r="J71" s="31"/>
      <c r="K71" s="35"/>
      <c r="L71" s="87"/>
      <c r="M71" s="36"/>
      <c r="N71" s="93">
        <f>SUM('31:16'!N71)</f>
        <v>0</v>
      </c>
      <c r="O71" s="93">
        <f>SUM('31:16'!O71)</f>
        <v>0</v>
      </c>
      <c r="P71" s="93">
        <f>SUM('31:16'!P71)</f>
        <v>0</v>
      </c>
      <c r="Q71" s="93">
        <f>SUM('31:16'!Q71)</f>
        <v>0</v>
      </c>
      <c r="R71" s="93">
        <f>SUM('31:16'!R71)</f>
        <v>0</v>
      </c>
      <c r="S71" s="93">
        <f>SUM('31:16'!S71)</f>
        <v>0</v>
      </c>
      <c r="T71" s="93">
        <f>SUM('31:16'!T71)</f>
        <v>0</v>
      </c>
      <c r="U71" s="93">
        <f>SUM('31:16'!U71)</f>
        <v>0</v>
      </c>
      <c r="V71" s="206"/>
      <c r="W71" s="33"/>
      <c r="X71" s="93">
        <f>SUM('31:16'!X71)</f>
        <v>0</v>
      </c>
      <c r="Y71" s="93">
        <f>SUM('31:16'!Y71)</f>
        <v>0</v>
      </c>
      <c r="Z71" s="93">
        <f>SUM('31:16'!Z71)</f>
        <v>0</v>
      </c>
      <c r="AA71" s="93">
        <f>SUM('31:16'!AA71)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SUM('31:16'!G72)</f>
        <v>0</v>
      </c>
      <c r="H72" s="339">
        <f t="shared" si="10"/>
        <v>0</v>
      </c>
      <c r="I72" s="93">
        <f>SUM('31:16'!I72)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SUM('31:16'!N72)</f>
        <v>0</v>
      </c>
      <c r="O72" s="93">
        <f>SUM('31:16'!O72)</f>
        <v>0</v>
      </c>
      <c r="P72" s="93">
        <f>SUM('31:16'!P72)</f>
        <v>0</v>
      </c>
      <c r="Q72" s="93">
        <f>SUM('31:16'!Q72)</f>
        <v>0</v>
      </c>
      <c r="R72" s="93">
        <f>SUM('31:16'!R72)</f>
        <v>0</v>
      </c>
      <c r="S72" s="93">
        <f>SUM('31:16'!S72)</f>
        <v>0</v>
      </c>
      <c r="T72" s="93">
        <f>SUM('31:16'!T72)</f>
        <v>0</v>
      </c>
      <c r="U72" s="93">
        <f>SUM('31:16'!U72)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SUM('31:16'!X72)</f>
        <v>0</v>
      </c>
      <c r="Y72" s="93">
        <f>SUM('31:16'!Y72)</f>
        <v>0</v>
      </c>
      <c r="Z72" s="93">
        <f>SUM('31:16'!Z72)</f>
        <v>0</v>
      </c>
      <c r="AA72" s="93">
        <f>SUM('31:16'!AA72)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SUM('31:16'!G73)</f>
        <v>0</v>
      </c>
      <c r="H73" s="339">
        <f t="shared" si="10"/>
        <v>0</v>
      </c>
      <c r="I73" s="93">
        <f>SUM('31:16'!I73)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SUM('31:16'!N73)</f>
        <v>0</v>
      </c>
      <c r="O73" s="93">
        <f>SUM('31:16'!O73)</f>
        <v>0</v>
      </c>
      <c r="P73" s="93">
        <f>SUM('31:16'!P73)</f>
        <v>0</v>
      </c>
      <c r="Q73" s="93">
        <f>SUM('31:16'!Q73)</f>
        <v>0</v>
      </c>
      <c r="R73" s="93">
        <f>SUM('31:16'!R73)</f>
        <v>0</v>
      </c>
      <c r="S73" s="93">
        <f>SUM('31:16'!S73)</f>
        <v>0</v>
      </c>
      <c r="T73" s="93">
        <f>SUM('31:16'!T73)</f>
        <v>0</v>
      </c>
      <c r="U73" s="93">
        <f>SUM('31:16'!U73)</f>
        <v>0</v>
      </c>
      <c r="V73" s="206">
        <f t="shared" si="26"/>
        <v>0</v>
      </c>
      <c r="W73" s="33" t="str">
        <f t="shared" si="27"/>
        <v/>
      </c>
      <c r="X73" s="93">
        <f>SUM('31:16'!X73)</f>
        <v>0</v>
      </c>
      <c r="Y73" s="93">
        <f>SUM('31:16'!Y73)</f>
        <v>0</v>
      </c>
      <c r="Z73" s="93">
        <f>SUM('31:16'!Z73)</f>
        <v>0</v>
      </c>
      <c r="AA73" s="93">
        <f>SUM('31:16'!AA73)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SUM('31:16'!G74)</f>
        <v>0</v>
      </c>
      <c r="H74" s="339">
        <f t="shared" si="10"/>
        <v>0</v>
      </c>
      <c r="I74" s="93">
        <f>SUM('31:16'!I74)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SUM('31:16'!N74)</f>
        <v>0</v>
      </c>
      <c r="O74" s="93">
        <f>SUM('31:16'!O74)</f>
        <v>0</v>
      </c>
      <c r="P74" s="93">
        <f>SUM('31:16'!P74)</f>
        <v>0</v>
      </c>
      <c r="Q74" s="93">
        <f>SUM('31:16'!Q74)</f>
        <v>0</v>
      </c>
      <c r="R74" s="93">
        <f>SUM('31:16'!R74)</f>
        <v>0</v>
      </c>
      <c r="S74" s="93">
        <f>SUM('31:16'!S74)</f>
        <v>0</v>
      </c>
      <c r="T74" s="93">
        <f>SUM('31:16'!T74)</f>
        <v>0</v>
      </c>
      <c r="U74" s="93">
        <f>SUM('31:16'!U74)</f>
        <v>0</v>
      </c>
      <c r="V74" s="206">
        <f t="shared" si="26"/>
        <v>0</v>
      </c>
      <c r="W74" s="33" t="str">
        <f t="shared" si="27"/>
        <v/>
      </c>
      <c r="X74" s="93">
        <f>SUM('31:16'!X74)</f>
        <v>0</v>
      </c>
      <c r="Y74" s="93">
        <f>SUM('31:16'!Y74)</f>
        <v>0</v>
      </c>
      <c r="Z74" s="93">
        <f>SUM('31:16'!Z74)</f>
        <v>0</v>
      </c>
      <c r="AA74" s="93">
        <f>SUM('31:16'!AA74)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SUM('31:16'!G75)</f>
        <v>0</v>
      </c>
      <c r="H75" s="339">
        <f t="shared" si="10"/>
        <v>0</v>
      </c>
      <c r="I75" s="93">
        <f>SUM('31:16'!I75)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SUM('31:16'!N75)</f>
        <v>0</v>
      </c>
      <c r="O75" s="93">
        <f>SUM('31:16'!O75)</f>
        <v>0</v>
      </c>
      <c r="P75" s="93">
        <f>SUM('31:16'!P75)</f>
        <v>0</v>
      </c>
      <c r="Q75" s="93">
        <f>SUM('31:16'!Q75)</f>
        <v>0</v>
      </c>
      <c r="R75" s="93">
        <f>SUM('31:16'!R75)</f>
        <v>0</v>
      </c>
      <c r="S75" s="93">
        <f>SUM('31:16'!S75)</f>
        <v>0</v>
      </c>
      <c r="T75" s="93">
        <f>SUM('31:16'!T75)</f>
        <v>0</v>
      </c>
      <c r="U75" s="93">
        <f>SUM('31:16'!U75)</f>
        <v>0</v>
      </c>
      <c r="V75" s="206">
        <f t="shared" si="26"/>
        <v>0</v>
      </c>
      <c r="W75" s="33" t="str">
        <f t="shared" si="27"/>
        <v/>
      </c>
      <c r="X75" s="93">
        <f>SUM('31:16'!X75)</f>
        <v>0</v>
      </c>
      <c r="Y75" s="93">
        <f>SUM('31:16'!Y75)</f>
        <v>0</v>
      </c>
      <c r="Z75" s="93">
        <f>SUM('31:16'!Z75)</f>
        <v>0</v>
      </c>
      <c r="AA75" s="93">
        <f>SUM('31:16'!AA75)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SUM('31:16'!G76)</f>
        <v>0</v>
      </c>
      <c r="H76" s="339">
        <f t="shared" si="10"/>
        <v>0</v>
      </c>
      <c r="I76" s="93">
        <f>SUM('31:16'!I76)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SUM('31:16'!N76)</f>
        <v>0</v>
      </c>
      <c r="O76" s="93">
        <f>SUM('31:16'!O76)</f>
        <v>0</v>
      </c>
      <c r="P76" s="93">
        <f>SUM('31:16'!P76)</f>
        <v>0</v>
      </c>
      <c r="Q76" s="93">
        <f>SUM('31:16'!Q76)</f>
        <v>0</v>
      </c>
      <c r="R76" s="93">
        <f>SUM('31:16'!R76)</f>
        <v>0</v>
      </c>
      <c r="S76" s="93">
        <f>SUM('31:16'!S76)</f>
        <v>0</v>
      </c>
      <c r="T76" s="93">
        <f>SUM('31:16'!T76)</f>
        <v>0</v>
      </c>
      <c r="U76" s="93">
        <f>SUM('31:16'!U76)</f>
        <v>0</v>
      </c>
      <c r="V76" s="206"/>
      <c r="W76" s="33"/>
      <c r="X76" s="93">
        <f>SUM('31:16'!X76)</f>
        <v>0</v>
      </c>
      <c r="Y76" s="93">
        <f>SUM('31:16'!Y76)</f>
        <v>0</v>
      </c>
      <c r="Z76" s="93">
        <f>SUM('31:16'!Z76)</f>
        <v>0</v>
      </c>
      <c r="AA76" s="93">
        <f>SUM('31:16'!AA76)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SUM('31:16'!G77)</f>
        <v>0</v>
      </c>
      <c r="H77" s="339">
        <f t="shared" si="10"/>
        <v>0</v>
      </c>
      <c r="I77" s="93">
        <f>SUM('31:16'!I77)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SUM('31:16'!N77)</f>
        <v>0</v>
      </c>
      <c r="O77" s="93">
        <f>SUM('31:16'!O77)</f>
        <v>0</v>
      </c>
      <c r="P77" s="93">
        <f>SUM('31:16'!P77)</f>
        <v>0</v>
      </c>
      <c r="Q77" s="93">
        <f>SUM('31:16'!Q77)</f>
        <v>0</v>
      </c>
      <c r="R77" s="93">
        <f>SUM('31:16'!R77)</f>
        <v>0</v>
      </c>
      <c r="S77" s="93">
        <f>SUM('31:16'!S77)</f>
        <v>0</v>
      </c>
      <c r="T77" s="93">
        <f>SUM('31:16'!T77)</f>
        <v>0</v>
      </c>
      <c r="U77" s="93">
        <f>SUM('31:16'!U77)</f>
        <v>0</v>
      </c>
      <c r="V77" s="206"/>
      <c r="W77" s="33"/>
      <c r="X77" s="93">
        <f>SUM('31:16'!X77)</f>
        <v>0</v>
      </c>
      <c r="Y77" s="93">
        <f>SUM('31:16'!Y77)</f>
        <v>0</v>
      </c>
      <c r="Z77" s="93">
        <f>SUM('31:16'!Z77)</f>
        <v>0</v>
      </c>
      <c r="AA77" s="93">
        <f>SUM('31:16'!AA77)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SUM('31:16'!G78)</f>
        <v>0</v>
      </c>
      <c r="H78" s="339">
        <f t="shared" si="10"/>
        <v>0</v>
      </c>
      <c r="I78" s="93">
        <f>SUM('31:16'!I78)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SUM('31:16'!N78)</f>
        <v>0</v>
      </c>
      <c r="O78" s="93">
        <f>SUM('31:16'!O78)</f>
        <v>0</v>
      </c>
      <c r="P78" s="93">
        <f>SUM('31:16'!P78)</f>
        <v>0</v>
      </c>
      <c r="Q78" s="93">
        <f>SUM('31:16'!Q78)</f>
        <v>0</v>
      </c>
      <c r="R78" s="93">
        <f>SUM('31:16'!R78)</f>
        <v>0</v>
      </c>
      <c r="S78" s="93">
        <f>SUM('31:16'!S78)</f>
        <v>0</v>
      </c>
      <c r="T78" s="93">
        <f>SUM('31:16'!T78)</f>
        <v>0</v>
      </c>
      <c r="U78" s="93">
        <f>SUM('31:16'!U78)</f>
        <v>0</v>
      </c>
      <c r="V78" s="206"/>
      <c r="W78" s="33"/>
      <c r="X78" s="93">
        <f>SUM('31:16'!X78)</f>
        <v>0</v>
      </c>
      <c r="Y78" s="93">
        <f>SUM('31:16'!Y78)</f>
        <v>0</v>
      </c>
      <c r="Z78" s="93">
        <f>SUM('31:16'!Z78)</f>
        <v>0</v>
      </c>
      <c r="AA78" s="93">
        <f>SUM('31:16'!AA78)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SUM('31:16'!G79)</f>
        <v>0</v>
      </c>
      <c r="H79" s="339">
        <f t="shared" si="10"/>
        <v>0</v>
      </c>
      <c r="I79" s="93">
        <f>SUM('31:16'!I79)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SUM('31:16'!N79)</f>
        <v>0</v>
      </c>
      <c r="O79" s="93">
        <f>SUM('31:16'!O79)</f>
        <v>0</v>
      </c>
      <c r="P79" s="93">
        <f>SUM('31:16'!P79)</f>
        <v>0</v>
      </c>
      <c r="Q79" s="93">
        <f>SUM('31:16'!Q79)</f>
        <v>0</v>
      </c>
      <c r="R79" s="93">
        <f>SUM('31:16'!R79)</f>
        <v>0</v>
      </c>
      <c r="S79" s="93">
        <f>SUM('31:16'!S79)</f>
        <v>0</v>
      </c>
      <c r="T79" s="93">
        <f>SUM('31:16'!T79)</f>
        <v>0</v>
      </c>
      <c r="U79" s="93">
        <f>SUM('31:16'!U79)</f>
        <v>0</v>
      </c>
      <c r="V79" s="206"/>
      <c r="W79" s="33"/>
      <c r="X79" s="93">
        <f>SUM('31:16'!X79)</f>
        <v>0</v>
      </c>
      <c r="Y79" s="93">
        <f>SUM('31:16'!Y79)</f>
        <v>0</v>
      </c>
      <c r="Z79" s="93">
        <f>SUM('31:16'!Z79)</f>
        <v>0</v>
      </c>
      <c r="AA79" s="93">
        <f>SUM('31:16'!AA79)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SUM('31:16'!G80)</f>
        <v>0</v>
      </c>
      <c r="H80" s="339">
        <f t="shared" si="10"/>
        <v>0</v>
      </c>
      <c r="I80" s="93">
        <f>SUM('31:16'!I80)</f>
        <v>0</v>
      </c>
      <c r="J80" s="31"/>
      <c r="K80" s="35"/>
      <c r="L80" s="87">
        <v>4</v>
      </c>
      <c r="M80" s="36"/>
      <c r="N80" s="93">
        <f>SUM('31:16'!N80)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SUM('31:16'!G81)</f>
        <v>0</v>
      </c>
      <c r="H81" s="339">
        <f t="shared" si="10"/>
        <v>0</v>
      </c>
      <c r="I81" s="93">
        <f>SUM('31:16'!I81)</f>
        <v>0</v>
      </c>
      <c r="J81" s="31"/>
      <c r="K81" s="35"/>
      <c r="L81" s="87">
        <v>4</v>
      </c>
      <c r="M81" s="36"/>
      <c r="N81" s="93">
        <f>SUM('31:16'!N81)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SUM('31:16'!G82)</f>
        <v>0</v>
      </c>
      <c r="H82" s="339">
        <f t="shared" si="10"/>
        <v>0</v>
      </c>
      <c r="I82" s="93">
        <f>SUM('31:16'!I82)</f>
        <v>0</v>
      </c>
      <c r="J82" s="31"/>
      <c r="K82" s="35"/>
      <c r="L82" s="87">
        <v>4</v>
      </c>
      <c r="M82" s="36"/>
      <c r="N82" s="93">
        <f>SUM('31:16'!N82)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SUM('31:16'!G83)</f>
        <v>0</v>
      </c>
      <c r="H83" s="339">
        <f t="shared" si="10"/>
        <v>0</v>
      </c>
      <c r="I83" s="93">
        <f>SUM('31:16'!I83)</f>
        <v>0</v>
      </c>
      <c r="J83" s="31"/>
      <c r="K83" s="35"/>
      <c r="L83" s="87">
        <v>4</v>
      </c>
      <c r="M83" s="36"/>
      <c r="N83" s="93">
        <f>SUM('31:16'!N83)</f>
        <v>0</v>
      </c>
      <c r="O83" s="93">
        <f>SUM('31:16'!O83)</f>
        <v>0</v>
      </c>
      <c r="P83" s="93">
        <f>SUM('31:16'!P83)</f>
        <v>0</v>
      </c>
      <c r="Q83" s="93">
        <f>SUM('31:16'!Q83)</f>
        <v>0</v>
      </c>
      <c r="R83" s="93">
        <f>SUM('31:16'!R83)</f>
        <v>0</v>
      </c>
      <c r="S83" s="93">
        <f>SUM('31:16'!S83)</f>
        <v>0</v>
      </c>
      <c r="T83" s="93">
        <f>SUM('31:16'!T83)</f>
        <v>0</v>
      </c>
      <c r="U83" s="93">
        <f>SUM('31:16'!U83)</f>
        <v>0</v>
      </c>
      <c r="V83" s="206"/>
      <c r="W83" s="33"/>
      <c r="X83" s="93">
        <f>SUM('31:16'!X83)</f>
        <v>0</v>
      </c>
      <c r="Y83" s="93">
        <f>SUM('31:16'!Y83)</f>
        <v>0</v>
      </c>
      <c r="Z83" s="93">
        <f>SUM('31:16'!Z83)</f>
        <v>0</v>
      </c>
      <c r="AA83" s="93">
        <f>SUM('31:16'!AA83)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SUM('31:16'!G84)</f>
        <v>0</v>
      </c>
      <c r="H84" s="339">
        <f t="shared" si="10"/>
        <v>0</v>
      </c>
      <c r="I84" s="93">
        <f>SUM('31:16'!I84)</f>
        <v>0</v>
      </c>
      <c r="J84" s="31"/>
      <c r="K84" s="35"/>
      <c r="L84" s="87">
        <v>4</v>
      </c>
      <c r="M84" s="36"/>
      <c r="N84" s="93">
        <f>SUM('31:16'!N84)</f>
        <v>0</v>
      </c>
      <c r="O84" s="93">
        <f>SUM('31:16'!O84)</f>
        <v>0</v>
      </c>
      <c r="P84" s="93">
        <f>SUM('31:16'!P84)</f>
        <v>0</v>
      </c>
      <c r="Q84" s="93">
        <f>SUM('31:16'!Q84)</f>
        <v>0</v>
      </c>
      <c r="R84" s="93">
        <f>SUM('31:16'!R84)</f>
        <v>0</v>
      </c>
      <c r="S84" s="93">
        <f>SUM('31:16'!S84)</f>
        <v>0</v>
      </c>
      <c r="T84" s="93">
        <f>SUM('31:16'!T84)</f>
        <v>0</v>
      </c>
      <c r="U84" s="93">
        <f>SUM('31:16'!U84)</f>
        <v>0</v>
      </c>
      <c r="V84" s="206"/>
      <c r="W84" s="33"/>
      <c r="X84" s="93">
        <f>SUM('31:16'!X84)</f>
        <v>0</v>
      </c>
      <c r="Y84" s="93">
        <f>SUM('31:16'!Y84)</f>
        <v>0</v>
      </c>
      <c r="Z84" s="93">
        <f>SUM('31:16'!Z84)</f>
        <v>0</v>
      </c>
      <c r="AA84" s="93">
        <f>SUM('31:16'!AA84)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SUM('31:16'!G85)</f>
        <v>0</v>
      </c>
      <c r="H85" s="339">
        <f t="shared" si="10"/>
        <v>0</v>
      </c>
      <c r="I85" s="93">
        <f>SUM('31:16'!I85)</f>
        <v>0</v>
      </c>
      <c r="J85" s="31"/>
      <c r="K85" s="35"/>
      <c r="L85" s="87">
        <v>4</v>
      </c>
      <c r="M85" s="36"/>
      <c r="N85" s="93">
        <f>SUM('31:16'!N85)</f>
        <v>0</v>
      </c>
      <c r="O85" s="93">
        <f>SUM('31:16'!O85)</f>
        <v>0</v>
      </c>
      <c r="P85" s="93">
        <f>SUM('31:16'!P85)</f>
        <v>0</v>
      </c>
      <c r="Q85" s="93">
        <f>SUM('31:16'!Q85)</f>
        <v>0</v>
      </c>
      <c r="R85" s="93">
        <f>SUM('31:16'!R85)</f>
        <v>0</v>
      </c>
      <c r="S85" s="93">
        <f>SUM('31:16'!S85)</f>
        <v>0</v>
      </c>
      <c r="T85" s="93">
        <f>SUM('31:16'!T85)</f>
        <v>0</v>
      </c>
      <c r="U85" s="93">
        <f>SUM('31:16'!U85)</f>
        <v>0</v>
      </c>
      <c r="V85" s="206"/>
      <c r="W85" s="33"/>
      <c r="X85" s="93">
        <f>SUM('31:16'!X85)</f>
        <v>0</v>
      </c>
      <c r="Y85" s="93">
        <f>SUM('31:16'!Y85)</f>
        <v>0</v>
      </c>
      <c r="Z85" s="93">
        <f>SUM('31:16'!Z85)</f>
        <v>0</v>
      </c>
      <c r="AA85" s="93">
        <f>SUM('31:16'!AA85)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739" t="s">
        <v>86</v>
      </c>
      <c r="B86" s="739"/>
      <c r="C86" s="342" t="s">
        <v>71</v>
      </c>
      <c r="D86" s="20"/>
      <c r="E86" s="20"/>
      <c r="F86" s="32"/>
      <c r="G86" s="94">
        <f>SUM(G29:G85)</f>
        <v>39853</v>
      </c>
      <c r="H86" s="30">
        <f>SUM(H29:H85)</f>
        <v>190273.22</v>
      </c>
      <c r="I86" s="30">
        <f>SUM(I29:I85)</f>
        <v>1009.7199999999999</v>
      </c>
      <c r="J86" s="31">
        <f t="array" ref="J86">IF(ISERROR(G86/I86),"",G86/I86)</f>
        <v>39.469357841777921</v>
      </c>
      <c r="K86" s="30">
        <f>SUM(K29:K85)</f>
        <v>1086.9622808586764</v>
      </c>
      <c r="L86" s="98"/>
      <c r="M86" s="89">
        <f t="shared" ref="M86:V86" si="28">SUM(M29:M85)</f>
        <v>-107.52381932021468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SUM('31:16'!G87)</f>
        <v>59</v>
      </c>
      <c r="H87" s="93">
        <f>SUM('31:16'!H87)</f>
        <v>296.77000000000004</v>
      </c>
      <c r="I87" s="93">
        <f>SUM('31:16'!I87)</f>
        <v>9.5</v>
      </c>
      <c r="J87" s="31">
        <f>IF(ISERROR(G87/I87),"",G87/I87)</f>
        <v>6.2105263157894735</v>
      </c>
      <c r="K87" s="35">
        <f t="array" ref="K87">IF(ISERROR(G87/L87),"",G87/L87)</f>
        <v>6.7045454545454541</v>
      </c>
      <c r="L87" s="87">
        <v>8.8000000000000007</v>
      </c>
      <c r="M87" s="36">
        <f t="shared" ref="M87:M94" si="30">IF(ISERROR(I87-K87),"",I87-K87)</f>
        <v>2.7954545454545459</v>
      </c>
      <c r="N87" s="93">
        <f>SUM('31:16'!N87)</f>
        <v>0</v>
      </c>
      <c r="O87" s="93">
        <f>SUM('31:16'!O87)</f>
        <v>0</v>
      </c>
      <c r="P87" s="93">
        <f>SUM('31:16'!P87)</f>
        <v>0</v>
      </c>
      <c r="Q87" s="93">
        <f>SUM('31:16'!Q87)</f>
        <v>0</v>
      </c>
      <c r="R87" s="93">
        <f>SUM('31:16'!R87)</f>
        <v>0</v>
      </c>
      <c r="S87" s="93">
        <f>SUM('31:16'!S87)</f>
        <v>0</v>
      </c>
      <c r="T87" s="93">
        <f>SUM('31:16'!T87)</f>
        <v>0</v>
      </c>
      <c r="U87" s="93">
        <f>SUM('31:16'!U87)</f>
        <v>0</v>
      </c>
      <c r="V87" s="206">
        <f t="shared" ref="V87:V93" si="31">SUM(X87:AA87)</f>
        <v>0</v>
      </c>
      <c r="W87" s="33">
        <f t="shared" si="29"/>
        <v>0</v>
      </c>
      <c r="X87" s="93">
        <f>SUM('31:16'!X87)</f>
        <v>0</v>
      </c>
      <c r="Y87" s="93">
        <f>SUM('31:16'!Y87)</f>
        <v>0</v>
      </c>
      <c r="Z87" s="93">
        <f>SUM('31:16'!Z87)</f>
        <v>0</v>
      </c>
      <c r="AA87" s="93">
        <f>SUM('31:16'!AA87)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SUM('31:16'!G88)</f>
        <v>0</v>
      </c>
      <c r="H88" s="93">
        <f>SUM('31:16'!H88)</f>
        <v>0</v>
      </c>
      <c r="I88" s="93">
        <f>SUM('31:16'!I88)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SUM('31:16'!N88)</f>
        <v>0</v>
      </c>
      <c r="O88" s="93">
        <f>SUM('31:16'!O88)</f>
        <v>0</v>
      </c>
      <c r="P88" s="93">
        <f>SUM('31:16'!P88)</f>
        <v>0</v>
      </c>
      <c r="Q88" s="93">
        <f>SUM('31:16'!Q88)</f>
        <v>0</v>
      </c>
      <c r="R88" s="93">
        <f>SUM('31:16'!R88)</f>
        <v>0</v>
      </c>
      <c r="S88" s="93">
        <f>SUM('31:16'!S88)</f>
        <v>0</v>
      </c>
      <c r="T88" s="93">
        <f>SUM('31:16'!T88)</f>
        <v>0</v>
      </c>
      <c r="U88" s="93">
        <f>SUM('31:16'!U88)</f>
        <v>0</v>
      </c>
      <c r="V88" s="206">
        <f t="shared" si="31"/>
        <v>0</v>
      </c>
      <c r="W88" s="33" t="str">
        <f t="shared" si="29"/>
        <v/>
      </c>
      <c r="X88" s="93">
        <f>SUM('31:16'!X88)</f>
        <v>0</v>
      </c>
      <c r="Y88" s="93">
        <f>SUM('31:16'!Y88)</f>
        <v>0</v>
      </c>
      <c r="Z88" s="93">
        <f>SUM('31:16'!Z88)</f>
        <v>0</v>
      </c>
      <c r="AA88" s="93">
        <f>SUM('31:16'!AA88)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SUM('31:16'!G89)</f>
        <v>0</v>
      </c>
      <c r="H89" s="93">
        <f>SUM('31:16'!H89)</f>
        <v>0</v>
      </c>
      <c r="I89" s="93">
        <f>SUM('31:16'!I89)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SUM('31:16'!N89)</f>
        <v>0</v>
      </c>
      <c r="O89" s="93">
        <f>SUM('31:16'!O89)</f>
        <v>0</v>
      </c>
      <c r="P89" s="93">
        <f>SUM('31:16'!P89)</f>
        <v>0</v>
      </c>
      <c r="Q89" s="93">
        <f>SUM('31:16'!Q89)</f>
        <v>0</v>
      </c>
      <c r="R89" s="93">
        <f>SUM('31:16'!R89)</f>
        <v>0</v>
      </c>
      <c r="S89" s="93">
        <f>SUM('31:16'!S89)</f>
        <v>0</v>
      </c>
      <c r="T89" s="93">
        <f>SUM('31:16'!T89)</f>
        <v>0</v>
      </c>
      <c r="U89" s="93">
        <f>SUM('31:16'!U89)</f>
        <v>0</v>
      </c>
      <c r="V89" s="206">
        <f t="shared" si="31"/>
        <v>0</v>
      </c>
      <c r="W89" s="33" t="str">
        <f t="shared" si="29"/>
        <v/>
      </c>
      <c r="X89" s="93">
        <f>SUM('31:16'!X89)</f>
        <v>0</v>
      </c>
      <c r="Y89" s="93">
        <f>SUM('31:16'!Y89)</f>
        <v>0</v>
      </c>
      <c r="Z89" s="93">
        <f>SUM('31:16'!Z89)</f>
        <v>0</v>
      </c>
      <c r="AA89" s="93">
        <f>SUM('31:16'!AA89)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SUM('31:16'!G90)</f>
        <v>0</v>
      </c>
      <c r="H90" s="93">
        <f>SUM('31:16'!H90)</f>
        <v>0</v>
      </c>
      <c r="I90" s="93">
        <f>SUM('31:16'!I90)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SUM('31:16'!N90)</f>
        <v>0</v>
      </c>
      <c r="O90" s="93">
        <f>SUM('31:16'!O90)</f>
        <v>0</v>
      </c>
      <c r="P90" s="93">
        <f>SUM('31:16'!P90)</f>
        <v>0</v>
      </c>
      <c r="Q90" s="93">
        <f>SUM('31:16'!Q90)</f>
        <v>0</v>
      </c>
      <c r="R90" s="93">
        <f>SUM('31:16'!R90)</f>
        <v>0</v>
      </c>
      <c r="S90" s="93">
        <f>SUM('31:16'!S90)</f>
        <v>0</v>
      </c>
      <c r="T90" s="93">
        <f>SUM('31:16'!T90)</f>
        <v>0</v>
      </c>
      <c r="U90" s="93">
        <f>SUM('31:16'!U90)</f>
        <v>0</v>
      </c>
      <c r="V90" s="206">
        <f t="shared" si="31"/>
        <v>0</v>
      </c>
      <c r="W90" s="33" t="str">
        <f t="shared" si="29"/>
        <v/>
      </c>
      <c r="X90" s="93">
        <f>SUM('31:16'!X90)</f>
        <v>0</v>
      </c>
      <c r="Y90" s="93">
        <f>SUM('31:16'!Y90)</f>
        <v>0</v>
      </c>
      <c r="Z90" s="93">
        <f>SUM('31:16'!Z90)</f>
        <v>0</v>
      </c>
      <c r="AA90" s="93">
        <f>SUM('31:16'!AA90)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SUM('31:16'!G91)</f>
        <v>15</v>
      </c>
      <c r="H91" s="93">
        <f>SUM('31:16'!H91)</f>
        <v>75.45</v>
      </c>
      <c r="I91" s="93">
        <f>SUM('31:16'!I91)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0"/>
        <v>0.38709677419354849</v>
      </c>
      <c r="N91" s="93">
        <f>SUM('31:16'!N91)</f>
        <v>0</v>
      </c>
      <c r="O91" s="93">
        <f>SUM('31:16'!O91)</f>
        <v>0</v>
      </c>
      <c r="P91" s="93">
        <f>SUM('31:16'!P91)</f>
        <v>0</v>
      </c>
      <c r="Q91" s="93">
        <f>SUM('31:16'!Q91)</f>
        <v>0</v>
      </c>
      <c r="R91" s="93">
        <f>SUM('31:16'!R91)</f>
        <v>0</v>
      </c>
      <c r="S91" s="93">
        <f>SUM('31:16'!S91)</f>
        <v>0</v>
      </c>
      <c r="T91" s="93">
        <f>SUM('31:16'!T91)</f>
        <v>0</v>
      </c>
      <c r="U91" s="93">
        <f>SUM('31:16'!U91)</f>
        <v>0</v>
      </c>
      <c r="V91" s="206">
        <f t="shared" si="31"/>
        <v>0</v>
      </c>
      <c r="W91" s="33">
        <f t="shared" si="29"/>
        <v>0</v>
      </c>
      <c r="X91" s="93">
        <f>SUM('31:16'!X91)</f>
        <v>0</v>
      </c>
      <c r="Y91" s="93">
        <f>SUM('31:16'!Y91)</f>
        <v>0</v>
      </c>
      <c r="Z91" s="93">
        <f>SUM('31:16'!Z91)</f>
        <v>0</v>
      </c>
      <c r="AA91" s="93">
        <f>SUM('31:16'!AA91)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SUM('31:16'!G92)</f>
        <v>436</v>
      </c>
      <c r="H92" s="93">
        <f>SUM('31:16'!H92)</f>
        <v>2193.08</v>
      </c>
      <c r="I92" s="93">
        <f>SUM('31:16'!I92)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0"/>
        <v>-2.8817204301075208</v>
      </c>
      <c r="N92" s="93">
        <f>SUM('31:16'!N92)</f>
        <v>0</v>
      </c>
      <c r="O92" s="93">
        <f>SUM('31:16'!O92)</f>
        <v>0</v>
      </c>
      <c r="P92" s="93">
        <f>SUM('31:16'!P92)</f>
        <v>0</v>
      </c>
      <c r="Q92" s="93">
        <f>SUM('31:16'!Q92)</f>
        <v>0</v>
      </c>
      <c r="R92" s="93">
        <f>SUM('31:16'!R92)</f>
        <v>0</v>
      </c>
      <c r="S92" s="93">
        <f>SUM('31:16'!S92)</f>
        <v>0</v>
      </c>
      <c r="T92" s="93">
        <f>SUM('31:16'!T92)</f>
        <v>0</v>
      </c>
      <c r="U92" s="93">
        <f>SUM('31:16'!U92)</f>
        <v>0</v>
      </c>
      <c r="V92" s="206">
        <f t="shared" si="31"/>
        <v>0</v>
      </c>
      <c r="W92" s="33">
        <f t="shared" si="29"/>
        <v>0</v>
      </c>
      <c r="X92" s="93">
        <f>SUM('31:16'!X92)</f>
        <v>0</v>
      </c>
      <c r="Y92" s="93">
        <f>SUM('31:16'!Y92)</f>
        <v>0</v>
      </c>
      <c r="Z92" s="93">
        <f>SUM('31:16'!Z92)</f>
        <v>0</v>
      </c>
      <c r="AA92" s="93">
        <f>SUM('31:16'!AA92)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SUM('31:16'!G93)</f>
        <v>289</v>
      </c>
      <c r="H93" s="93">
        <f>SUM('31:16'!H93)</f>
        <v>1453.67</v>
      </c>
      <c r="I93" s="93">
        <f>SUM('31:16'!I93)</f>
        <v>44</v>
      </c>
      <c r="J93" s="31">
        <f t="array" ref="J93">IF(ISERROR(G93/I93),"",G93/I93)</f>
        <v>6.5681818181818183</v>
      </c>
      <c r="K93" s="35">
        <f t="array" ref="K93">IF(ISERROR(G93/L93),"",G93/L93)</f>
        <v>31.0752688172043</v>
      </c>
      <c r="L93" s="87">
        <v>9.3000000000000007</v>
      </c>
      <c r="M93" s="36">
        <f t="shared" si="30"/>
        <v>12.9247311827957</v>
      </c>
      <c r="N93" s="93">
        <f>SUM('31:16'!N93)</f>
        <v>0</v>
      </c>
      <c r="O93" s="93">
        <f>SUM('31:16'!O93)</f>
        <v>0</v>
      </c>
      <c r="P93" s="93">
        <f>SUM('31:16'!P93)</f>
        <v>0</v>
      </c>
      <c r="Q93" s="93">
        <f>SUM('31:16'!Q93)</f>
        <v>0</v>
      </c>
      <c r="R93" s="93">
        <f>SUM('31:16'!R93)</f>
        <v>0</v>
      </c>
      <c r="S93" s="93">
        <f>SUM('31:16'!S93)</f>
        <v>0</v>
      </c>
      <c r="T93" s="93">
        <f>SUM('31:16'!T93)</f>
        <v>0</v>
      </c>
      <c r="U93" s="93">
        <f>SUM('31:16'!U93)</f>
        <v>0</v>
      </c>
      <c r="V93" s="206">
        <f t="shared" si="31"/>
        <v>0</v>
      </c>
      <c r="W93" s="33">
        <f t="shared" si="29"/>
        <v>0</v>
      </c>
      <c r="X93" s="93">
        <f>SUM('31:16'!X93)</f>
        <v>0</v>
      </c>
      <c r="Y93" s="93">
        <f>SUM('31:16'!Y93)</f>
        <v>0</v>
      </c>
      <c r="Z93" s="93">
        <f>SUM('31:16'!Z93)</f>
        <v>0</v>
      </c>
      <c r="AA93" s="93">
        <f>SUM('31:16'!AA93)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SUM('31:16'!G94)</f>
        <v>99</v>
      </c>
      <c r="H94" s="93">
        <f>SUM('31:16'!H94)</f>
        <v>497.97</v>
      </c>
      <c r="I94" s="93">
        <f>SUM('31:16'!I94)</f>
        <v>12.5</v>
      </c>
      <c r="J94" s="31"/>
      <c r="K94" s="35">
        <f t="array" ref="K94">IF(ISERROR(G94/L94),"",G94/L94)</f>
        <v>10.64516129032258</v>
      </c>
      <c r="L94" s="87">
        <v>9.3000000000000007</v>
      </c>
      <c r="M94" s="36">
        <f t="shared" si="30"/>
        <v>1.8548387096774199</v>
      </c>
      <c r="N94" s="93">
        <f>SUM('31:16'!N94)</f>
        <v>0</v>
      </c>
      <c r="O94" s="93">
        <f>SUM('31:16'!O94)</f>
        <v>0</v>
      </c>
      <c r="P94" s="93">
        <f>SUM('31:16'!P94)</f>
        <v>0</v>
      </c>
      <c r="Q94" s="93">
        <f>SUM('31:16'!Q94)</f>
        <v>0</v>
      </c>
      <c r="R94" s="93">
        <f>SUM('31:16'!R94)</f>
        <v>0</v>
      </c>
      <c r="S94" s="93">
        <f>SUM('31:16'!S94)</f>
        <v>0</v>
      </c>
      <c r="T94" s="93">
        <f>SUM('31:16'!T94)</f>
        <v>0</v>
      </c>
      <c r="U94" s="93">
        <f>SUM('31:16'!U94)</f>
        <v>0</v>
      </c>
      <c r="V94" s="207"/>
      <c r="W94" s="33"/>
      <c r="X94" s="93">
        <f>SUM('31:16'!X94)</f>
        <v>0</v>
      </c>
      <c r="Y94" s="93">
        <f>SUM('31:16'!Y94)</f>
        <v>0</v>
      </c>
      <c r="Z94" s="93">
        <f>SUM('31:16'!Z94)</f>
        <v>0</v>
      </c>
      <c r="AA94" s="93">
        <f>SUM('31:16'!AA94)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SUM('31:16'!G95)</f>
        <v>123</v>
      </c>
      <c r="H95" s="93">
        <f>SUM('31:16'!H95)</f>
        <v>618.69000000000005</v>
      </c>
      <c r="I95" s="93">
        <f>SUM('31:16'!I95)</f>
        <v>12</v>
      </c>
      <c r="J95" s="31">
        <f t="array" ref="J95">IF(ISERROR(G95/I95),"",G95/I95)</f>
        <v>10.25</v>
      </c>
      <c r="K95" s="35">
        <f t="array" ref="K95">IF(ISERROR(G95/L95),"",G95/L95)</f>
        <v>15.375</v>
      </c>
      <c r="L95" s="87">
        <v>8</v>
      </c>
      <c r="M95" s="36">
        <f>IF(ISERROR(I95-K95),"",I95-K95)</f>
        <v>-3.375</v>
      </c>
      <c r="N95" s="93">
        <f>SUM('31:16'!N95)</f>
        <v>0</v>
      </c>
      <c r="O95" s="93">
        <f>SUM('31:16'!O95)</f>
        <v>0</v>
      </c>
      <c r="P95" s="93">
        <f>SUM('31:16'!P95)</f>
        <v>0</v>
      </c>
      <c r="Q95" s="93">
        <f>SUM('31:16'!Q95)</f>
        <v>0</v>
      </c>
      <c r="R95" s="93">
        <f>SUM('31:16'!R95)</f>
        <v>0</v>
      </c>
      <c r="S95" s="93">
        <f>SUM('31:16'!S95)</f>
        <v>0</v>
      </c>
      <c r="T95" s="93">
        <f>SUM('31:16'!T95)</f>
        <v>0</v>
      </c>
      <c r="U95" s="93">
        <f>SUM('31:16'!U95)</f>
        <v>0</v>
      </c>
      <c r="V95" s="207">
        <f>SUM(X95:AA95)</f>
        <v>0</v>
      </c>
      <c r="W95" s="33">
        <f>IF(ISERROR(V95/G95),"",V95/G95)</f>
        <v>0</v>
      </c>
      <c r="X95" s="93">
        <f>SUM('31:16'!X95)</f>
        <v>0</v>
      </c>
      <c r="Y95" s="93">
        <f>SUM('31:16'!Y95)</f>
        <v>0</v>
      </c>
      <c r="Z95" s="93">
        <f>SUM('31:16'!Z95)</f>
        <v>0</v>
      </c>
      <c r="AA95" s="93">
        <f>SUM('31:16'!AA95)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SUM('31:16'!G96)</f>
        <v>0</v>
      </c>
      <c r="H96" s="93">
        <f>SUM('31:16'!H96)</f>
        <v>0</v>
      </c>
      <c r="I96" s="93">
        <f>SUM('31:16'!I96)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SUM('31:16'!N96)</f>
        <v>0</v>
      </c>
      <c r="O96" s="93">
        <f>SUM('31:16'!O96)</f>
        <v>0</v>
      </c>
      <c r="P96" s="93">
        <f>SUM('31:16'!P96)</f>
        <v>0</v>
      </c>
      <c r="Q96" s="93">
        <f>SUM('31:16'!Q96)</f>
        <v>0</v>
      </c>
      <c r="R96" s="93">
        <f>SUM('31:16'!R96)</f>
        <v>0</v>
      </c>
      <c r="S96" s="93">
        <f>SUM('31:16'!S96)</f>
        <v>0</v>
      </c>
      <c r="T96" s="93">
        <f>SUM('31:16'!T96)</f>
        <v>0</v>
      </c>
      <c r="U96" s="93">
        <f>SUM('31:16'!U96)</f>
        <v>0</v>
      </c>
      <c r="V96" s="207">
        <f>SUM(X96:AA96)</f>
        <v>0</v>
      </c>
      <c r="W96" s="33" t="str">
        <f>IF(ISERROR(V96/G96),"",V96/G96)</f>
        <v/>
      </c>
      <c r="X96" s="93">
        <f>SUM('31:16'!X96)</f>
        <v>0</v>
      </c>
      <c r="Y96" s="93">
        <f>SUM('31:16'!Y96)</f>
        <v>0</v>
      </c>
      <c r="Z96" s="93">
        <f>SUM('31:16'!Z96)</f>
        <v>0</v>
      </c>
      <c r="AA96" s="93">
        <f>SUM('31:16'!AA96)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SUM('31:16'!G97)</f>
        <v>0</v>
      </c>
      <c r="H97" s="93">
        <f>SUM('31:16'!H97)</f>
        <v>0</v>
      </c>
      <c r="I97" s="93">
        <f>SUM('31:16'!I97)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SUM('31:16'!N97)</f>
        <v>0</v>
      </c>
      <c r="O97" s="93">
        <f>SUM('31:16'!O97)</f>
        <v>0</v>
      </c>
      <c r="P97" s="93">
        <f>SUM('31:16'!P97)</f>
        <v>0</v>
      </c>
      <c r="Q97" s="93">
        <f>SUM('31:16'!Q97)</f>
        <v>0</v>
      </c>
      <c r="R97" s="93">
        <f>SUM('31:16'!R97)</f>
        <v>0</v>
      </c>
      <c r="S97" s="93">
        <f>SUM('31:16'!S97)</f>
        <v>0</v>
      </c>
      <c r="T97" s="93">
        <f>SUM('31:16'!T97)</f>
        <v>0</v>
      </c>
      <c r="U97" s="93">
        <f>SUM('31:16'!U97)</f>
        <v>0</v>
      </c>
      <c r="V97" s="207">
        <f>SUM(X97:AA97)</f>
        <v>0</v>
      </c>
      <c r="W97" s="33" t="str">
        <f>IF(ISERROR(V97/G97),"",V97/G97)</f>
        <v/>
      </c>
      <c r="X97" s="93">
        <f>SUM('31:16'!X97)</f>
        <v>0</v>
      </c>
      <c r="Y97" s="93">
        <f>SUM('31:16'!Y97)</f>
        <v>0</v>
      </c>
      <c r="Z97" s="93">
        <f>SUM('31:16'!Z97)</f>
        <v>0</v>
      </c>
      <c r="AA97" s="93">
        <f>SUM('31:16'!AA97)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SUM('31:16'!G98)</f>
        <v>102</v>
      </c>
      <c r="H98" s="93">
        <f>SUM('31:16'!H98)</f>
        <v>513.06000000000006</v>
      </c>
      <c r="I98" s="93">
        <f>SUM('31:16'!I98)</f>
        <v>10.5</v>
      </c>
      <c r="J98" s="31">
        <f t="array" ref="J98">IF(ISERROR(G98/I98),"",G98/I98)</f>
        <v>9.7142857142857135</v>
      </c>
      <c r="K98" s="35">
        <f t="array" ref="K98">IF(ISERROR(G98/L98),"",G98/L98)</f>
        <v>12.75</v>
      </c>
      <c r="L98" s="87">
        <v>8</v>
      </c>
      <c r="M98" s="36">
        <f>IF(ISERROR(I98-K98),"",I98-K98)</f>
        <v>-2.25</v>
      </c>
      <c r="N98" s="93">
        <f>SUM('31:16'!N98)</f>
        <v>0</v>
      </c>
      <c r="O98" s="93">
        <f>SUM('31:16'!O98)</f>
        <v>0</v>
      </c>
      <c r="P98" s="93">
        <f>SUM('31:16'!P98)</f>
        <v>0</v>
      </c>
      <c r="Q98" s="93">
        <f>SUM('31:16'!Q98)</f>
        <v>0</v>
      </c>
      <c r="R98" s="93">
        <f>SUM('31:16'!R98)</f>
        <v>0</v>
      </c>
      <c r="S98" s="93">
        <f>SUM('31:16'!S98)</f>
        <v>0</v>
      </c>
      <c r="T98" s="93">
        <f>SUM('31:16'!T98)</f>
        <v>0</v>
      </c>
      <c r="U98" s="93">
        <f>SUM('31:16'!U98)</f>
        <v>0</v>
      </c>
      <c r="V98" s="207">
        <f>SUM(X98:AA98)</f>
        <v>0</v>
      </c>
      <c r="W98" s="33">
        <f>IF(ISERROR(V98/G98),"",V98/G98)</f>
        <v>0</v>
      </c>
      <c r="X98" s="93">
        <f>SUM('31:16'!X98)</f>
        <v>0</v>
      </c>
      <c r="Y98" s="93">
        <f>SUM('31:16'!Y98)</f>
        <v>0</v>
      </c>
      <c r="Z98" s="93">
        <f>SUM('31:16'!Z98)</f>
        <v>0</v>
      </c>
      <c r="AA98" s="93">
        <f>SUM('31:16'!AA98)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SUM('31:16'!G99)</f>
        <v>0</v>
      </c>
      <c r="H99" s="93">
        <f>SUM('31:16'!H99)</f>
        <v>0</v>
      </c>
      <c r="I99" s="93">
        <f>SUM('31:16'!I99)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SUM('31:16'!N99)</f>
        <v>0</v>
      </c>
      <c r="O99" s="93">
        <f>SUM('31:16'!O99)</f>
        <v>0</v>
      </c>
      <c r="P99" s="93">
        <f>SUM('31:16'!P99)</f>
        <v>0</v>
      </c>
      <c r="Q99" s="93">
        <f>SUM('31:16'!Q99)</f>
        <v>0</v>
      </c>
      <c r="R99" s="93">
        <f>SUM('31:16'!R99)</f>
        <v>0</v>
      </c>
      <c r="S99" s="93">
        <f>SUM('31:16'!S99)</f>
        <v>0</v>
      </c>
      <c r="T99" s="93">
        <f>SUM('31:16'!T99)</f>
        <v>0</v>
      </c>
      <c r="U99" s="93">
        <f>SUM('31:16'!U99)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SUM('31:16'!X99)</f>
        <v>0</v>
      </c>
      <c r="Y99" s="93">
        <f>SUM('31:16'!Y99)</f>
        <v>0</v>
      </c>
      <c r="Z99" s="93">
        <f>SUM('31:16'!Z99)</f>
        <v>0</v>
      </c>
      <c r="AA99" s="93">
        <f>SUM('31:16'!AA99)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SUM('31:16'!G100)</f>
        <v>0</v>
      </c>
      <c r="H100" s="93">
        <f>SUM('31:16'!H100)</f>
        <v>0</v>
      </c>
      <c r="I100" s="93">
        <f>SUM('31:16'!I100)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SUM('31:16'!N100)</f>
        <v>0</v>
      </c>
      <c r="O100" s="93">
        <f>SUM('31:16'!O100)</f>
        <v>0</v>
      </c>
      <c r="P100" s="93">
        <f>SUM('31:16'!P100)</f>
        <v>0</v>
      </c>
      <c r="Q100" s="93">
        <f>SUM('31:16'!Q100)</f>
        <v>0</v>
      </c>
      <c r="R100" s="93">
        <f>SUM('31:16'!R100)</f>
        <v>0</v>
      </c>
      <c r="S100" s="93">
        <f>SUM('31:16'!S100)</f>
        <v>0</v>
      </c>
      <c r="T100" s="93">
        <f>SUM('31:16'!T100)</f>
        <v>0</v>
      </c>
      <c r="U100" s="93">
        <f>SUM('31:16'!U100)</f>
        <v>0</v>
      </c>
      <c r="V100" s="206">
        <f t="shared" si="33"/>
        <v>0</v>
      </c>
      <c r="W100" s="33" t="str">
        <f t="shared" si="34"/>
        <v/>
      </c>
      <c r="X100" s="93">
        <f>SUM('31:16'!X100)</f>
        <v>0</v>
      </c>
      <c r="Y100" s="93">
        <f>SUM('31:16'!Y100)</f>
        <v>0</v>
      </c>
      <c r="Z100" s="93">
        <f>SUM('31:16'!Z100)</f>
        <v>0</v>
      </c>
      <c r="AA100" s="93">
        <f>SUM('31:16'!AA100)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SUM('31:16'!G101)</f>
        <v>0</v>
      </c>
      <c r="H101" s="93">
        <f>SUM('31:16'!H101)</f>
        <v>0</v>
      </c>
      <c r="I101" s="93">
        <f>SUM('31:16'!I101)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SUM('31:16'!N101)</f>
        <v>0</v>
      </c>
      <c r="O101" s="93">
        <f>SUM('31:16'!O101)</f>
        <v>0</v>
      </c>
      <c r="P101" s="93">
        <f>SUM('31:16'!P101)</f>
        <v>0</v>
      </c>
      <c r="Q101" s="93">
        <f>SUM('31:16'!Q101)</f>
        <v>0</v>
      </c>
      <c r="R101" s="93">
        <f>SUM('31:16'!R101)</f>
        <v>0</v>
      </c>
      <c r="S101" s="93">
        <f>SUM('31:16'!S101)</f>
        <v>0</v>
      </c>
      <c r="T101" s="93">
        <f>SUM('31:16'!T101)</f>
        <v>0</v>
      </c>
      <c r="U101" s="93">
        <f>SUM('31:16'!U101)</f>
        <v>0</v>
      </c>
      <c r="V101" s="206">
        <f t="shared" si="33"/>
        <v>0</v>
      </c>
      <c r="W101" s="33" t="str">
        <f t="shared" si="34"/>
        <v/>
      </c>
      <c r="X101" s="93">
        <f>SUM('31:16'!X101)</f>
        <v>0</v>
      </c>
      <c r="Y101" s="93">
        <f>SUM('31:16'!Y101)</f>
        <v>0</v>
      </c>
      <c r="Z101" s="93">
        <f>SUM('31:16'!Z101)</f>
        <v>0</v>
      </c>
      <c r="AA101" s="93">
        <f>SUM('31:16'!AA101)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SUM('31:16'!G102)</f>
        <v>0</v>
      </c>
      <c r="H102" s="93">
        <f>SUM('31:16'!H102)</f>
        <v>0</v>
      </c>
      <c r="I102" s="93">
        <f>SUM('31:16'!I102)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SUM('31:16'!N102)</f>
        <v>0</v>
      </c>
      <c r="O102" s="93">
        <f>SUM('31:16'!O102)</f>
        <v>0</v>
      </c>
      <c r="P102" s="93">
        <f>SUM('31:16'!P102)</f>
        <v>0</v>
      </c>
      <c r="Q102" s="93">
        <f>SUM('31:16'!Q102)</f>
        <v>0</v>
      </c>
      <c r="R102" s="93">
        <f>SUM('31:16'!R102)</f>
        <v>0</v>
      </c>
      <c r="S102" s="93">
        <f>SUM('31:16'!S102)</f>
        <v>0</v>
      </c>
      <c r="T102" s="93">
        <f>SUM('31:16'!T102)</f>
        <v>0</v>
      </c>
      <c r="U102" s="93">
        <f>SUM('31:16'!U102)</f>
        <v>0</v>
      </c>
      <c r="V102" s="206">
        <f t="shared" si="33"/>
        <v>0</v>
      </c>
      <c r="W102" s="33" t="str">
        <f t="shared" si="34"/>
        <v/>
      </c>
      <c r="X102" s="93">
        <f>SUM('31:16'!X102)</f>
        <v>0</v>
      </c>
      <c r="Y102" s="93">
        <f>SUM('31:16'!Y102)</f>
        <v>0</v>
      </c>
      <c r="Z102" s="93">
        <f>SUM('31:16'!Z102)</f>
        <v>0</v>
      </c>
      <c r="AA102" s="93">
        <f>SUM('31:16'!AA102)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SUM('31:16'!G103)</f>
        <v>0</v>
      </c>
      <c r="H103" s="93">
        <f>SUM('31:16'!H103)</f>
        <v>0</v>
      </c>
      <c r="I103" s="93">
        <f>SUM('31:16'!I103)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SUM('31:16'!N103)</f>
        <v>0</v>
      </c>
      <c r="O103" s="93">
        <f>SUM('31:16'!O103)</f>
        <v>0</v>
      </c>
      <c r="P103" s="93">
        <f>SUM('31:16'!P103)</f>
        <v>0</v>
      </c>
      <c r="Q103" s="93">
        <f>SUM('31:16'!Q103)</f>
        <v>0</v>
      </c>
      <c r="R103" s="93">
        <f>SUM('31:16'!R103)</f>
        <v>0</v>
      </c>
      <c r="S103" s="93">
        <f>SUM('31:16'!S103)</f>
        <v>0</v>
      </c>
      <c r="T103" s="93">
        <f>SUM('31:16'!T103)</f>
        <v>0</v>
      </c>
      <c r="U103" s="93">
        <f>SUM('31:16'!U103)</f>
        <v>0</v>
      </c>
      <c r="V103" s="206">
        <f t="shared" si="33"/>
        <v>0</v>
      </c>
      <c r="W103" s="33" t="str">
        <f t="shared" si="34"/>
        <v/>
      </c>
      <c r="X103" s="93">
        <f>SUM('31:16'!X103)</f>
        <v>0</v>
      </c>
      <c r="Y103" s="93">
        <f>SUM('31:16'!Y103)</f>
        <v>0</v>
      </c>
      <c r="Z103" s="93">
        <f>SUM('31:16'!Z103)</f>
        <v>0</v>
      </c>
      <c r="AA103" s="93">
        <f>SUM('31:16'!AA103)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SUM('31:16'!G104)</f>
        <v>0</v>
      </c>
      <c r="H104" s="93">
        <f>SUM('31:16'!H104)</f>
        <v>0</v>
      </c>
      <c r="I104" s="93">
        <f>SUM('31:16'!I104)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SUM('31:16'!N104)</f>
        <v>0</v>
      </c>
      <c r="O104" s="93">
        <f>SUM('31:16'!O104)</f>
        <v>0</v>
      </c>
      <c r="P104" s="93">
        <f>SUM('31:16'!P104)</f>
        <v>0</v>
      </c>
      <c r="Q104" s="93">
        <f>SUM('31:16'!Q104)</f>
        <v>0</v>
      </c>
      <c r="R104" s="93">
        <f>SUM('31:16'!R104)</f>
        <v>0</v>
      </c>
      <c r="S104" s="93">
        <f>SUM('31:16'!S104)</f>
        <v>0</v>
      </c>
      <c r="T104" s="93">
        <f>SUM('31:16'!T104)</f>
        <v>0</v>
      </c>
      <c r="U104" s="93">
        <f>SUM('31:16'!U104)</f>
        <v>0</v>
      </c>
      <c r="V104" s="206">
        <f t="shared" si="33"/>
        <v>0</v>
      </c>
      <c r="W104" s="33" t="str">
        <f t="shared" si="34"/>
        <v/>
      </c>
      <c r="X104" s="93">
        <f>SUM('31:16'!X104)</f>
        <v>0</v>
      </c>
      <c r="Y104" s="93">
        <f>SUM('31:16'!Y104)</f>
        <v>0</v>
      </c>
      <c r="Z104" s="93">
        <f>SUM('31:16'!Z104)</f>
        <v>0</v>
      </c>
      <c r="AA104" s="93">
        <f>SUM('31:16'!AA104)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SUM('31:16'!G105)</f>
        <v>0</v>
      </c>
      <c r="H105" s="93">
        <f>SUM('31:16'!H105)</f>
        <v>0</v>
      </c>
      <c r="I105" s="93">
        <f>SUM('31:16'!I105)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SUM('31:16'!N105)</f>
        <v>0</v>
      </c>
      <c r="O105" s="93">
        <f>SUM('31:16'!O105)</f>
        <v>0</v>
      </c>
      <c r="P105" s="93">
        <f>SUM('31:16'!P105)</f>
        <v>0</v>
      </c>
      <c r="Q105" s="93">
        <f>SUM('31:16'!Q105)</f>
        <v>0</v>
      </c>
      <c r="R105" s="93">
        <f>SUM('31:16'!R105)</f>
        <v>0</v>
      </c>
      <c r="S105" s="93">
        <f>SUM('31:16'!S105)</f>
        <v>0</v>
      </c>
      <c r="T105" s="93">
        <f>SUM('31:16'!T105)</f>
        <v>0</v>
      </c>
      <c r="U105" s="93">
        <f>SUM('31:16'!U105)</f>
        <v>0</v>
      </c>
      <c r="V105" s="206">
        <f t="shared" si="33"/>
        <v>0</v>
      </c>
      <c r="W105" s="33" t="str">
        <f t="shared" si="34"/>
        <v/>
      </c>
      <c r="X105" s="93">
        <f>SUM('31:16'!X105)</f>
        <v>0</v>
      </c>
      <c r="Y105" s="93">
        <f>SUM('31:16'!Y105)</f>
        <v>0</v>
      </c>
      <c r="Z105" s="93">
        <f>SUM('31:16'!Z105)</f>
        <v>0</v>
      </c>
      <c r="AA105" s="93">
        <f>SUM('31:16'!AA105)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SUM('31:16'!G106)</f>
        <v>0</v>
      </c>
      <c r="H106" s="93">
        <f>SUM('31:16'!H106)</f>
        <v>0</v>
      </c>
      <c r="I106" s="93">
        <f>SUM('31:16'!I106)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SUM('31:16'!N106)</f>
        <v>0</v>
      </c>
      <c r="O106" s="93">
        <f>SUM('31:16'!O106)</f>
        <v>0</v>
      </c>
      <c r="P106" s="93">
        <f>SUM('31:16'!P106)</f>
        <v>0</v>
      </c>
      <c r="Q106" s="93">
        <f>SUM('31:16'!Q106)</f>
        <v>0</v>
      </c>
      <c r="R106" s="93">
        <f>SUM('31:16'!R106)</f>
        <v>0</v>
      </c>
      <c r="S106" s="93">
        <f>SUM('31:16'!S106)</f>
        <v>0</v>
      </c>
      <c r="T106" s="93">
        <f>SUM('31:16'!T106)</f>
        <v>0</v>
      </c>
      <c r="U106" s="93">
        <f>SUM('31:16'!U106)</f>
        <v>0</v>
      </c>
      <c r="V106" s="206">
        <f t="shared" si="33"/>
        <v>0</v>
      </c>
      <c r="W106" s="33" t="str">
        <f t="shared" si="34"/>
        <v/>
      </c>
      <c r="X106" s="93">
        <f>SUM('31:16'!X106)</f>
        <v>0</v>
      </c>
      <c r="Y106" s="93">
        <f>SUM('31:16'!Y106)</f>
        <v>0</v>
      </c>
      <c r="Z106" s="93">
        <f>SUM('31:16'!Z106)</f>
        <v>0</v>
      </c>
      <c r="AA106" s="93">
        <f>SUM('31:16'!AA106)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SUM('31:16'!G107)</f>
        <v>1315</v>
      </c>
      <c r="H107" s="93">
        <f>SUM('31:16'!H107)</f>
        <v>6575</v>
      </c>
      <c r="I107" s="93">
        <f>SUM('31:16'!I107)</f>
        <v>174</v>
      </c>
      <c r="J107" s="31"/>
      <c r="K107" s="35">
        <f t="array" ref="K107">IF(ISERROR(G107/L107),"",G107/L107)</f>
        <v>263</v>
      </c>
      <c r="L107" s="87">
        <v>5</v>
      </c>
      <c r="M107" s="36">
        <f t="shared" si="32"/>
        <v>-89</v>
      </c>
      <c r="N107" s="93">
        <f>SUM('31:16'!N107)</f>
        <v>0</v>
      </c>
      <c r="O107" s="93">
        <f>SUM('31:16'!O107)</f>
        <v>0</v>
      </c>
      <c r="P107" s="93">
        <f>SUM('31:16'!P107)</f>
        <v>0</v>
      </c>
      <c r="Q107" s="93">
        <f>SUM('31:16'!Q107)</f>
        <v>0</v>
      </c>
      <c r="R107" s="93">
        <f>SUM('31:16'!R107)</f>
        <v>0</v>
      </c>
      <c r="S107" s="93">
        <f>SUM('31:16'!S107)</f>
        <v>0</v>
      </c>
      <c r="T107" s="93">
        <f>SUM('31:16'!T107)</f>
        <v>0</v>
      </c>
      <c r="U107" s="93">
        <f>SUM('31:16'!U107)</f>
        <v>0</v>
      </c>
      <c r="V107" s="206"/>
      <c r="W107" s="33"/>
      <c r="X107" s="93">
        <f>SUM('31:16'!X107)</f>
        <v>0</v>
      </c>
      <c r="Y107" s="93">
        <f>SUM('31:16'!Y107)</f>
        <v>0</v>
      </c>
      <c r="Z107" s="93">
        <f>SUM('31:16'!Z107)</f>
        <v>0</v>
      </c>
      <c r="AA107" s="93">
        <f>SUM('31:16'!AA107)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SUM('31:16'!G108)</f>
        <v>1384</v>
      </c>
      <c r="H108" s="93">
        <f>SUM('31:16'!H108)</f>
        <v>6920</v>
      </c>
      <c r="I108" s="93">
        <f>SUM('31:16'!I108)</f>
        <v>118.5</v>
      </c>
      <c r="J108" s="31"/>
      <c r="K108" s="35">
        <f t="array" ref="K108">IF(ISERROR(G108/L108),"",G108/L108)</f>
        <v>276.8</v>
      </c>
      <c r="L108" s="87">
        <v>5</v>
      </c>
      <c r="M108" s="36">
        <f t="shared" si="32"/>
        <v>-158.30000000000001</v>
      </c>
      <c r="N108" s="93">
        <f>SUM('31:16'!N108)</f>
        <v>0</v>
      </c>
      <c r="O108" s="93">
        <f>SUM('31:16'!O108)</f>
        <v>0</v>
      </c>
      <c r="P108" s="93">
        <f>SUM('31:16'!P108)</f>
        <v>0</v>
      </c>
      <c r="Q108" s="93">
        <f>SUM('31:16'!Q108)</f>
        <v>0</v>
      </c>
      <c r="R108" s="93">
        <f>SUM('31:16'!R108)</f>
        <v>0</v>
      </c>
      <c r="S108" s="93">
        <f>SUM('31:16'!S108)</f>
        <v>0</v>
      </c>
      <c r="T108" s="93">
        <f>SUM('31:16'!T108)</f>
        <v>0</v>
      </c>
      <c r="U108" s="93">
        <f>SUM('31:16'!U108)</f>
        <v>0</v>
      </c>
      <c r="V108" s="206"/>
      <c r="W108" s="33"/>
      <c r="X108" s="93">
        <f>SUM('31:16'!X108)</f>
        <v>0</v>
      </c>
      <c r="Y108" s="93">
        <f>SUM('31:16'!Y108)</f>
        <v>0</v>
      </c>
      <c r="Z108" s="93">
        <f>SUM('31:16'!Z108)</f>
        <v>0</v>
      </c>
      <c r="AA108" s="93">
        <f>SUM('31:16'!AA108)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SUM('31:16'!G109)</f>
        <v>973</v>
      </c>
      <c r="H109" s="93">
        <f>SUM('31:16'!H109)</f>
        <v>4865</v>
      </c>
      <c r="I109" s="93">
        <f>SUM('31:16'!I109)</f>
        <v>122.5</v>
      </c>
      <c r="J109" s="31"/>
      <c r="K109" s="35">
        <f t="array" ref="K109">IF(ISERROR(G109/L109),"",G109/L109)</f>
        <v>194.6</v>
      </c>
      <c r="L109" s="87">
        <v>5</v>
      </c>
      <c r="M109" s="36">
        <f t="shared" si="32"/>
        <v>-72.099999999999994</v>
      </c>
      <c r="N109" s="93">
        <f>SUM('31:16'!N109)</f>
        <v>0</v>
      </c>
      <c r="O109" s="93">
        <f>SUM('31:16'!O109)</f>
        <v>0</v>
      </c>
      <c r="P109" s="93">
        <f>SUM('31:16'!P109)</f>
        <v>0</v>
      </c>
      <c r="Q109" s="93">
        <f>SUM('31:16'!Q109)</f>
        <v>0</v>
      </c>
      <c r="R109" s="93">
        <f>SUM('31:16'!R109)</f>
        <v>0</v>
      </c>
      <c r="S109" s="93">
        <f>SUM('31:16'!S109)</f>
        <v>0</v>
      </c>
      <c r="T109" s="93">
        <f>SUM('31:16'!T109)</f>
        <v>0</v>
      </c>
      <c r="U109" s="93">
        <f>SUM('31:16'!U109)</f>
        <v>0</v>
      </c>
      <c r="V109" s="206"/>
      <c r="W109" s="33"/>
      <c r="X109" s="93">
        <f>SUM('31:16'!X109)</f>
        <v>0</v>
      </c>
      <c r="Y109" s="93">
        <f>SUM('31:16'!Y109)</f>
        <v>0</v>
      </c>
      <c r="Z109" s="93">
        <f>SUM('31:16'!Z109)</f>
        <v>0</v>
      </c>
      <c r="AA109" s="93">
        <f>SUM('31:16'!AA109)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SUM('31:16'!G110)</f>
        <v>0</v>
      </c>
      <c r="H110" s="93">
        <f>SUM('31:16'!H110)</f>
        <v>0</v>
      </c>
      <c r="I110" s="93">
        <f>SUM('31:16'!I110)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SUM('31:16'!N110)</f>
        <v>0</v>
      </c>
      <c r="O110" s="93">
        <f>SUM('31:16'!O110)</f>
        <v>0</v>
      </c>
      <c r="P110" s="93">
        <f>SUM('31:16'!P110)</f>
        <v>0</v>
      </c>
      <c r="Q110" s="93">
        <f>SUM('31:16'!Q110)</f>
        <v>0</v>
      </c>
      <c r="R110" s="93">
        <f>SUM('31:16'!R110)</f>
        <v>0</v>
      </c>
      <c r="S110" s="93">
        <f>SUM('31:16'!S110)</f>
        <v>0</v>
      </c>
      <c r="T110" s="93">
        <f>SUM('31:16'!T110)</f>
        <v>0</v>
      </c>
      <c r="U110" s="93">
        <f>SUM('31:16'!U110)</f>
        <v>0</v>
      </c>
      <c r="V110" s="206"/>
      <c r="W110" s="33"/>
      <c r="X110" s="93">
        <f>SUM('31:16'!X110)</f>
        <v>0</v>
      </c>
      <c r="Y110" s="93">
        <f>SUM('31:16'!Y110)</f>
        <v>0</v>
      </c>
      <c r="Z110" s="93">
        <f>SUM('31:16'!Z110)</f>
        <v>0</v>
      </c>
      <c r="AA110" s="93">
        <f>SUM('31:16'!AA110)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SUM('31:16'!G111)</f>
        <v>811</v>
      </c>
      <c r="H111" s="93">
        <f>SUM('31:16'!H111)</f>
        <v>4055</v>
      </c>
      <c r="I111" s="93">
        <f>SUM('31:16'!I111)</f>
        <v>125</v>
      </c>
      <c r="J111" s="31"/>
      <c r="K111" s="35">
        <f t="array" ref="K111">IF(ISERROR(G111/L111),"",G111/L111)</f>
        <v>162.19999999999999</v>
      </c>
      <c r="L111" s="87">
        <v>5</v>
      </c>
      <c r="M111" s="36">
        <f t="shared" si="32"/>
        <v>-37.199999999999989</v>
      </c>
      <c r="N111" s="93">
        <f>SUM('31:16'!N111)</f>
        <v>0</v>
      </c>
      <c r="O111" s="93">
        <f>SUM('31:16'!O111)</f>
        <v>0</v>
      </c>
      <c r="P111" s="93">
        <f>SUM('31:16'!P111)</f>
        <v>0</v>
      </c>
      <c r="Q111" s="93">
        <f>SUM('31:16'!Q111)</f>
        <v>0</v>
      </c>
      <c r="R111" s="93">
        <f>SUM('31:16'!R111)</f>
        <v>0</v>
      </c>
      <c r="S111" s="93">
        <f>SUM('31:16'!S111)</f>
        <v>0</v>
      </c>
      <c r="T111" s="93">
        <f>SUM('31:16'!T111)</f>
        <v>0</v>
      </c>
      <c r="U111" s="93">
        <f>SUM('31:16'!U111)</f>
        <v>0</v>
      </c>
      <c r="V111" s="206"/>
      <c r="W111" s="33"/>
      <c r="X111" s="93">
        <f>SUM('31:16'!X111)</f>
        <v>0</v>
      </c>
      <c r="Y111" s="93">
        <f>SUM('31:16'!Y111)</f>
        <v>0</v>
      </c>
      <c r="Z111" s="93">
        <f>SUM('31:16'!Z111)</f>
        <v>0</v>
      </c>
      <c r="AA111" s="93">
        <f>SUM('31:16'!AA111)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SUM('31:16'!G112)</f>
        <v>703</v>
      </c>
      <c r="H112" s="93">
        <f>SUM('31:16'!H112)</f>
        <v>3515</v>
      </c>
      <c r="I112" s="93">
        <f>SUM('31:16'!I112)</f>
        <v>151.69999999999999</v>
      </c>
      <c r="J112" s="31"/>
      <c r="K112" s="35">
        <f t="array" ref="K112">IF(ISERROR(G112/L112),"",G112/L112)</f>
        <v>140.6</v>
      </c>
      <c r="L112" s="87">
        <v>5</v>
      </c>
      <c r="M112" s="36">
        <f t="shared" si="32"/>
        <v>11.099999999999994</v>
      </c>
      <c r="N112" s="93">
        <f>SUM('31:16'!N112)</f>
        <v>0</v>
      </c>
      <c r="O112" s="93">
        <f>SUM('31:16'!O112)</f>
        <v>0</v>
      </c>
      <c r="P112" s="93">
        <f>SUM('31:16'!P112)</f>
        <v>0</v>
      </c>
      <c r="Q112" s="93">
        <f>SUM('31:16'!Q112)</f>
        <v>0</v>
      </c>
      <c r="R112" s="93">
        <f>SUM('31:16'!R112)</f>
        <v>0</v>
      </c>
      <c r="S112" s="93">
        <f>SUM('31:16'!S112)</f>
        <v>0</v>
      </c>
      <c r="T112" s="93">
        <f>SUM('31:16'!T112)</f>
        <v>0</v>
      </c>
      <c r="U112" s="93">
        <f>SUM('31:16'!U112)</f>
        <v>0</v>
      </c>
      <c r="V112" s="206"/>
      <c r="W112" s="33"/>
      <c r="X112" s="93">
        <f>SUM('31:16'!X112)</f>
        <v>0</v>
      </c>
      <c r="Y112" s="93">
        <f>SUM('31:16'!Y112)</f>
        <v>0</v>
      </c>
      <c r="Z112" s="93">
        <f>SUM('31:16'!Z112)</f>
        <v>0</v>
      </c>
      <c r="AA112" s="93">
        <f>SUM('31:16'!AA112)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SUM('31:16'!G113)</f>
        <v>257</v>
      </c>
      <c r="H113" s="93">
        <f>SUM('31:16'!H113)</f>
        <v>1300.4199999999998</v>
      </c>
      <c r="I113" s="93">
        <f>SUM('31:16'!I113)</f>
        <v>22</v>
      </c>
      <c r="J113" s="31">
        <f t="array" ref="J113">IF(ISERROR(G113/I113),"",G113/I113)</f>
        <v>11.681818181818182</v>
      </c>
      <c r="K113" s="35">
        <f t="array" ref="K113">IF(ISERROR(G113/L113),"",G113/L113)</f>
        <v>16.580645161290324</v>
      </c>
      <c r="L113" s="87">
        <v>15.5</v>
      </c>
      <c r="M113" s="36">
        <f t="shared" si="32"/>
        <v>5.4193548387096762</v>
      </c>
      <c r="N113" s="93">
        <f>SUM('31:16'!N113)</f>
        <v>0</v>
      </c>
      <c r="O113" s="93">
        <f>SUM('31:16'!O113)</f>
        <v>0</v>
      </c>
      <c r="P113" s="93">
        <f>SUM('31:16'!P113)</f>
        <v>0</v>
      </c>
      <c r="Q113" s="93">
        <f>SUM('31:16'!Q113)</f>
        <v>0</v>
      </c>
      <c r="R113" s="93">
        <f>SUM('31:16'!R113)</f>
        <v>0</v>
      </c>
      <c r="S113" s="93">
        <f>SUM('31:16'!S113)</f>
        <v>0</v>
      </c>
      <c r="T113" s="93">
        <f>SUM('31:16'!T113)</f>
        <v>0</v>
      </c>
      <c r="U113" s="93">
        <f>SUM('31:16'!U113)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SUM('31:16'!X113)</f>
        <v>0</v>
      </c>
      <c r="Y113" s="93">
        <f>SUM('31:16'!Y113)</f>
        <v>0</v>
      </c>
      <c r="Z113" s="93">
        <f>SUM('31:16'!Z113)</f>
        <v>0</v>
      </c>
      <c r="AA113" s="93">
        <f>SUM('31:16'!AA113)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SUM('31:16'!G114)</f>
        <v>0</v>
      </c>
      <c r="H114" s="93">
        <f>SUM('31:16'!H114)</f>
        <v>0</v>
      </c>
      <c r="I114" s="93">
        <f>SUM('31:16'!I114)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2"/>
        <v>0</v>
      </c>
      <c r="N114" s="93">
        <f>SUM('31:16'!N114)</f>
        <v>0</v>
      </c>
      <c r="O114" s="93">
        <f>SUM('31:16'!O114)</f>
        <v>0</v>
      </c>
      <c r="P114" s="93">
        <f>SUM('31:16'!P114)</f>
        <v>0</v>
      </c>
      <c r="Q114" s="93">
        <f>SUM('31:16'!Q114)</f>
        <v>0</v>
      </c>
      <c r="R114" s="93">
        <f>SUM('31:16'!R114)</f>
        <v>0</v>
      </c>
      <c r="S114" s="93">
        <f>SUM('31:16'!S114)</f>
        <v>0</v>
      </c>
      <c r="T114" s="93">
        <f>SUM('31:16'!T114)</f>
        <v>0</v>
      </c>
      <c r="U114" s="93">
        <f>SUM('31:16'!U114)</f>
        <v>0</v>
      </c>
      <c r="V114" s="206">
        <f t="shared" si="35"/>
        <v>0</v>
      </c>
      <c r="W114" s="33" t="str">
        <f t="shared" si="36"/>
        <v/>
      </c>
      <c r="X114" s="93">
        <f>SUM('31:16'!X114)</f>
        <v>0</v>
      </c>
      <c r="Y114" s="93">
        <f>SUM('31:16'!Y114)</f>
        <v>0</v>
      </c>
      <c r="Z114" s="93">
        <f>SUM('31:16'!Z114)</f>
        <v>0</v>
      </c>
      <c r="AA114" s="93">
        <f>SUM('31:16'!AA114)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SUM('31:16'!G115)</f>
        <v>701</v>
      </c>
      <c r="H115" s="93">
        <f>SUM('31:16'!H115)</f>
        <v>3505</v>
      </c>
      <c r="I115" s="93">
        <f>SUM('31:16'!I115)</f>
        <v>31.5</v>
      </c>
      <c r="J115" s="31"/>
      <c r="K115" s="35">
        <f t="array" ref="K115">IF(ISERROR(G115/L115),"",G115/L115)</f>
        <v>29.208333333333332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SUM('31:16'!G116)</f>
        <v>488</v>
      </c>
      <c r="H116" s="93">
        <f>SUM('31:16'!H116)</f>
        <v>2440</v>
      </c>
      <c r="I116" s="93">
        <f>SUM('31:16'!I116)</f>
        <v>59</v>
      </c>
      <c r="J116" s="31"/>
      <c r="K116" s="35">
        <f t="array" ref="K116">IF(ISERROR(G116/L116),"",G116/L116)</f>
        <v>20.333333333333332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SUM('31:16'!G117)</f>
        <v>773</v>
      </c>
      <c r="H117" s="93">
        <f>SUM('31:16'!H117)</f>
        <v>3865</v>
      </c>
      <c r="I117" s="93">
        <f>SUM('31:16'!I117)</f>
        <v>38</v>
      </c>
      <c r="J117" s="31"/>
      <c r="K117" s="35">
        <f t="array" ref="K117">IF(ISERROR(G117/L117),"",G117/L117)</f>
        <v>32.208333333333336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SUM('31:16'!G118)</f>
        <v>471</v>
      </c>
      <c r="H118" s="93">
        <f>SUM('31:16'!H118)</f>
        <v>2387.9700000000003</v>
      </c>
      <c r="I118" s="93">
        <f>SUM('31:16'!I118)</f>
        <v>57</v>
      </c>
      <c r="J118" s="31">
        <f t="array" ref="J118">IF(ISERROR(G118/I118),"",G118/I118)</f>
        <v>8.2631578947368425</v>
      </c>
      <c r="K118" s="35">
        <f t="array" ref="K118">IF(ISERROR(G118/L118),"",G118/L118)</f>
        <v>52.333333333333336</v>
      </c>
      <c r="L118" s="87">
        <v>9</v>
      </c>
      <c r="M118" s="36">
        <f t="shared" ref="M118:M120" si="37">IF(ISERROR(I118-K118),"",I118-K118)</f>
        <v>4.6666666666666643</v>
      </c>
      <c r="N118" s="93">
        <f>SUM('31:16'!N118)</f>
        <v>0</v>
      </c>
      <c r="O118" s="93">
        <f>SUM('31:16'!O118)</f>
        <v>0</v>
      </c>
      <c r="P118" s="93">
        <f>SUM('31:16'!P118)</f>
        <v>0</v>
      </c>
      <c r="Q118" s="93">
        <f>SUM('31:16'!Q118)</f>
        <v>0</v>
      </c>
      <c r="R118" s="93">
        <f>SUM('31:16'!R118)</f>
        <v>0</v>
      </c>
      <c r="S118" s="93">
        <f>SUM('31:16'!S118)</f>
        <v>0</v>
      </c>
      <c r="T118" s="93">
        <f>SUM('31:16'!T118)</f>
        <v>0</v>
      </c>
      <c r="U118" s="93">
        <f>SUM('31:16'!U118)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SUM('31:16'!X118)</f>
        <v>0</v>
      </c>
      <c r="Y118" s="93">
        <f>SUM('31:16'!Y118)</f>
        <v>0</v>
      </c>
      <c r="Z118" s="93">
        <f>SUM('31:16'!Z118)</f>
        <v>0</v>
      </c>
      <c r="AA118" s="93">
        <f>SUM('31:16'!AA118)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SUM('31:16'!G119)</f>
        <v>0</v>
      </c>
      <c r="H119" s="93">
        <f>SUM('31:16'!H119)</f>
        <v>0</v>
      </c>
      <c r="I119" s="93">
        <f>SUM('31:16'!I119)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SUM('31:16'!N119)</f>
        <v>0</v>
      </c>
      <c r="O119" s="93">
        <f>SUM('31:16'!O119)</f>
        <v>0</v>
      </c>
      <c r="P119" s="93">
        <f>SUM('31:16'!P119)</f>
        <v>0</v>
      </c>
      <c r="Q119" s="93">
        <f>SUM('31:16'!Q119)</f>
        <v>0</v>
      </c>
      <c r="R119" s="93">
        <f>SUM('31:16'!R119)</f>
        <v>0</v>
      </c>
      <c r="S119" s="93">
        <f>SUM('31:16'!S119)</f>
        <v>0</v>
      </c>
      <c r="T119" s="93">
        <f>SUM('31:16'!T119)</f>
        <v>0</v>
      </c>
      <c r="U119" s="93">
        <f>SUM('31:16'!U119)</f>
        <v>0</v>
      </c>
      <c r="V119" s="206">
        <f t="shared" si="38"/>
        <v>0</v>
      </c>
      <c r="W119" s="33" t="str">
        <f>IF(ISERROR(V119/G119),"",V119/G119)</f>
        <v/>
      </c>
      <c r="X119" s="93">
        <f>SUM('31:16'!X119)</f>
        <v>0</v>
      </c>
      <c r="Y119" s="93">
        <f>SUM('31:16'!Y119)</f>
        <v>0</v>
      </c>
      <c r="Z119" s="93">
        <f>SUM('31:16'!Z119)</f>
        <v>0</v>
      </c>
      <c r="AA119" s="93">
        <f>SUM('31:16'!AA119)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SUM('31:16'!G120)</f>
        <v>929</v>
      </c>
      <c r="H120" s="93">
        <f>SUM('31:16'!H120)</f>
        <v>4700.74</v>
      </c>
      <c r="I120" s="93">
        <f>SUM('31:16'!I120)</f>
        <v>61</v>
      </c>
      <c r="J120" s="31">
        <f t="array" ref="J120">IF(ISERROR(G120/I120),"",G120/I120)</f>
        <v>15.229508196721312</v>
      </c>
      <c r="K120" s="339">
        <f t="array" ref="K120">IF(ISERROR(G120/L120),"",G120/L120)</f>
        <v>103.22222222222223</v>
      </c>
      <c r="L120" s="87">
        <v>9</v>
      </c>
      <c r="M120" s="36">
        <f t="shared" si="37"/>
        <v>-42.222222222222229</v>
      </c>
      <c r="N120" s="93">
        <f>SUM('31:16'!N120)</f>
        <v>0</v>
      </c>
      <c r="O120" s="93">
        <f>SUM('31:16'!O120)</f>
        <v>0</v>
      </c>
      <c r="P120" s="93">
        <f>SUM('31:16'!P120)</f>
        <v>0</v>
      </c>
      <c r="Q120" s="93">
        <f>SUM('31:16'!Q120)</f>
        <v>0</v>
      </c>
      <c r="R120" s="93">
        <f>SUM('31:16'!R120)</f>
        <v>0</v>
      </c>
      <c r="S120" s="93">
        <f>SUM('31:16'!S120)</f>
        <v>0</v>
      </c>
      <c r="T120" s="93">
        <f>SUM('31:16'!T120)</f>
        <v>0</v>
      </c>
      <c r="U120" s="93">
        <f>SUM('31:16'!U120)</f>
        <v>0</v>
      </c>
      <c r="V120" s="206">
        <f t="shared" si="38"/>
        <v>0</v>
      </c>
      <c r="W120" s="33">
        <f>IF(ISERROR(V120/G120),"",V120/G120)</f>
        <v>0</v>
      </c>
      <c r="X120" s="93">
        <f>SUM('31:16'!X120)</f>
        <v>0</v>
      </c>
      <c r="Y120" s="93">
        <f>SUM('31:16'!Y120)</f>
        <v>0</v>
      </c>
      <c r="Z120" s="93">
        <f>SUM('31:16'!Z120)</f>
        <v>0</v>
      </c>
      <c r="AA120" s="93">
        <f>SUM('31:16'!AA120)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731" t="s">
        <v>92</v>
      </c>
      <c r="B121" s="732"/>
      <c r="C121" s="342" t="s">
        <v>71</v>
      </c>
      <c r="D121" s="20"/>
      <c r="E121" s="20"/>
      <c r="F121" s="32"/>
      <c r="G121" s="99">
        <f>SUM(G87:G120)</f>
        <v>9928</v>
      </c>
      <c r="H121" s="30">
        <f>SUM(H87:H120)</f>
        <v>49777.82</v>
      </c>
      <c r="I121" s="30">
        <f>SUM(I87:I120)</f>
        <v>1094.7</v>
      </c>
      <c r="J121" s="31">
        <f t="array" ref="J121">IF(ISERROR(G121/I121),"",G121/I121)</f>
        <v>9.0691513656709599</v>
      </c>
      <c r="K121" s="30">
        <f>SUM(K87:K120)</f>
        <v>1416.1307999348317</v>
      </c>
      <c r="L121" s="98"/>
      <c r="M121" s="89">
        <f t="shared" ref="M121:V121" si="40">SUM(M87:M120)</f>
        <v>-368.18079993483212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SUM('31:16'!G122)</f>
        <v>1739</v>
      </c>
      <c r="H122" s="93">
        <f>SUM('31:16'!H122)</f>
        <v>8747.1700000000019</v>
      </c>
      <c r="I122" s="93">
        <f>SUM('31:16'!I122)</f>
        <v>70.5</v>
      </c>
      <c r="J122" s="31">
        <f t="array" ref="J122">IF(ISERROR(G122/I122),"",G122/I122)</f>
        <v>24.666666666666668</v>
      </c>
      <c r="K122" s="35">
        <f t="array" ref="K122">IF(ISERROR(G122/L122),"",G122/L122)</f>
        <v>69.56</v>
      </c>
      <c r="L122" s="87">
        <v>25</v>
      </c>
      <c r="M122" s="36">
        <f t="shared" ref="M122:M136" si="42">IF(ISERROR(I122-K122),"",I122-K122)</f>
        <v>0.93999999999999773</v>
      </c>
      <c r="N122" s="93">
        <f>SUM('31:16'!N122)</f>
        <v>0</v>
      </c>
      <c r="O122" s="93">
        <f>SUM('31:16'!O122)</f>
        <v>0</v>
      </c>
      <c r="P122" s="93">
        <f>SUM('31:16'!P122)</f>
        <v>0</v>
      </c>
      <c r="Q122" s="93">
        <f>SUM('31:16'!Q122)</f>
        <v>0</v>
      </c>
      <c r="R122" s="93">
        <f>SUM('31:16'!R122)</f>
        <v>0</v>
      </c>
      <c r="S122" s="93">
        <f>SUM('31:16'!S122)</f>
        <v>0</v>
      </c>
      <c r="T122" s="93">
        <f>SUM('31:16'!T122)</f>
        <v>0</v>
      </c>
      <c r="U122" s="93">
        <f>SUM('31:16'!U122)</f>
        <v>0</v>
      </c>
      <c r="V122" s="206">
        <f t="shared" ref="V122:V136" si="43">SUM(X122:AA122)</f>
        <v>0</v>
      </c>
      <c r="W122" s="33">
        <f t="shared" si="41"/>
        <v>0</v>
      </c>
      <c r="X122" s="93">
        <f>SUM('31:16'!X122)</f>
        <v>0</v>
      </c>
      <c r="Y122" s="93">
        <f>SUM('31:16'!Y122)</f>
        <v>0</v>
      </c>
      <c r="Z122" s="93">
        <f>SUM('31:16'!Z122)</f>
        <v>0</v>
      </c>
      <c r="AA122" s="93">
        <f>SUM('31:16'!AA122)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SUM('31:16'!G123)</f>
        <v>1813</v>
      </c>
      <c r="H123" s="93">
        <f>SUM('31:16'!H123)</f>
        <v>9119.39</v>
      </c>
      <c r="I123" s="93">
        <f>SUM('31:16'!I123)</f>
        <v>71</v>
      </c>
      <c r="J123" s="31">
        <f t="array" ref="J123">IF(ISERROR(G123/I123),"",G123/I123)</f>
        <v>25.535211267605632</v>
      </c>
      <c r="K123" s="35">
        <f t="array" ref="K123">IF(ISERROR(G123/L123),"",G123/L123)</f>
        <v>72.52</v>
      </c>
      <c r="L123" s="87">
        <v>25</v>
      </c>
      <c r="M123" s="36">
        <f t="shared" si="42"/>
        <v>-1.519999999999996</v>
      </c>
      <c r="N123" s="93">
        <f>SUM('31:16'!N123)</f>
        <v>0</v>
      </c>
      <c r="O123" s="93">
        <f>SUM('31:16'!O123)</f>
        <v>0</v>
      </c>
      <c r="P123" s="93">
        <f>SUM('31:16'!P123)</f>
        <v>0</v>
      </c>
      <c r="Q123" s="93">
        <f>SUM('31:16'!Q123)</f>
        <v>0</v>
      </c>
      <c r="R123" s="93">
        <f>SUM('31:16'!R123)</f>
        <v>0</v>
      </c>
      <c r="S123" s="93">
        <f>SUM('31:16'!S123)</f>
        <v>0</v>
      </c>
      <c r="T123" s="93">
        <f>SUM('31:16'!T123)</f>
        <v>0</v>
      </c>
      <c r="U123" s="93">
        <f>SUM('31:16'!U123)</f>
        <v>0</v>
      </c>
      <c r="V123" s="206">
        <f t="shared" si="43"/>
        <v>0</v>
      </c>
      <c r="W123" s="33">
        <f t="shared" si="41"/>
        <v>0</v>
      </c>
      <c r="X123" s="93">
        <f>SUM('31:16'!X123)</f>
        <v>0</v>
      </c>
      <c r="Y123" s="93">
        <f>SUM('31:16'!Y123)</f>
        <v>0</v>
      </c>
      <c r="Z123" s="93">
        <f>SUM('31:16'!Z123)</f>
        <v>0</v>
      </c>
      <c r="AA123" s="93">
        <f>SUM('31:16'!AA123)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SUM('31:16'!G124)</f>
        <v>1154</v>
      </c>
      <c r="H124" s="93">
        <f>SUM('31:16'!H124)</f>
        <v>5816.16</v>
      </c>
      <c r="I124" s="93">
        <f>SUM('31:16'!I124)</f>
        <v>77</v>
      </c>
      <c r="J124" s="31">
        <f t="array" ref="J124">IF(ISERROR(G124/I124),"",G124/I124)</f>
        <v>14.987012987012987</v>
      </c>
      <c r="K124" s="35">
        <f t="array" ref="K124">IF(ISERROR(G124/L124),"",G124/L124)</f>
        <v>57.7</v>
      </c>
      <c r="L124" s="87">
        <v>20</v>
      </c>
      <c r="M124" s="36">
        <f t="shared" si="42"/>
        <v>19.299999999999997</v>
      </c>
      <c r="N124" s="93">
        <f>SUM('31:16'!N124)</f>
        <v>0</v>
      </c>
      <c r="O124" s="93">
        <f>SUM('31:16'!O124)</f>
        <v>0</v>
      </c>
      <c r="P124" s="93">
        <f>SUM('31:16'!P124)</f>
        <v>0</v>
      </c>
      <c r="Q124" s="93">
        <f>SUM('31:16'!Q124)</f>
        <v>0</v>
      </c>
      <c r="R124" s="93">
        <f>SUM('31:16'!R124)</f>
        <v>0</v>
      </c>
      <c r="S124" s="93">
        <f>SUM('31:16'!S124)</f>
        <v>0</v>
      </c>
      <c r="T124" s="93">
        <f>SUM('31:16'!T124)</f>
        <v>0</v>
      </c>
      <c r="U124" s="93">
        <f>SUM('31:16'!U124)</f>
        <v>0</v>
      </c>
      <c r="V124" s="206">
        <f t="shared" si="43"/>
        <v>0</v>
      </c>
      <c r="W124" s="33">
        <f t="shared" si="41"/>
        <v>0</v>
      </c>
      <c r="X124" s="93">
        <f>SUM('31:16'!X124)</f>
        <v>0</v>
      </c>
      <c r="Y124" s="93">
        <f>SUM('31:16'!Y124)</f>
        <v>0</v>
      </c>
      <c r="Z124" s="93">
        <f>SUM('31:16'!Z124)</f>
        <v>0</v>
      </c>
      <c r="AA124" s="93">
        <f>SUM('31:16'!AA124)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SUM('31:16'!G125)</f>
        <v>0</v>
      </c>
      <c r="H125" s="93">
        <f>SUM('31:16'!H125)</f>
        <v>0</v>
      </c>
      <c r="I125" s="93">
        <f>SUM('31:16'!I125)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SUM('31:16'!N125)</f>
        <v>0</v>
      </c>
      <c r="O125" s="93">
        <f>SUM('31:16'!O125)</f>
        <v>0</v>
      </c>
      <c r="P125" s="93">
        <f>SUM('31:16'!P125)</f>
        <v>0</v>
      </c>
      <c r="Q125" s="93">
        <f>SUM('31:16'!Q125)</f>
        <v>0</v>
      </c>
      <c r="R125" s="93">
        <f>SUM('31:16'!R125)</f>
        <v>0</v>
      </c>
      <c r="S125" s="93">
        <f>SUM('31:16'!S125)</f>
        <v>0</v>
      </c>
      <c r="T125" s="93">
        <f>SUM('31:16'!T125)</f>
        <v>0</v>
      </c>
      <c r="U125" s="93">
        <f>SUM('31:16'!U125)</f>
        <v>0</v>
      </c>
      <c r="V125" s="206">
        <f t="shared" si="43"/>
        <v>0</v>
      </c>
      <c r="W125" s="33" t="str">
        <f t="shared" si="41"/>
        <v/>
      </c>
      <c r="X125" s="93">
        <f>SUM('31:16'!X125)</f>
        <v>0</v>
      </c>
      <c r="Y125" s="93">
        <f>SUM('31:16'!Y125)</f>
        <v>0</v>
      </c>
      <c r="Z125" s="93">
        <f>SUM('31:16'!Z125)</f>
        <v>0</v>
      </c>
      <c r="AA125" s="93">
        <f>SUM('31:16'!AA125)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SUM('31:16'!G126)</f>
        <v>464</v>
      </c>
      <c r="H126" s="93">
        <f>SUM('31:16'!H126)</f>
        <v>2333.92</v>
      </c>
      <c r="I126" s="93">
        <f>SUM('31:16'!I126)</f>
        <v>25.5</v>
      </c>
      <c r="J126" s="31">
        <f t="array" ref="J126">IF(ISERROR(G126/I126),"",G126/I126)</f>
        <v>18.196078431372548</v>
      </c>
      <c r="K126" s="35">
        <f t="array" ref="K126">IF(ISERROR(G126/L126),"",G126/L126)</f>
        <v>116</v>
      </c>
      <c r="L126" s="87">
        <v>4</v>
      </c>
      <c r="M126" s="36">
        <f t="shared" si="42"/>
        <v>-90.5</v>
      </c>
      <c r="N126" s="93">
        <f>SUM('31:16'!N126)</f>
        <v>0</v>
      </c>
      <c r="O126" s="93">
        <f>SUM('31:16'!O126)</f>
        <v>0</v>
      </c>
      <c r="P126" s="93">
        <f>SUM('31:16'!P126)</f>
        <v>0</v>
      </c>
      <c r="Q126" s="93">
        <f>SUM('31:16'!Q126)</f>
        <v>0</v>
      </c>
      <c r="R126" s="93">
        <f>SUM('31:16'!R126)</f>
        <v>0</v>
      </c>
      <c r="S126" s="93">
        <f>SUM('31:16'!S126)</f>
        <v>0</v>
      </c>
      <c r="T126" s="93">
        <f>SUM('31:16'!T126)</f>
        <v>0</v>
      </c>
      <c r="U126" s="93">
        <f>SUM('31:16'!U126)</f>
        <v>0</v>
      </c>
      <c r="V126" s="206">
        <f t="shared" si="43"/>
        <v>0</v>
      </c>
      <c r="W126" s="33">
        <f t="shared" si="41"/>
        <v>0</v>
      </c>
      <c r="X126" s="93">
        <f>SUM('31:16'!X126)</f>
        <v>0</v>
      </c>
      <c r="Y126" s="93">
        <f>SUM('31:16'!Y126)</f>
        <v>0</v>
      </c>
      <c r="Z126" s="93">
        <f>SUM('31:16'!Z126)</f>
        <v>0</v>
      </c>
      <c r="AA126" s="93">
        <f>SUM('31:16'!AA126)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SUM('31:16'!G127)</f>
        <v>84</v>
      </c>
      <c r="H127" s="93">
        <f>SUM('31:16'!H127)</f>
        <v>422.52000000000004</v>
      </c>
      <c r="I127" s="93">
        <f>SUM('31:16'!I127)</f>
        <v>7.5</v>
      </c>
      <c r="J127" s="31">
        <f t="array" ref="J127">IF(ISERROR(G127/I127),"",G127/I127)</f>
        <v>11.2</v>
      </c>
      <c r="K127" s="35">
        <f t="array" ref="K127">IF(ISERROR(G127/L127),"",G127/L127)</f>
        <v>21</v>
      </c>
      <c r="L127" s="87">
        <v>4</v>
      </c>
      <c r="M127" s="36">
        <f t="shared" si="42"/>
        <v>-13.5</v>
      </c>
      <c r="N127" s="93">
        <f>SUM('31:16'!N127)</f>
        <v>0</v>
      </c>
      <c r="O127" s="93">
        <f>SUM('31:16'!O127)</f>
        <v>0</v>
      </c>
      <c r="P127" s="93">
        <f>SUM('31:16'!P127)</f>
        <v>0</v>
      </c>
      <c r="Q127" s="93">
        <f>SUM('31:16'!Q127)</f>
        <v>0</v>
      </c>
      <c r="R127" s="93">
        <f>SUM('31:16'!R127)</f>
        <v>0</v>
      </c>
      <c r="S127" s="93">
        <f>SUM('31:16'!S127)</f>
        <v>0</v>
      </c>
      <c r="T127" s="93">
        <f>SUM('31:16'!T127)</f>
        <v>0</v>
      </c>
      <c r="U127" s="93">
        <f>SUM('31:16'!U127)</f>
        <v>0</v>
      </c>
      <c r="V127" s="206">
        <f t="shared" si="43"/>
        <v>0</v>
      </c>
      <c r="W127" s="33">
        <f t="shared" si="41"/>
        <v>0</v>
      </c>
      <c r="X127" s="93">
        <f>SUM('31:16'!X127)</f>
        <v>0</v>
      </c>
      <c r="Y127" s="93">
        <f>SUM('31:16'!Y127)</f>
        <v>0</v>
      </c>
      <c r="Z127" s="93">
        <f>SUM('31:16'!Z127)</f>
        <v>0</v>
      </c>
      <c r="AA127" s="93">
        <f>SUM('31:16'!AA127)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SUM('31:16'!G128)</f>
        <v>0</v>
      </c>
      <c r="H128" s="93">
        <f>SUM('31:16'!H128)</f>
        <v>0</v>
      </c>
      <c r="I128" s="93">
        <f>SUM('31:16'!I128)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SUM('31:16'!N128)</f>
        <v>0</v>
      </c>
      <c r="O128" s="93">
        <f>SUM('31:16'!O128)</f>
        <v>0</v>
      </c>
      <c r="P128" s="93">
        <f>SUM('31:16'!P128)</f>
        <v>0</v>
      </c>
      <c r="Q128" s="93">
        <f>SUM('31:16'!Q128)</f>
        <v>0</v>
      </c>
      <c r="R128" s="93">
        <f>SUM('31:16'!R128)</f>
        <v>0</v>
      </c>
      <c r="S128" s="93">
        <f>SUM('31:16'!S128)</f>
        <v>0</v>
      </c>
      <c r="T128" s="93">
        <f>SUM('31:16'!T128)</f>
        <v>0</v>
      </c>
      <c r="U128" s="93">
        <f>SUM('31:16'!U128)</f>
        <v>0</v>
      </c>
      <c r="V128" s="206">
        <f t="shared" si="43"/>
        <v>0</v>
      </c>
      <c r="W128" s="33" t="str">
        <f t="shared" si="41"/>
        <v/>
      </c>
      <c r="X128" s="93">
        <f>SUM('31:16'!X128)</f>
        <v>0</v>
      </c>
      <c r="Y128" s="93">
        <f>SUM('31:16'!Y128)</f>
        <v>0</v>
      </c>
      <c r="Z128" s="93">
        <f>SUM('31:16'!Z128)</f>
        <v>0</v>
      </c>
      <c r="AA128" s="93">
        <f>SUM('31:16'!AA128)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SUM('31:16'!G129)</f>
        <v>0</v>
      </c>
      <c r="H129" s="93">
        <f>SUM('31:16'!H129)</f>
        <v>0</v>
      </c>
      <c r="I129" s="93">
        <f>SUM('31:16'!I129)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SUM('31:16'!N129)</f>
        <v>0</v>
      </c>
      <c r="O129" s="93">
        <f>SUM('31:16'!O129)</f>
        <v>0</v>
      </c>
      <c r="P129" s="93">
        <f>SUM('31:16'!P129)</f>
        <v>0</v>
      </c>
      <c r="Q129" s="93">
        <f>SUM('31:16'!Q129)</f>
        <v>0</v>
      </c>
      <c r="R129" s="93">
        <f>SUM('31:16'!R129)</f>
        <v>0</v>
      </c>
      <c r="S129" s="93">
        <f>SUM('31:16'!S129)</f>
        <v>0</v>
      </c>
      <c r="T129" s="93">
        <f>SUM('31:16'!T129)</f>
        <v>0</v>
      </c>
      <c r="U129" s="93">
        <f>SUM('31:16'!U129)</f>
        <v>0</v>
      </c>
      <c r="V129" s="206">
        <f t="shared" si="43"/>
        <v>0</v>
      </c>
      <c r="W129" s="33" t="str">
        <f t="shared" si="41"/>
        <v/>
      </c>
      <c r="X129" s="93">
        <f>SUM('31:16'!X129)</f>
        <v>0</v>
      </c>
      <c r="Y129" s="93">
        <f>SUM('31:16'!Y129)</f>
        <v>0</v>
      </c>
      <c r="Z129" s="93">
        <f>SUM('31:16'!Z129)</f>
        <v>0</v>
      </c>
      <c r="AA129" s="93">
        <f>SUM('31:16'!AA129)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SUM('31:16'!G130)</f>
        <v>0</v>
      </c>
      <c r="H130" s="93">
        <f>SUM('31:16'!H130)</f>
        <v>0</v>
      </c>
      <c r="I130" s="93">
        <f>SUM('31:16'!I130)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SUM('31:16'!N130)</f>
        <v>0</v>
      </c>
      <c r="O130" s="93">
        <f>SUM('31:16'!O130)</f>
        <v>0</v>
      </c>
      <c r="P130" s="93">
        <f>SUM('31:16'!P130)</f>
        <v>0</v>
      </c>
      <c r="Q130" s="93">
        <f>SUM('31:16'!Q130)</f>
        <v>0</v>
      </c>
      <c r="R130" s="93">
        <f>SUM('31:16'!R130)</f>
        <v>0</v>
      </c>
      <c r="S130" s="93">
        <f>SUM('31:16'!S130)</f>
        <v>0</v>
      </c>
      <c r="T130" s="93">
        <f>SUM('31:16'!T130)</f>
        <v>0</v>
      </c>
      <c r="U130" s="93">
        <f>SUM('31:16'!U130)</f>
        <v>0</v>
      </c>
      <c r="V130" s="206">
        <f t="shared" si="43"/>
        <v>0</v>
      </c>
      <c r="W130" s="33" t="str">
        <f t="shared" si="41"/>
        <v/>
      </c>
      <c r="X130" s="93">
        <f>SUM('31:16'!X130)</f>
        <v>0</v>
      </c>
      <c r="Y130" s="93">
        <f>SUM('31:16'!Y130)</f>
        <v>0</v>
      </c>
      <c r="Z130" s="93">
        <f>SUM('31:16'!Z130)</f>
        <v>0</v>
      </c>
      <c r="AA130" s="93">
        <f>SUM('31:16'!AA130)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SUM('31:16'!G131)</f>
        <v>0</v>
      </c>
      <c r="H131" s="93">
        <f>SUM('31:16'!H131)</f>
        <v>0</v>
      </c>
      <c r="I131" s="93">
        <f>SUM('31:16'!I131)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SUM('31:16'!N131)</f>
        <v>0</v>
      </c>
      <c r="O131" s="93">
        <f>SUM('31:16'!O131)</f>
        <v>0</v>
      </c>
      <c r="P131" s="93">
        <f>SUM('31:16'!P131)</f>
        <v>0</v>
      </c>
      <c r="Q131" s="93">
        <f>SUM('31:16'!Q131)</f>
        <v>0</v>
      </c>
      <c r="R131" s="93">
        <f>SUM('31:16'!R131)</f>
        <v>0</v>
      </c>
      <c r="S131" s="93">
        <f>SUM('31:16'!S131)</f>
        <v>0</v>
      </c>
      <c r="T131" s="93">
        <f>SUM('31:16'!T131)</f>
        <v>0</v>
      </c>
      <c r="U131" s="93">
        <f>SUM('31:16'!U131)</f>
        <v>0</v>
      </c>
      <c r="V131" s="206">
        <f t="shared" si="43"/>
        <v>0</v>
      </c>
      <c r="W131" s="33" t="str">
        <f t="shared" si="41"/>
        <v/>
      </c>
      <c r="X131" s="93">
        <f>SUM('31:16'!X131)</f>
        <v>0</v>
      </c>
      <c r="Y131" s="93">
        <f>SUM('31:16'!Y131)</f>
        <v>0</v>
      </c>
      <c r="Z131" s="93">
        <f>SUM('31:16'!Z131)</f>
        <v>0</v>
      </c>
      <c r="AA131" s="93">
        <f>SUM('31:16'!AA131)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SUM('31:16'!G132)</f>
        <v>0</v>
      </c>
      <c r="H132" s="93">
        <f>SUM('31:16'!H132)</f>
        <v>0</v>
      </c>
      <c r="I132" s="93">
        <f>SUM('31:16'!I132)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SUM('31:16'!N132)</f>
        <v>0</v>
      </c>
      <c r="O132" s="93">
        <f>SUM('31:16'!O132)</f>
        <v>0</v>
      </c>
      <c r="P132" s="93">
        <f>SUM('31:16'!P132)</f>
        <v>0</v>
      </c>
      <c r="Q132" s="93">
        <f>SUM('31:16'!Q132)</f>
        <v>0</v>
      </c>
      <c r="R132" s="93">
        <f>SUM('31:16'!R132)</f>
        <v>0</v>
      </c>
      <c r="S132" s="93">
        <f>SUM('31:16'!S132)</f>
        <v>0</v>
      </c>
      <c r="T132" s="93">
        <f>SUM('31:16'!T132)</f>
        <v>0</v>
      </c>
      <c r="U132" s="93">
        <f>SUM('31:16'!U132)</f>
        <v>0</v>
      </c>
      <c r="V132" s="206">
        <f t="shared" si="43"/>
        <v>0</v>
      </c>
      <c r="W132" s="33" t="str">
        <f t="shared" si="41"/>
        <v/>
      </c>
      <c r="X132" s="93">
        <f>SUM('31:16'!X132)</f>
        <v>0</v>
      </c>
      <c r="Y132" s="93">
        <f>SUM('31:16'!Y132)</f>
        <v>0</v>
      </c>
      <c r="Z132" s="93">
        <f>SUM('31:16'!Z132)</f>
        <v>0</v>
      </c>
      <c r="AA132" s="93">
        <f>SUM('31:16'!AA132)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SUM('31:16'!G133)</f>
        <v>0</v>
      </c>
      <c r="H133" s="93">
        <f>SUM('31:16'!H133)</f>
        <v>0</v>
      </c>
      <c r="I133" s="93">
        <f>SUM('31:16'!I133)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SUM('31:16'!N133)</f>
        <v>0</v>
      </c>
      <c r="O133" s="93">
        <f>SUM('31:16'!O133)</f>
        <v>0</v>
      </c>
      <c r="P133" s="93">
        <f>SUM('31:16'!P133)</f>
        <v>0</v>
      </c>
      <c r="Q133" s="93">
        <f>SUM('31:16'!Q133)</f>
        <v>0</v>
      </c>
      <c r="R133" s="93">
        <f>SUM('31:16'!R133)</f>
        <v>0</v>
      </c>
      <c r="S133" s="93">
        <f>SUM('31:16'!S133)</f>
        <v>0</v>
      </c>
      <c r="T133" s="93">
        <f>SUM('31:16'!T133)</f>
        <v>0</v>
      </c>
      <c r="U133" s="93">
        <f>SUM('31:16'!U133)</f>
        <v>0</v>
      </c>
      <c r="V133" s="206">
        <f t="shared" si="43"/>
        <v>0</v>
      </c>
      <c r="W133" s="33" t="str">
        <f t="shared" si="41"/>
        <v/>
      </c>
      <c r="X133" s="93">
        <f>SUM('31:16'!X133)</f>
        <v>0</v>
      </c>
      <c r="Y133" s="93">
        <f>SUM('31:16'!Y133)</f>
        <v>0</v>
      </c>
      <c r="Z133" s="93">
        <f>SUM('31:16'!Z133)</f>
        <v>0</v>
      </c>
      <c r="AA133" s="93">
        <f>SUM('31:16'!AA133)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SUM('31:16'!G134)</f>
        <v>0</v>
      </c>
      <c r="H134" s="93">
        <f>SUM('31:16'!H134)</f>
        <v>0</v>
      </c>
      <c r="I134" s="93">
        <f>SUM('31:16'!I134)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SUM('31:16'!N134)</f>
        <v>0</v>
      </c>
      <c r="O134" s="93">
        <f>SUM('31:16'!O134)</f>
        <v>0</v>
      </c>
      <c r="P134" s="93">
        <f>SUM('31:16'!P134)</f>
        <v>0</v>
      </c>
      <c r="Q134" s="93">
        <f>SUM('31:16'!Q134)</f>
        <v>0</v>
      </c>
      <c r="R134" s="93">
        <f>SUM('31:16'!R134)</f>
        <v>0</v>
      </c>
      <c r="S134" s="93">
        <f>SUM('31:16'!S134)</f>
        <v>0</v>
      </c>
      <c r="T134" s="93">
        <f>SUM('31:16'!T134)</f>
        <v>0</v>
      </c>
      <c r="U134" s="93">
        <f>SUM('31:16'!U134)</f>
        <v>0</v>
      </c>
      <c r="V134" s="206">
        <f t="shared" si="43"/>
        <v>0</v>
      </c>
      <c r="W134" s="33" t="str">
        <f t="shared" si="41"/>
        <v/>
      </c>
      <c r="X134" s="93">
        <f>SUM('31:16'!X134)</f>
        <v>0</v>
      </c>
      <c r="Y134" s="93">
        <f>SUM('31:16'!Y134)</f>
        <v>0</v>
      </c>
      <c r="Z134" s="93">
        <f>SUM('31:16'!Z134)</f>
        <v>0</v>
      </c>
      <c r="AA134" s="93">
        <f>SUM('31:16'!AA134)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SUM('31:16'!G135)</f>
        <v>3620</v>
      </c>
      <c r="H135" s="93">
        <f>SUM('31:16'!H135)</f>
        <v>18317.199999999997</v>
      </c>
      <c r="I135" s="93">
        <f>SUM('31:16'!I135)</f>
        <v>132</v>
      </c>
      <c r="J135" s="31">
        <f t="array" ref="J135">IF(ISERROR(G135/I135),"",G135/I135)</f>
        <v>27.424242424242426</v>
      </c>
      <c r="K135" s="35">
        <f t="array" ref="K135">IF(ISERROR(G135/L135),"",G135/L135)</f>
        <v>144.80000000000001</v>
      </c>
      <c r="L135" s="87">
        <v>25</v>
      </c>
      <c r="M135" s="36">
        <f t="shared" si="42"/>
        <v>-12.800000000000011</v>
      </c>
      <c r="N135" s="93">
        <f>SUM('31:16'!N135)</f>
        <v>0</v>
      </c>
      <c r="O135" s="93">
        <f>SUM('31:16'!O135)</f>
        <v>0</v>
      </c>
      <c r="P135" s="93">
        <f>SUM('31:16'!P135)</f>
        <v>0</v>
      </c>
      <c r="Q135" s="93">
        <f>SUM('31:16'!Q135)</f>
        <v>0</v>
      </c>
      <c r="R135" s="93">
        <f>SUM('31:16'!R135)</f>
        <v>0</v>
      </c>
      <c r="S135" s="93">
        <f>SUM('31:16'!S135)</f>
        <v>0</v>
      </c>
      <c r="T135" s="93">
        <f>SUM('31:16'!T135)</f>
        <v>0</v>
      </c>
      <c r="U135" s="93">
        <f>SUM('31:16'!U135)</f>
        <v>0</v>
      </c>
      <c r="V135" s="206">
        <f t="shared" si="43"/>
        <v>0</v>
      </c>
      <c r="W135" s="33">
        <f t="shared" si="41"/>
        <v>0</v>
      </c>
      <c r="X135" s="93">
        <f>SUM('31:16'!X135)</f>
        <v>0</v>
      </c>
      <c r="Y135" s="93">
        <f>SUM('31:16'!Y135)</f>
        <v>0</v>
      </c>
      <c r="Z135" s="93">
        <f>SUM('31:16'!Z135)</f>
        <v>0</v>
      </c>
      <c r="AA135" s="93">
        <f>SUM('31:16'!AA135)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SUM('31:16'!G136)</f>
        <v>3499</v>
      </c>
      <c r="H136" s="93">
        <f>SUM('31:16'!H136)</f>
        <v>17704.940000000002</v>
      </c>
      <c r="I136" s="93">
        <f>SUM('31:16'!I136)</f>
        <v>144</v>
      </c>
      <c r="J136" s="31">
        <f t="array" ref="J136">IF(ISERROR(G136/I136),"",G136/I136)</f>
        <v>24.298611111111111</v>
      </c>
      <c r="K136" s="35">
        <f t="array" ref="K136">IF(ISERROR(G136/L136),"",G136/L136)</f>
        <v>152.13043478260869</v>
      </c>
      <c r="L136" s="87">
        <v>23</v>
      </c>
      <c r="M136" s="36">
        <f t="shared" si="42"/>
        <v>-8.1304347826086882</v>
      </c>
      <c r="N136" s="93">
        <f>SUM('31:16'!N136)</f>
        <v>0</v>
      </c>
      <c r="O136" s="93">
        <f>SUM('31:16'!O136)</f>
        <v>0</v>
      </c>
      <c r="P136" s="93">
        <f>SUM('31:16'!P136)</f>
        <v>0</v>
      </c>
      <c r="Q136" s="93">
        <f>SUM('31:16'!Q136)</f>
        <v>0</v>
      </c>
      <c r="R136" s="93">
        <f>SUM('31:16'!R136)</f>
        <v>0</v>
      </c>
      <c r="S136" s="93">
        <f>SUM('31:16'!S136)</f>
        <v>0</v>
      </c>
      <c r="T136" s="93">
        <f>SUM('31:16'!T136)</f>
        <v>0</v>
      </c>
      <c r="U136" s="93">
        <f>SUM('31:16'!U136)</f>
        <v>0</v>
      </c>
      <c r="V136" s="206">
        <f t="shared" si="43"/>
        <v>0</v>
      </c>
      <c r="W136" s="33">
        <f t="shared" si="41"/>
        <v>0</v>
      </c>
      <c r="X136" s="93">
        <f>SUM('31:16'!X136)</f>
        <v>0</v>
      </c>
      <c r="Y136" s="93">
        <f>SUM('31:16'!Y136)</f>
        <v>0</v>
      </c>
      <c r="Z136" s="93">
        <f>SUM('31:16'!Z136)</f>
        <v>0</v>
      </c>
      <c r="AA136" s="93">
        <f>SUM('31:16'!AA136)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31" t="s">
        <v>99</v>
      </c>
      <c r="B137" s="732"/>
      <c r="C137" s="342" t="s">
        <v>71</v>
      </c>
      <c r="D137" s="20"/>
      <c r="E137" s="20"/>
      <c r="F137" s="32"/>
      <c r="G137" s="99">
        <f>SUM(G122:G136)</f>
        <v>12373</v>
      </c>
      <c r="H137" s="30">
        <f>SUM(H122:H136)</f>
        <v>62461.3</v>
      </c>
      <c r="I137" s="30">
        <f>SUM(I122:I136)</f>
        <v>527.5</v>
      </c>
      <c r="J137" s="31">
        <f t="array" ref="J137">IF(ISERROR(G137/I137),"",G137/I137)</f>
        <v>23.455924170616115</v>
      </c>
      <c r="K137" s="30">
        <f>SUM(K122:K136)</f>
        <v>633.71043478260867</v>
      </c>
      <c r="L137" s="98"/>
      <c r="M137" s="89">
        <f>SUM(M122:M136)</f>
        <v>-106.2104347826087</v>
      </c>
      <c r="N137" s="30">
        <f>SUM(N122:N136)</f>
        <v>0</v>
      </c>
      <c r="O137" s="93">
        <f>SUM('31:16'!O137)</f>
        <v>0</v>
      </c>
      <c r="P137" s="93">
        <f>SUM('31:16'!P137)</f>
        <v>0</v>
      </c>
      <c r="Q137" s="93">
        <f>SUM('31:16'!Q137)</f>
        <v>0</v>
      </c>
      <c r="R137" s="93">
        <f>SUM('31:16'!R137)</f>
        <v>0</v>
      </c>
      <c r="S137" s="93">
        <f>SUM('31:16'!S137)</f>
        <v>0</v>
      </c>
      <c r="T137" s="93">
        <f>SUM('31:16'!T137)</f>
        <v>0</v>
      </c>
      <c r="U137" s="93">
        <f>SUM('31:16'!U137)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SUM('31:16'!X137)</f>
        <v>0</v>
      </c>
      <c r="Y137" s="93">
        <f>SUM('31:16'!Y137)</f>
        <v>0</v>
      </c>
      <c r="Z137" s="93">
        <f>SUM('31:16'!Z137)</f>
        <v>0</v>
      </c>
      <c r="AA137" s="93">
        <f>SUM('31:16'!AA137)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SUM('31:16'!G138)</f>
        <v>0</v>
      </c>
      <c r="H138" s="93">
        <f>SUM('31:16'!H138)</f>
        <v>0</v>
      </c>
      <c r="I138" s="93">
        <f>SUM('31:16'!I138)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2" si="45">IF(ISERROR(I138-K138),"",I138-K138)</f>
        <v>0</v>
      </c>
      <c r="N138" s="93">
        <f>SUM('31:16'!N138)</f>
        <v>0</v>
      </c>
      <c r="O138" s="93">
        <f>SUM('31:16'!O138)</f>
        <v>0</v>
      </c>
      <c r="P138" s="93">
        <f>SUM('31:16'!P138)</f>
        <v>0</v>
      </c>
      <c r="Q138" s="93">
        <f>SUM('31:16'!Q138)</f>
        <v>0</v>
      </c>
      <c r="R138" s="93">
        <f>SUM('31:16'!R138)</f>
        <v>0</v>
      </c>
      <c r="S138" s="93">
        <f>SUM('31:16'!S138)</f>
        <v>0</v>
      </c>
      <c r="T138" s="93">
        <f>SUM('31:16'!T138)</f>
        <v>0</v>
      </c>
      <c r="U138" s="93">
        <f>SUM('31:16'!U138)</f>
        <v>0</v>
      </c>
      <c r="V138" s="206">
        <f t="shared" ref="V138:V142" si="46">SUM(X138:AA138)</f>
        <v>0</v>
      </c>
      <c r="W138" s="33" t="str">
        <f t="shared" si="41"/>
        <v/>
      </c>
      <c r="X138" s="93">
        <f>SUM('31:16'!X138)</f>
        <v>0</v>
      </c>
      <c r="Y138" s="93">
        <f>SUM('31:16'!Y138)</f>
        <v>0</v>
      </c>
      <c r="Z138" s="93">
        <f>SUM('31:16'!Z138)</f>
        <v>0</v>
      </c>
      <c r="AA138" s="93">
        <f>SUM('31:16'!AA138)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SUM('31:16'!G139)</f>
        <v>0</v>
      </c>
      <c r="H139" s="93">
        <f>SUM('31:16'!H139)</f>
        <v>0</v>
      </c>
      <c r="I139" s="93">
        <f>SUM('31:16'!I139)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SUM('31:16'!N139)</f>
        <v>0</v>
      </c>
      <c r="O139" s="93">
        <f>SUM('31:16'!O139)</f>
        <v>0</v>
      </c>
      <c r="P139" s="93">
        <f>SUM('31:16'!P139)</f>
        <v>0</v>
      </c>
      <c r="Q139" s="93">
        <f>SUM('31:16'!Q139)</f>
        <v>0</v>
      </c>
      <c r="R139" s="93">
        <f>SUM('31:16'!R139)</f>
        <v>0</v>
      </c>
      <c r="S139" s="93">
        <f>SUM('31:16'!S139)</f>
        <v>0</v>
      </c>
      <c r="T139" s="93">
        <f>SUM('31:16'!T139)</f>
        <v>0</v>
      </c>
      <c r="U139" s="93">
        <f>SUM('31:16'!U139)</f>
        <v>0</v>
      </c>
      <c r="V139" s="206">
        <f t="shared" si="46"/>
        <v>0</v>
      </c>
      <c r="W139" s="33" t="str">
        <f t="shared" si="41"/>
        <v/>
      </c>
      <c r="X139" s="93">
        <f>SUM('31:16'!X139)</f>
        <v>0</v>
      </c>
      <c r="Y139" s="93">
        <f>SUM('31:16'!Y139)</f>
        <v>0</v>
      </c>
      <c r="Z139" s="93">
        <f>SUM('31:16'!Z139)</f>
        <v>0</v>
      </c>
      <c r="AA139" s="93">
        <f>SUM('31:16'!AA139)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SUM('31:16'!G140)</f>
        <v>0</v>
      </c>
      <c r="H140" s="93">
        <f>SUM('31:16'!H140)</f>
        <v>0</v>
      </c>
      <c r="I140" s="93">
        <f>SUM('31:16'!I140)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SUM('31:16'!N140)</f>
        <v>0</v>
      </c>
      <c r="O140" s="93">
        <f>SUM('31:16'!O140)</f>
        <v>0</v>
      </c>
      <c r="P140" s="93">
        <f>SUM('31:16'!P140)</f>
        <v>0</v>
      </c>
      <c r="Q140" s="93">
        <f>SUM('31:16'!Q140)</f>
        <v>0</v>
      </c>
      <c r="R140" s="93">
        <f>SUM('31:16'!R140)</f>
        <v>0</v>
      </c>
      <c r="S140" s="93">
        <f>SUM('31:16'!S140)</f>
        <v>0</v>
      </c>
      <c r="T140" s="93">
        <f>SUM('31:16'!T140)</f>
        <v>0</v>
      </c>
      <c r="U140" s="93">
        <f>SUM('31:16'!U140)</f>
        <v>0</v>
      </c>
      <c r="V140" s="206">
        <f t="shared" si="46"/>
        <v>0</v>
      </c>
      <c r="W140" s="33" t="str">
        <f t="shared" si="41"/>
        <v/>
      </c>
      <c r="X140" s="93">
        <f>SUM('31:16'!X140)</f>
        <v>0</v>
      </c>
      <c r="Y140" s="93">
        <f>SUM('31:16'!Y140)</f>
        <v>0</v>
      </c>
      <c r="Z140" s="93">
        <f>SUM('31:16'!Z140)</f>
        <v>0</v>
      </c>
      <c r="AA140" s="93">
        <f>SUM('31:16'!AA140)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SUM('31:16'!G141)</f>
        <v>0</v>
      </c>
      <c r="H141" s="93">
        <f>SUM('31:16'!H141)</f>
        <v>0</v>
      </c>
      <c r="I141" s="93">
        <f>SUM('31:16'!I141)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SUM('31:16'!N141)</f>
        <v>0</v>
      </c>
      <c r="O141" s="93">
        <f>SUM('31:16'!O141)</f>
        <v>0</v>
      </c>
      <c r="P141" s="93">
        <f>SUM('31:16'!P141)</f>
        <v>0</v>
      </c>
      <c r="Q141" s="93">
        <f>SUM('31:16'!Q141)</f>
        <v>0</v>
      </c>
      <c r="R141" s="93">
        <f>SUM('31:16'!R141)</f>
        <v>0</v>
      </c>
      <c r="S141" s="93">
        <f>SUM('31:16'!S141)</f>
        <v>0</v>
      </c>
      <c r="T141" s="93">
        <f>SUM('31:16'!T141)</f>
        <v>0</v>
      </c>
      <c r="U141" s="93">
        <f>SUM('31:16'!U141)</f>
        <v>0</v>
      </c>
      <c r="V141" s="206">
        <f t="shared" si="46"/>
        <v>0</v>
      </c>
      <c r="W141" s="33" t="str">
        <f t="shared" si="41"/>
        <v/>
      </c>
      <c r="X141" s="93">
        <f>SUM('31:16'!X141)</f>
        <v>0</v>
      </c>
      <c r="Y141" s="93">
        <f>SUM('31:16'!Y141)</f>
        <v>0</v>
      </c>
      <c r="Z141" s="93">
        <f>SUM('31:16'!Z141)</f>
        <v>0</v>
      </c>
      <c r="AA141" s="93">
        <f>SUM('31:16'!AA141)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SUM('31:16'!G142)</f>
        <v>0</v>
      </c>
      <c r="H142" s="93">
        <f>SUM('31:16'!H142)</f>
        <v>0</v>
      </c>
      <c r="I142" s="93">
        <f>SUM('31:16'!I142)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SUM('31:16'!N142)</f>
        <v>0</v>
      </c>
      <c r="O142" s="93">
        <f>SUM('31:16'!O142)</f>
        <v>0</v>
      </c>
      <c r="P142" s="93">
        <f>SUM('31:16'!P142)</f>
        <v>0</v>
      </c>
      <c r="Q142" s="93">
        <f>SUM('31:16'!Q142)</f>
        <v>0</v>
      </c>
      <c r="R142" s="93">
        <f>SUM('31:16'!R142)</f>
        <v>0</v>
      </c>
      <c r="S142" s="93">
        <f>SUM('31:16'!S142)</f>
        <v>0</v>
      </c>
      <c r="T142" s="93">
        <f>SUM('31:16'!T142)</f>
        <v>0</v>
      </c>
      <c r="U142" s="93">
        <f>SUM('31:16'!U142)</f>
        <v>0</v>
      </c>
      <c r="V142" s="206">
        <f t="shared" si="46"/>
        <v>0</v>
      </c>
      <c r="W142" s="33" t="str">
        <f t="shared" si="41"/>
        <v/>
      </c>
      <c r="X142" s="93">
        <f>SUM('31:16'!X142)</f>
        <v>0</v>
      </c>
      <c r="Y142" s="93">
        <f>SUM('31:16'!Y142)</f>
        <v>0</v>
      </c>
      <c r="Z142" s="93">
        <f>SUM('31:16'!Z142)</f>
        <v>0</v>
      </c>
      <c r="AA142" s="93">
        <f>SUM('31:16'!AA142)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SUM('31:16'!G143)</f>
        <v>1170</v>
      </c>
      <c r="H143" s="93">
        <f>SUM('31:16'!H143)</f>
        <v>5896.7999999999993</v>
      </c>
      <c r="I143" s="93">
        <f>SUM('31:16'!I143)</f>
        <v>87</v>
      </c>
      <c r="J143" s="31">
        <f t="array" ref="J143">IF(ISERROR(G143/I143),"",G143/I143)</f>
        <v>13.448275862068966</v>
      </c>
      <c r="K143" s="35">
        <f t="array" ref="K143">IF(ISERROR(G143/L143),"",G143/L143)</f>
        <v>86.666666666666671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SUM('31:16'!G144)</f>
        <v>1262</v>
      </c>
      <c r="H144" s="93">
        <f>SUM('31:16'!H144)</f>
        <v>6360.4800000000005</v>
      </c>
      <c r="I144" s="93">
        <f>SUM('31:16'!I144)</f>
        <v>102.28999999999999</v>
      </c>
      <c r="J144" s="31">
        <f t="array" ref="J144">IF(ISERROR(G144/I144),"",G144/I144)</f>
        <v>12.337471893635742</v>
      </c>
      <c r="K144" s="35">
        <f t="array" ref="K144">IF(ISERROR(G144/L144),"",G144/L144)</f>
        <v>93.481481481481481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SUM('31:16'!G145)</f>
        <v>1297</v>
      </c>
      <c r="H145" s="93">
        <f>SUM('31:16'!H145)</f>
        <v>6536.8799999999992</v>
      </c>
      <c r="I145" s="93">
        <f>SUM('31:16'!I145)</f>
        <v>90</v>
      </c>
      <c r="J145" s="31"/>
      <c r="K145" s="35">
        <f t="array" ref="K145">IF(ISERROR(G145/L145),"",G145/L145)</f>
        <v>96.074074074074076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>
        <f>SUM('31:16'!G146)</f>
        <v>1124</v>
      </c>
      <c r="H146" s="93">
        <f>SUM('31:16'!H146)</f>
        <v>5664.96</v>
      </c>
      <c r="I146" s="93">
        <f>SUM('31:16'!I146)</f>
        <v>84</v>
      </c>
      <c r="J146" s="31"/>
      <c r="K146" s="35">
        <f t="array" ref="K146">IF(ISERROR(G146/L146),"",G146/L146)</f>
        <v>83.259259259259252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300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SUM('31:16'!G147)</f>
        <v>0</v>
      </c>
      <c r="H147" s="93">
        <f>SUM('31:16'!H147)</f>
        <v>0</v>
      </c>
      <c r="I147" s="93">
        <f>SUM('31:16'!I147)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ref="M147" si="47">IF(ISERROR(I147-K147),"",I147-K147)</f>
        <v>0</v>
      </c>
      <c r="N147" s="93">
        <f>SUM('31:16'!N147)</f>
        <v>0</v>
      </c>
      <c r="O147" s="93">
        <f>SUM('31:16'!O147)</f>
        <v>0</v>
      </c>
      <c r="P147" s="93">
        <f>SUM('31:16'!P147)</f>
        <v>0</v>
      </c>
      <c r="Q147" s="93">
        <f>SUM('31:16'!Q147)</f>
        <v>0</v>
      </c>
      <c r="R147" s="93">
        <f>SUM('31:16'!R147)</f>
        <v>0</v>
      </c>
      <c r="S147" s="93">
        <f>SUM('31:16'!S147)</f>
        <v>0</v>
      </c>
      <c r="T147" s="93">
        <f>SUM('31:16'!T147)</f>
        <v>0</v>
      </c>
      <c r="U147" s="93">
        <f>SUM('31:16'!U147)</f>
        <v>0</v>
      </c>
      <c r="V147" s="206">
        <f t="shared" ref="V147" si="48">SUM(X147:AA147)</f>
        <v>0</v>
      </c>
      <c r="W147" s="33" t="str">
        <f t="shared" ref="W147:W152" si="49">IF(ISERROR(V147/G147),"",V147/G147)</f>
        <v/>
      </c>
      <c r="X147" s="93">
        <f>SUM('31:16'!X147)</f>
        <v>0</v>
      </c>
      <c r="Y147" s="93">
        <f>SUM('31:16'!Y147)</f>
        <v>0</v>
      </c>
      <c r="Z147" s="93">
        <f>SUM('31:16'!Z147)</f>
        <v>0</v>
      </c>
      <c r="AA147" s="93">
        <f>SUM('31:16'!AA147)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731" t="s">
        <v>102</v>
      </c>
      <c r="B148" s="732"/>
      <c r="C148" s="342" t="s">
        <v>71</v>
      </c>
      <c r="D148" s="20"/>
      <c r="E148" s="20"/>
      <c r="F148" s="32"/>
      <c r="G148" s="99">
        <f>SUM(G138:G147)</f>
        <v>4853</v>
      </c>
      <c r="H148" s="99">
        <f>SUM(H138:H147)</f>
        <v>24459.119999999995</v>
      </c>
      <c r="I148" s="99">
        <f>SUM(I138:I147)</f>
        <v>363.28999999999996</v>
      </c>
      <c r="J148" s="31">
        <f t="array" ref="J148">IF(ISERROR(G148/I148),"",G148/I148)</f>
        <v>13.35847394643398</v>
      </c>
      <c r="K148" s="30">
        <f>SUM(K138:K147)</f>
        <v>359.48148148148147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>
        <f t="shared" si="49"/>
        <v>0</v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30700013</v>
      </c>
      <c r="B149" s="64" t="s">
        <v>475</v>
      </c>
      <c r="C149" s="335"/>
      <c r="D149" s="17">
        <v>3.65</v>
      </c>
      <c r="E149" s="17"/>
      <c r="F149" s="53"/>
      <c r="G149" s="93">
        <f>SUM('31:16'!G149)</f>
        <v>0</v>
      </c>
      <c r="H149" s="93">
        <f>SUM('31:16'!H149)</f>
        <v>0</v>
      </c>
      <c r="I149" s="93">
        <f>SUM('31:16'!I149)</f>
        <v>0</v>
      </c>
      <c r="J149" s="31" t="str">
        <f t="array" ref="J149">IF(ISERROR(G149/I149),"",G149/I149)</f>
        <v/>
      </c>
      <c r="K149" s="339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SUM('31:16'!N149)</f>
        <v>0</v>
      </c>
      <c r="O149" s="93">
        <f>SUM('31:16'!O149)</f>
        <v>0</v>
      </c>
      <c r="P149" s="93">
        <f>SUM('31:16'!P149)</f>
        <v>0</v>
      </c>
      <c r="Q149" s="93">
        <f>SUM('31:16'!Q149)</f>
        <v>0</v>
      </c>
      <c r="R149" s="93">
        <f>SUM('31:16'!R149)</f>
        <v>0</v>
      </c>
      <c r="S149" s="93">
        <f>SUM('31:16'!S149)</f>
        <v>0</v>
      </c>
      <c r="T149" s="93">
        <f>SUM('31:16'!T149)</f>
        <v>0</v>
      </c>
      <c r="U149" s="93">
        <f>SUM('31:16'!U149)</f>
        <v>0</v>
      </c>
      <c r="V149" s="206">
        <f t="shared" ref="V149:V152" si="51">SUM(X149:AA149)</f>
        <v>0</v>
      </c>
      <c r="W149" s="33" t="str">
        <f t="shared" si="49"/>
        <v/>
      </c>
      <c r="X149" s="93">
        <f>SUM('31:16'!X149)</f>
        <v>0</v>
      </c>
      <c r="Y149" s="93">
        <f>SUM('31:16'!Y149)</f>
        <v>0</v>
      </c>
      <c r="Z149" s="93">
        <f>SUM('31:16'!Z149)</f>
        <v>0</v>
      </c>
      <c r="AA149" s="93">
        <f>SUM('31:16'!AA149)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>
      <c r="A150" s="299">
        <v>30700014</v>
      </c>
      <c r="B150" s="64" t="s">
        <v>0</v>
      </c>
      <c r="C150" s="335"/>
      <c r="D150" s="17">
        <v>6.58</v>
      </c>
      <c r="E150" s="17"/>
      <c r="F150" s="6"/>
      <c r="G150" s="93">
        <f>SUM('31:16'!G150)</f>
        <v>607</v>
      </c>
      <c r="H150" s="93">
        <f>SUM('31:16'!H150)</f>
        <v>3994.0599999999995</v>
      </c>
      <c r="I150" s="93">
        <f>SUM('31:16'!I150)</f>
        <v>111</v>
      </c>
      <c r="J150" s="31">
        <f t="array" ref="J150">IF(ISERROR(G150/I150),"",G150/I150)</f>
        <v>5.4684684684684681</v>
      </c>
      <c r="K150" s="35">
        <f t="array" ref="K150">IF(ISERROR(G150/L150),"",G150/L150)</f>
        <v>121.4</v>
      </c>
      <c r="L150" s="87">
        <v>5</v>
      </c>
      <c r="M150" s="36">
        <f t="shared" si="50"/>
        <v>-10.400000000000006</v>
      </c>
      <c r="N150" s="93">
        <f>SUM('31:16'!N150)</f>
        <v>0</v>
      </c>
      <c r="O150" s="93">
        <f>SUM('31:16'!O150)</f>
        <v>0</v>
      </c>
      <c r="P150" s="93">
        <f>SUM('31:16'!P150)</f>
        <v>0</v>
      </c>
      <c r="Q150" s="93">
        <f>SUM('31:16'!Q150)</f>
        <v>0</v>
      </c>
      <c r="R150" s="93">
        <f>SUM('31:16'!R150)</f>
        <v>0</v>
      </c>
      <c r="S150" s="93">
        <f>SUM('31:16'!S150)</f>
        <v>0</v>
      </c>
      <c r="T150" s="93">
        <f>SUM('31:16'!T150)</f>
        <v>0</v>
      </c>
      <c r="U150" s="93">
        <f>SUM('31:16'!U150)</f>
        <v>0</v>
      </c>
      <c r="V150" s="206">
        <f t="shared" si="51"/>
        <v>0</v>
      </c>
      <c r="W150" s="33">
        <f t="shared" si="49"/>
        <v>0</v>
      </c>
      <c r="X150" s="93">
        <f>SUM('31:16'!X150)</f>
        <v>0</v>
      </c>
      <c r="Y150" s="93">
        <f>SUM('31:16'!Y150)</f>
        <v>0</v>
      </c>
      <c r="Z150" s="93">
        <f>SUM('31:16'!Z150)</f>
        <v>0</v>
      </c>
      <c r="AA150" s="93">
        <f>SUM('31:16'!AA150)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335"/>
      <c r="D151" s="17">
        <v>7.8</v>
      </c>
      <c r="E151" s="17"/>
      <c r="F151" s="6"/>
      <c r="G151" s="93">
        <f>SUM('31:16'!G151)</f>
        <v>422</v>
      </c>
      <c r="H151" s="93">
        <f>SUM('31:16'!H151)</f>
        <v>3291.5999999999995</v>
      </c>
      <c r="I151" s="93">
        <f>SUM('31:16'!I151)</f>
        <v>68.5</v>
      </c>
      <c r="J151" s="31">
        <f t="array" ref="J151">IF(ISERROR(G151/I151),"",G151/I151)</f>
        <v>6.1605839416058394</v>
      </c>
      <c r="K151" s="35">
        <f t="array" ref="K151">IF(ISERROR(G151/L151),"",G151/L151)</f>
        <v>91.739130434782609</v>
      </c>
      <c r="L151" s="87">
        <v>4.5999999999999996</v>
      </c>
      <c r="M151" s="36">
        <f t="shared" si="50"/>
        <v>-23.239130434782609</v>
      </c>
      <c r="N151" s="93">
        <f>SUM('31:16'!N151)</f>
        <v>0</v>
      </c>
      <c r="O151" s="93">
        <f>SUM('31:16'!O151)</f>
        <v>0</v>
      </c>
      <c r="P151" s="93">
        <f>SUM('31:16'!P151)</f>
        <v>0</v>
      </c>
      <c r="Q151" s="93">
        <f>SUM('31:16'!Q151)</f>
        <v>0</v>
      </c>
      <c r="R151" s="93">
        <f>SUM('31:16'!R151)</f>
        <v>0</v>
      </c>
      <c r="S151" s="93">
        <f>SUM('31:16'!S151)</f>
        <v>0</v>
      </c>
      <c r="T151" s="93">
        <f>SUM('31:16'!T151)</f>
        <v>0</v>
      </c>
      <c r="U151" s="93">
        <f>SUM('31:16'!U151)</f>
        <v>0</v>
      </c>
      <c r="V151" s="206">
        <f t="shared" si="51"/>
        <v>0</v>
      </c>
      <c r="W151" s="33">
        <f t="shared" si="49"/>
        <v>0</v>
      </c>
      <c r="X151" s="93">
        <f>SUM('31:16'!X151)</f>
        <v>0</v>
      </c>
      <c r="Y151" s="93">
        <f>SUM('31:16'!Y151)</f>
        <v>0</v>
      </c>
      <c r="Z151" s="93">
        <f>SUM('31:16'!Z151)</f>
        <v>0</v>
      </c>
      <c r="AA151" s="93">
        <f>SUM('31:16'!AA151)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30700017</v>
      </c>
      <c r="B152" s="64" t="s">
        <v>2</v>
      </c>
      <c r="C152" s="335"/>
      <c r="D152" s="17">
        <v>4.4000000000000004</v>
      </c>
      <c r="E152" s="17"/>
      <c r="F152" s="6"/>
      <c r="G152" s="93">
        <f>SUM('31:16'!G152)</f>
        <v>320</v>
      </c>
      <c r="H152" s="93">
        <f>SUM('31:16'!H152)</f>
        <v>1408</v>
      </c>
      <c r="I152" s="93">
        <f>SUM('31:16'!I152)</f>
        <v>67.5</v>
      </c>
      <c r="J152" s="31">
        <f t="array" ref="J152">IF(ISERROR(G152/I152),"",G152/I152)</f>
        <v>4.7407407407407405</v>
      </c>
      <c r="K152" s="35">
        <f t="array" ref="K152">IF(ISERROR(G152/L152),"",G152/L152)</f>
        <v>55.172413793103452</v>
      </c>
      <c r="L152" s="87">
        <v>5.8</v>
      </c>
      <c r="M152" s="36">
        <f t="shared" si="50"/>
        <v>12.327586206896548</v>
      </c>
      <c r="N152" s="93">
        <f>SUM('31:16'!N152)</f>
        <v>0</v>
      </c>
      <c r="O152" s="93">
        <f>SUM('31:16'!O152)</f>
        <v>0</v>
      </c>
      <c r="P152" s="93">
        <f>SUM('31:16'!P152)</f>
        <v>0</v>
      </c>
      <c r="Q152" s="93">
        <f>SUM('31:16'!Q152)</f>
        <v>0</v>
      </c>
      <c r="R152" s="93">
        <f>SUM('31:16'!R152)</f>
        <v>0</v>
      </c>
      <c r="S152" s="93">
        <f>SUM('31:16'!S152)</f>
        <v>0</v>
      </c>
      <c r="T152" s="93">
        <f>SUM('31:16'!T152)</f>
        <v>0</v>
      </c>
      <c r="U152" s="93">
        <f>SUM('31:16'!U152)</f>
        <v>0</v>
      </c>
      <c r="V152" s="206">
        <f t="shared" si="51"/>
        <v>0</v>
      </c>
      <c r="W152" s="33">
        <f t="shared" si="49"/>
        <v>0</v>
      </c>
      <c r="X152" s="93">
        <f>SUM('31:16'!X152)</f>
        <v>0</v>
      </c>
      <c r="Y152" s="93">
        <f>SUM('31:16'!Y152)</f>
        <v>0</v>
      </c>
      <c r="Z152" s="93">
        <f>SUM('31:16'!Z152)</f>
        <v>0</v>
      </c>
      <c r="AA152" s="93">
        <f>SUM('31:16'!AA152)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299">
        <v>30700001</v>
      </c>
      <c r="B153" s="191" t="s">
        <v>359</v>
      </c>
      <c r="C153" s="188"/>
      <c r="D153" s="17"/>
      <c r="E153" s="17"/>
      <c r="F153" s="6"/>
      <c r="G153" s="93">
        <f>SUM('31:16'!G153)</f>
        <v>0</v>
      </c>
      <c r="H153" s="93">
        <f>SUM('31:16'!H153)</f>
        <v>0</v>
      </c>
      <c r="I153" s="93">
        <f>SUM('31:16'!I153)</f>
        <v>0</v>
      </c>
      <c r="J153" s="31"/>
      <c r="K153" s="35"/>
      <c r="L153" s="87">
        <v>6</v>
      </c>
      <c r="M153" s="36"/>
      <c r="N153" s="93">
        <f>SUM('31:16'!N153)</f>
        <v>0</v>
      </c>
      <c r="O153" s="93">
        <f>SUM('31:16'!O153)</f>
        <v>0</v>
      </c>
      <c r="P153" s="93">
        <f>SUM('31:16'!P153)</f>
        <v>0</v>
      </c>
      <c r="Q153" s="93">
        <f>SUM('31:16'!Q153)</f>
        <v>0</v>
      </c>
      <c r="R153" s="93">
        <f>SUM('31:16'!R153)</f>
        <v>0</v>
      </c>
      <c r="S153" s="93">
        <f>SUM('31:16'!S153)</f>
        <v>0</v>
      </c>
      <c r="T153" s="93">
        <f>SUM('31:16'!T153)</f>
        <v>0</v>
      </c>
      <c r="U153" s="93">
        <f>SUM('31:16'!U153)</f>
        <v>0</v>
      </c>
      <c r="V153" s="206"/>
      <c r="W153" s="33"/>
      <c r="X153" s="93">
        <f>SUM('31:16'!X153)</f>
        <v>0</v>
      </c>
      <c r="Y153" s="93">
        <f>SUM('31:16'!Y153)</f>
        <v>0</v>
      </c>
      <c r="Z153" s="93">
        <f>SUM('31:16'!Z153)</f>
        <v>0</v>
      </c>
      <c r="AA153" s="93">
        <f>SUM('31:16'!AA153)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/>
      <c r="B154" s="281" t="s">
        <v>239</v>
      </c>
      <c r="C154" s="335" t="s">
        <v>53</v>
      </c>
      <c r="D154" s="17">
        <v>6.04</v>
      </c>
      <c r="E154" s="17"/>
      <c r="F154" s="6"/>
      <c r="G154" s="93">
        <f>SUM('31:16'!G154)</f>
        <v>0</v>
      </c>
      <c r="H154" s="93">
        <f>SUM('31:16'!H154)</f>
        <v>0</v>
      </c>
      <c r="I154" s="93">
        <f>SUM('31:16'!I154)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SUM('31:16'!N154)</f>
        <v>0</v>
      </c>
      <c r="O154" s="93">
        <f>SUM('31:16'!O154)</f>
        <v>0</v>
      </c>
      <c r="P154" s="93">
        <f>SUM('31:16'!P154)</f>
        <v>0</v>
      </c>
      <c r="Q154" s="93">
        <f>SUM('31:16'!Q154)</f>
        <v>0</v>
      </c>
      <c r="R154" s="93">
        <f>SUM('31:16'!R154)</f>
        <v>0</v>
      </c>
      <c r="S154" s="93">
        <f>SUM('31:16'!S154)</f>
        <v>0</v>
      </c>
      <c r="T154" s="93">
        <f>SUM('31:16'!T154)</f>
        <v>0</v>
      </c>
      <c r="U154" s="93">
        <f>SUM('31:16'!U154)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SUM('31:16'!X154)</f>
        <v>0</v>
      </c>
      <c r="Y154" s="93">
        <f>SUM('31:16'!Y154)</f>
        <v>0</v>
      </c>
      <c r="Z154" s="93">
        <f>SUM('31:16'!Z154)</f>
        <v>0</v>
      </c>
      <c r="AA154" s="93">
        <f>SUM('31:16'!AA154)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30700019</v>
      </c>
      <c r="B155" s="66" t="s">
        <v>104</v>
      </c>
      <c r="C155" s="335" t="s">
        <v>60</v>
      </c>
      <c r="D155" s="17">
        <v>6.04</v>
      </c>
      <c r="E155" s="17"/>
      <c r="F155" s="6"/>
      <c r="G155" s="93">
        <f>SUM('31:16'!G155)</f>
        <v>0</v>
      </c>
      <c r="H155" s="93">
        <f>SUM('31:16'!H155)</f>
        <v>0</v>
      </c>
      <c r="I155" s="93">
        <f>SUM('31:16'!I155)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SUM('31:16'!N155)</f>
        <v>0</v>
      </c>
      <c r="O155" s="93">
        <f>SUM('31:16'!O155)</f>
        <v>0</v>
      </c>
      <c r="P155" s="93">
        <f>SUM('31:16'!P155)</f>
        <v>0</v>
      </c>
      <c r="Q155" s="93">
        <f>SUM('31:16'!Q155)</f>
        <v>0</v>
      </c>
      <c r="R155" s="93">
        <f>SUM('31:16'!R155)</f>
        <v>0</v>
      </c>
      <c r="S155" s="93">
        <f>SUM('31:16'!S155)</f>
        <v>0</v>
      </c>
      <c r="T155" s="93">
        <f>SUM('31:16'!T155)</f>
        <v>0</v>
      </c>
      <c r="U155" s="93">
        <f>SUM('31:16'!U155)</f>
        <v>0</v>
      </c>
      <c r="V155" s="206">
        <f t="shared" si="53"/>
        <v>0</v>
      </c>
      <c r="W155" s="33" t="str">
        <f t="shared" si="54"/>
        <v/>
      </c>
      <c r="X155" s="93">
        <f>SUM('31:16'!X155)</f>
        <v>0</v>
      </c>
      <c r="Y155" s="93">
        <f>SUM('31:16'!Y155)</f>
        <v>0</v>
      </c>
      <c r="Z155" s="93">
        <f>SUM('31:16'!Z155)</f>
        <v>0</v>
      </c>
      <c r="AA155" s="93">
        <f>SUM('31:16'!AA155)</f>
        <v>0</v>
      </c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30601015</v>
      </c>
      <c r="B156" s="281" t="s">
        <v>443</v>
      </c>
      <c r="C156" s="335" t="s">
        <v>53</v>
      </c>
      <c r="D156" s="17">
        <v>6</v>
      </c>
      <c r="E156" s="17"/>
      <c r="F156" s="6"/>
      <c r="G156" s="93">
        <f>SUM('31:16'!G156)</f>
        <v>300</v>
      </c>
      <c r="H156" s="93">
        <f>SUM('31:16'!H156)</f>
        <v>1800</v>
      </c>
      <c r="I156" s="93">
        <f>SUM('31:16'!I156)</f>
        <v>165</v>
      </c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305">
        <v>30101016</v>
      </c>
      <c r="B157" s="281" t="s">
        <v>443</v>
      </c>
      <c r="C157" s="335" t="s">
        <v>446</v>
      </c>
      <c r="D157" s="17">
        <v>6</v>
      </c>
      <c r="E157" s="17"/>
      <c r="F157" s="6"/>
      <c r="G157" s="93">
        <f>SUM('31:16'!G157)</f>
        <v>175</v>
      </c>
      <c r="H157" s="93">
        <f>SUM('31:16'!H157)</f>
        <v>1050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SUM('31:16'!G158)</f>
        <v>0</v>
      </c>
      <c r="H158" s="93">
        <f>SUM('31:16'!H158)</f>
        <v>0</v>
      </c>
      <c r="I158" s="93">
        <f>SUM('31:16'!I158)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SUM('31:16'!N158)</f>
        <v>0</v>
      </c>
      <c r="O158" s="93">
        <f>SUM('31:16'!O158)</f>
        <v>0</v>
      </c>
      <c r="P158" s="93">
        <f>SUM('31:16'!P158)</f>
        <v>0</v>
      </c>
      <c r="Q158" s="93">
        <f>SUM('31:16'!Q158)</f>
        <v>0</v>
      </c>
      <c r="R158" s="93">
        <f>SUM('31:16'!R158)</f>
        <v>0</v>
      </c>
      <c r="S158" s="93">
        <f>SUM('31:16'!S158)</f>
        <v>0</v>
      </c>
      <c r="T158" s="93">
        <f>SUM('31:16'!T158)</f>
        <v>0</v>
      </c>
      <c r="U158" s="93">
        <f>SUM('31:16'!U158)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SUM('31:16'!X158)</f>
        <v>0</v>
      </c>
      <c r="Y158" s="93">
        <f>SUM('31:16'!Y158)</f>
        <v>0</v>
      </c>
      <c r="Z158" s="93">
        <f>SUM('31:16'!Z158)</f>
        <v>0</v>
      </c>
      <c r="AA158" s="93">
        <f>SUM('31:16'!AA158)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SUM('31:16'!G159)</f>
        <v>0</v>
      </c>
      <c r="H159" s="93">
        <f>SUM('31:16'!H159)</f>
        <v>0</v>
      </c>
      <c r="I159" s="93">
        <f>SUM('31:16'!I159)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SUM('31:16'!N159)</f>
        <v>0</v>
      </c>
      <c r="O159" s="93">
        <f>SUM('31:16'!O159)</f>
        <v>0</v>
      </c>
      <c r="P159" s="93">
        <f>SUM('31:16'!P159)</f>
        <v>0</v>
      </c>
      <c r="Q159" s="93">
        <f>SUM('31:16'!Q159)</f>
        <v>0</v>
      </c>
      <c r="R159" s="93">
        <f>SUM('31:16'!R159)</f>
        <v>0</v>
      </c>
      <c r="S159" s="93">
        <f>SUM('31:16'!S159)</f>
        <v>0</v>
      </c>
      <c r="T159" s="93">
        <f>SUM('31:16'!T159)</f>
        <v>0</v>
      </c>
      <c r="U159" s="93">
        <f>SUM('31:16'!U159)</f>
        <v>0</v>
      </c>
      <c r="V159" s="206">
        <f t="shared" si="56"/>
        <v>0</v>
      </c>
      <c r="W159" s="33" t="str">
        <f t="shared" si="57"/>
        <v/>
      </c>
      <c r="X159" s="93">
        <f>SUM('31:16'!X159)</f>
        <v>0</v>
      </c>
      <c r="Y159" s="93">
        <f>SUM('31:16'!Y159)</f>
        <v>0</v>
      </c>
      <c r="Z159" s="93">
        <f>SUM('31:16'!Z159)</f>
        <v>0</v>
      </c>
      <c r="AA159" s="93">
        <f>SUM('31:16'!AA159)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30700015</v>
      </c>
      <c r="B160" s="336" t="s">
        <v>159</v>
      </c>
      <c r="C160" s="16"/>
      <c r="D160" s="17">
        <v>4.5</v>
      </c>
      <c r="E160" s="17"/>
      <c r="F160" s="6"/>
      <c r="G160" s="93">
        <f>SUM('31:16'!G160)</f>
        <v>0</v>
      </c>
      <c r="H160" s="93">
        <f>SUM('31:16'!H160)</f>
        <v>0</v>
      </c>
      <c r="I160" s="93">
        <f>SUM('31:16'!I160)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SUM('31:16'!N160)</f>
        <v>0</v>
      </c>
      <c r="O160" s="93">
        <f>SUM('31:16'!O160)</f>
        <v>0</v>
      </c>
      <c r="P160" s="93">
        <f>SUM('31:16'!P160)</f>
        <v>0</v>
      </c>
      <c r="Q160" s="93">
        <f>SUM('31:16'!Q160)</f>
        <v>0</v>
      </c>
      <c r="R160" s="93">
        <f>SUM('31:16'!R160)</f>
        <v>0</v>
      </c>
      <c r="S160" s="93">
        <f>SUM('31:16'!S160)</f>
        <v>0</v>
      </c>
      <c r="T160" s="93">
        <f>SUM('31:16'!T160)</f>
        <v>0</v>
      </c>
      <c r="U160" s="93">
        <f>SUM('31:16'!U160)</f>
        <v>0</v>
      </c>
      <c r="V160" s="206"/>
      <c r="W160" s="33"/>
      <c r="X160" s="93">
        <f>SUM('31:16'!X160)</f>
        <v>0</v>
      </c>
      <c r="Y160" s="93">
        <f>SUM('31:16'!Y160)</f>
        <v>0</v>
      </c>
      <c r="Z160" s="93">
        <f>SUM('31:16'!Z160)</f>
        <v>0</v>
      </c>
      <c r="AA160" s="93">
        <f>SUM('31:16'!AA160)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299">
        <v>30700012</v>
      </c>
      <c r="B161" s="336" t="s">
        <v>160</v>
      </c>
      <c r="C161" s="16"/>
      <c r="D161" s="17">
        <v>4.5</v>
      </c>
      <c r="E161" s="17"/>
      <c r="F161" s="6"/>
      <c r="G161" s="93">
        <f>SUM('31:16'!G161)</f>
        <v>0</v>
      </c>
      <c r="H161" s="93">
        <f>SUM('31:16'!H161)</f>
        <v>0</v>
      </c>
      <c r="I161" s="93">
        <f>SUM('31:16'!I161)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SUM('31:16'!N161)</f>
        <v>0</v>
      </c>
      <c r="O161" s="93">
        <f>SUM('31:16'!O161)</f>
        <v>0</v>
      </c>
      <c r="P161" s="93">
        <f>SUM('31:16'!P161)</f>
        <v>0</v>
      </c>
      <c r="Q161" s="93">
        <f>SUM('31:16'!Q161)</f>
        <v>0</v>
      </c>
      <c r="R161" s="93">
        <f>SUM('31:16'!R161)</f>
        <v>0</v>
      </c>
      <c r="S161" s="93">
        <f>SUM('31:16'!S161)</f>
        <v>0</v>
      </c>
      <c r="T161" s="93">
        <f>SUM('31:16'!T161)</f>
        <v>0</v>
      </c>
      <c r="U161" s="93">
        <f>SUM('31:16'!U161)</f>
        <v>0</v>
      </c>
      <c r="V161" s="206"/>
      <c r="W161" s="33"/>
      <c r="X161" s="93">
        <f>SUM('31:16'!X161)</f>
        <v>0</v>
      </c>
      <c r="Y161" s="93">
        <f>SUM('31:16'!Y161)</f>
        <v>0</v>
      </c>
      <c r="Z161" s="93">
        <f>SUM('31:16'!Z161)</f>
        <v>0</v>
      </c>
      <c r="AA161" s="93">
        <f>SUM('31:16'!AA161)</f>
        <v>0</v>
      </c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306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SUM('31:16'!G162)</f>
        <v>0</v>
      </c>
      <c r="H162" s="93">
        <f>SUM('31:16'!H162)</f>
        <v>0</v>
      </c>
      <c r="I162" s="93">
        <f>SUM('31:16'!I162)</f>
        <v>0</v>
      </c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731" t="s">
        <v>106</v>
      </c>
      <c r="B163" s="732"/>
      <c r="C163" s="342" t="s">
        <v>71</v>
      </c>
      <c r="D163" s="20"/>
      <c r="E163" s="20"/>
      <c r="F163" s="32"/>
      <c r="G163" s="94">
        <f>SUM(G149:G162)</f>
        <v>1824</v>
      </c>
      <c r="H163" s="30">
        <f>SUM(H149:H162)</f>
        <v>11543.66</v>
      </c>
      <c r="I163" s="30">
        <f>SUM(I149:I162)</f>
        <v>412</v>
      </c>
      <c r="J163" s="31">
        <f t="array" ref="J163">IF(ISERROR(G163/I163),"",G163/I163)</f>
        <v>4.4271844660194173</v>
      </c>
      <c r="K163" s="30">
        <f>SUM(K149:K159)</f>
        <v>268.31154422788603</v>
      </c>
      <c r="L163" s="98"/>
      <c r="M163" s="89">
        <f t="shared" ref="M163:V163" si="58">SUM(M149:M159)</f>
        <v>-21.311544227886067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>
      <c r="A164" s="733" t="s">
        <v>108</v>
      </c>
      <c r="B164" s="734"/>
      <c r="C164" s="734"/>
      <c r="D164" s="734"/>
      <c r="E164" s="734"/>
      <c r="F164" s="735"/>
      <c r="G164" s="193">
        <f>SUM(G28,G86,G121,G137,G148,G163)</f>
        <v>91250</v>
      </c>
      <c r="H164" s="193">
        <f>SUM(H28,H86,H121,H137,H148,H163)</f>
        <v>451288.83999999997</v>
      </c>
      <c r="I164" s="193">
        <f>SUM(I28,I86,I121,I137,I148,I163)</f>
        <v>4784.75</v>
      </c>
      <c r="J164" s="52">
        <f t="array" ref="J164">IF(ISERROR(G164/I164),"",G164/I164)</f>
        <v>19.07100684466273</v>
      </c>
      <c r="K164" s="193">
        <f>SUM(K28,K86,K121,K137,K148,K163)</f>
        <v>5064.4133153399143</v>
      </c>
      <c r="L164" s="52">
        <f>IF(ISERROR(G164/K164),"",G164/K164)</f>
        <v>18.017881700849188</v>
      </c>
      <c r="M164" s="193">
        <f t="shared" ref="M164:AA164" si="60">SUM(M28,M86,M121,M137,M148,M163)</f>
        <v>-525.50337231997082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customHeight="1">
      <c r="A165" s="623" t="s">
        <v>503</v>
      </c>
      <c r="B165" s="337" t="s">
        <v>110</v>
      </c>
      <c r="C165" s="714" t="s">
        <v>111</v>
      </c>
      <c r="D165" s="714"/>
      <c r="E165" s="724" t="s">
        <v>112</v>
      </c>
      <c r="F165" s="724"/>
      <c r="G165" s="694" t="s">
        <v>113</v>
      </c>
      <c r="H165" s="694"/>
      <c r="I165" s="724" t="s">
        <v>114</v>
      </c>
      <c r="J165" s="724"/>
      <c r="K165" s="724" t="s">
        <v>36</v>
      </c>
      <c r="L165" s="724"/>
      <c r="M165" s="724" t="s">
        <v>115</v>
      </c>
      <c r="N165" s="724"/>
      <c r="O165" s="724" t="s">
        <v>116</v>
      </c>
      <c r="P165" s="694" t="s">
        <v>117</v>
      </c>
      <c r="Q165" s="694"/>
      <c r="R165" s="694" t="s">
        <v>36</v>
      </c>
      <c r="S165" s="694"/>
      <c r="T165" s="694" t="s">
        <v>118</v>
      </c>
      <c r="U165" s="694"/>
      <c r="V165" s="694" t="s">
        <v>119</v>
      </c>
      <c r="W165" s="694"/>
      <c r="X165" s="694" t="s">
        <v>36</v>
      </c>
      <c r="Y165" s="694"/>
      <c r="Z165" s="694" t="s">
        <v>118</v>
      </c>
      <c r="AA165" s="694"/>
      <c r="AE165" s="14"/>
      <c r="AF165" s="14"/>
      <c r="AG165" s="3"/>
      <c r="AH165" s="34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customHeight="1">
      <c r="A166" s="624"/>
      <c r="B166" s="337" t="s">
        <v>120</v>
      </c>
      <c r="C166" s="729">
        <f>SUM('31:16'!C166)</f>
        <v>17</v>
      </c>
      <c r="D166" s="730"/>
      <c r="E166" s="728">
        <f>D166*11</f>
        <v>0</v>
      </c>
      <c r="F166" s="728"/>
      <c r="G166" s="729">
        <f>SUM('31:16'!G166)</f>
        <v>17</v>
      </c>
      <c r="H166" s="730"/>
      <c r="I166" s="724">
        <f>G166*11</f>
        <v>187</v>
      </c>
      <c r="J166" s="724"/>
      <c r="K166" s="724">
        <f>E166-I166</f>
        <v>-187</v>
      </c>
      <c r="L166" s="724"/>
      <c r="M166" s="726" t="str">
        <f>IF(ISERROR(K166/E166),"",K166/E166)</f>
        <v/>
      </c>
      <c r="N166" s="726"/>
      <c r="O166" s="724"/>
      <c r="P166" s="694" t="s">
        <v>70</v>
      </c>
      <c r="Q166" s="694"/>
      <c r="R166" s="717">
        <f>SUM(O28:U28)</f>
        <v>0</v>
      </c>
      <c r="S166" s="717"/>
      <c r="T166" s="725" t="str">
        <f t="array" ref="T166">IF(ISERROR(R166/R173),"",R166/R173)</f>
        <v/>
      </c>
      <c r="U166" s="725"/>
      <c r="V166" s="694" t="s">
        <v>41</v>
      </c>
      <c r="W166" s="694"/>
      <c r="X166" s="717">
        <f>SUM(P27,P85,P120,P136,P147,P161)</f>
        <v>0</v>
      </c>
      <c r="Y166" s="717"/>
      <c r="Z166" s="725" t="str">
        <f t="array" ref="Z166">IF(ISERROR(X166/X173),"",X166/X173)</f>
        <v/>
      </c>
      <c r="AA166" s="725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624"/>
      <c r="B167" s="337" t="s">
        <v>121</v>
      </c>
      <c r="C167" s="729">
        <f>SUM('31:16'!C167)</f>
        <v>17</v>
      </c>
      <c r="D167" s="730"/>
      <c r="E167" s="728">
        <f>D167*11</f>
        <v>0</v>
      </c>
      <c r="F167" s="728"/>
      <c r="G167" s="729">
        <f>SUM('31:16'!G167)</f>
        <v>17</v>
      </c>
      <c r="H167" s="730"/>
      <c r="I167" s="724">
        <f>G167*11</f>
        <v>187</v>
      </c>
      <c r="J167" s="724"/>
      <c r="K167" s="724">
        <f>E167-I167</f>
        <v>-187</v>
      </c>
      <c r="L167" s="724"/>
      <c r="M167" s="726" t="str">
        <f>IF(ISERROR(K167/E167),"",K167/E167)</f>
        <v/>
      </c>
      <c r="N167" s="726"/>
      <c r="O167" s="724"/>
      <c r="P167" s="694" t="s">
        <v>86</v>
      </c>
      <c r="Q167" s="694"/>
      <c r="R167" s="717">
        <f>SUM(O86:U86)</f>
        <v>0</v>
      </c>
      <c r="S167" s="717"/>
      <c r="T167" s="725" t="str">
        <f>IF(ISERROR(R167/R173),"",R167/R173)</f>
        <v/>
      </c>
      <c r="U167" s="725"/>
      <c r="V167" s="694" t="s">
        <v>42</v>
      </c>
      <c r="W167" s="694"/>
      <c r="X167" s="717">
        <f>SUM(P28,P86,P121,P137,P148,P163)</f>
        <v>0</v>
      </c>
      <c r="Y167" s="717"/>
      <c r="Z167" s="725" t="str">
        <f>IF(ISERROR(X167/X173),"",X167/X173)</f>
        <v/>
      </c>
      <c r="AA167" s="725"/>
      <c r="AE167" s="14"/>
      <c r="AF167" s="14"/>
      <c r="AG167" s="3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624"/>
      <c r="B168" s="337" t="s">
        <v>122</v>
      </c>
      <c r="C168" s="729">
        <f>SUM('31:16'!C168)</f>
        <v>17</v>
      </c>
      <c r="D168" s="730"/>
      <c r="E168" s="728">
        <f>D168*11</f>
        <v>0</v>
      </c>
      <c r="F168" s="728"/>
      <c r="G168" s="729">
        <f>SUM('31:16'!G168)</f>
        <v>17</v>
      </c>
      <c r="H168" s="730"/>
      <c r="I168" s="724">
        <f>G168*8</f>
        <v>136</v>
      </c>
      <c r="J168" s="724"/>
      <c r="K168" s="724">
        <f>E168-I168</f>
        <v>-136</v>
      </c>
      <c r="L168" s="724"/>
      <c r="M168" s="726" t="str">
        <f>IF(ISERROR(K168/E168),"",K168/E168)</f>
        <v/>
      </c>
      <c r="N168" s="726"/>
      <c r="O168" s="724"/>
      <c r="P168" s="694" t="s">
        <v>92</v>
      </c>
      <c r="Q168" s="694"/>
      <c r="R168" s="717">
        <f>SUM(O121:U121)</f>
        <v>0</v>
      </c>
      <c r="S168" s="717"/>
      <c r="T168" s="725" t="str">
        <f>IF(ISERROR(R168/R173),"",R168/R173)</f>
        <v/>
      </c>
      <c r="U168" s="725"/>
      <c r="V168" s="694" t="s">
        <v>43</v>
      </c>
      <c r="W168" s="694"/>
      <c r="X168" s="717">
        <f>SUM(P29,P87,P122,P138,P149,P164)</f>
        <v>0</v>
      </c>
      <c r="Y168" s="717"/>
      <c r="Z168" s="725" t="str">
        <f>IF(ISERROR(X168/X173),"",X168/X173)</f>
        <v/>
      </c>
      <c r="AA168" s="725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624"/>
      <c r="B169" s="337" t="s">
        <v>47</v>
      </c>
      <c r="C169" s="729">
        <f>SUM('31:16'!C169)</f>
        <v>17</v>
      </c>
      <c r="D169" s="730"/>
      <c r="E169" s="728">
        <f>D169*11</f>
        <v>0</v>
      </c>
      <c r="F169" s="728"/>
      <c r="G169" s="729">
        <f>SUM('31:16'!G169)</f>
        <v>17</v>
      </c>
      <c r="H169" s="730"/>
      <c r="I169" s="724">
        <f>G169*11</f>
        <v>187</v>
      </c>
      <c r="J169" s="724"/>
      <c r="K169" s="724">
        <f>E169-I169</f>
        <v>-187</v>
      </c>
      <c r="L169" s="724"/>
      <c r="M169" s="726" t="str">
        <f>IF(ISERROR(K169/E169),"",K169/E169)</f>
        <v/>
      </c>
      <c r="N169" s="726"/>
      <c r="O169" s="724"/>
      <c r="P169" s="694" t="s">
        <v>99</v>
      </c>
      <c r="Q169" s="694"/>
      <c r="R169" s="717">
        <f>SUM(O137:U137)</f>
        <v>0</v>
      </c>
      <c r="S169" s="717"/>
      <c r="T169" s="725" t="str">
        <f>IF(ISERROR(R169/R173),"",R169/R173)</f>
        <v/>
      </c>
      <c r="U169" s="725"/>
      <c r="V169" s="694" t="s">
        <v>44</v>
      </c>
      <c r="W169" s="694"/>
      <c r="X169" s="717">
        <f>SUM(P31,P88,P123,P139,P150,P165)</f>
        <v>0</v>
      </c>
      <c r="Y169" s="717"/>
      <c r="Z169" s="725" t="str">
        <f>IF(ISERROR(X169/X173),"",X169/X173)</f>
        <v/>
      </c>
      <c r="AA169" s="725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>
      <c r="A170" s="625"/>
      <c r="B170" s="337" t="s">
        <v>123</v>
      </c>
      <c r="C170" s="727">
        <f>SUM(C166:D169)</f>
        <v>68</v>
      </c>
      <c r="D170" s="724"/>
      <c r="E170" s="724">
        <f>SUM(F166:F169)</f>
        <v>0</v>
      </c>
      <c r="F170" s="724"/>
      <c r="G170" s="727">
        <f>SUM(G166:H169)</f>
        <v>68</v>
      </c>
      <c r="H170" s="724"/>
      <c r="I170" s="724">
        <f>SUM(I166:J169)</f>
        <v>697</v>
      </c>
      <c r="J170" s="724"/>
      <c r="K170" s="724">
        <f>SUM(K166:L169)</f>
        <v>-697</v>
      </c>
      <c r="L170" s="724"/>
      <c r="M170" s="726" t="str">
        <f>IF(ISERROR(K170/E170),"",K170/E170)</f>
        <v/>
      </c>
      <c r="N170" s="726"/>
      <c r="O170" s="724"/>
      <c r="P170" s="694" t="s">
        <v>102</v>
      </c>
      <c r="Q170" s="694"/>
      <c r="R170" s="717">
        <f>SUM(O148:U148)</f>
        <v>0</v>
      </c>
      <c r="S170" s="717"/>
      <c r="T170" s="725" t="str">
        <f>IF(ISERROR(R170/R173),"",R170/R173)</f>
        <v/>
      </c>
      <c r="U170" s="725"/>
      <c r="V170" s="694" t="s">
        <v>45</v>
      </c>
      <c r="W170" s="694"/>
      <c r="X170" s="717">
        <f>SUM(P32,P89,P124,P140,P151,P166)</f>
        <v>0</v>
      </c>
      <c r="Y170" s="717"/>
      <c r="Z170" s="725" t="str">
        <f>IF(ISERROR(X170/X173),"",X170/X173)</f>
        <v/>
      </c>
      <c r="AA170" s="725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09" t="s">
        <v>504</v>
      </c>
      <c r="B171" s="337">
        <f>G164</f>
        <v>91250</v>
      </c>
      <c r="C171" s="717" t="s">
        <v>155</v>
      </c>
      <c r="D171" s="717"/>
      <c r="E171" s="694">
        <f>H164</f>
        <v>451288.83999999997</v>
      </c>
      <c r="F171" s="694"/>
      <c r="G171" s="694" t="s">
        <v>34</v>
      </c>
      <c r="H171" s="694"/>
      <c r="I171" s="723">
        <f>L164</f>
        <v>18.017881700849188</v>
      </c>
      <c r="J171" s="723"/>
      <c r="K171" s="724" t="s">
        <v>32</v>
      </c>
      <c r="L171" s="724"/>
      <c r="M171" s="723">
        <f>J164</f>
        <v>19.07100684466273</v>
      </c>
      <c r="N171" s="723"/>
      <c r="O171" s="724"/>
      <c r="P171" s="694" t="s">
        <v>106</v>
      </c>
      <c r="Q171" s="694"/>
      <c r="R171" s="717">
        <f>SUM(O163:U163)</f>
        <v>0</v>
      </c>
      <c r="S171" s="717"/>
      <c r="T171" s="725" t="str">
        <f>IF(ISERROR(R171/R173),"",R171/R173)</f>
        <v/>
      </c>
      <c r="U171" s="725"/>
      <c r="V171" s="694" t="s">
        <v>46</v>
      </c>
      <c r="W171" s="694"/>
      <c r="X171" s="717">
        <f>SUM(P33,P90,P125,P141,P152,P167)</f>
        <v>0</v>
      </c>
      <c r="Y171" s="717"/>
      <c r="Z171" s="725" t="str">
        <f>IF(ISERROR(X171/X173),"",X171/X173)</f>
        <v/>
      </c>
      <c r="AA171" s="725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7.25">
      <c r="A172" s="310" t="s">
        <v>505</v>
      </c>
      <c r="B172" s="337">
        <f>I164+C170</f>
        <v>4852.75</v>
      </c>
      <c r="C172" s="694" t="s">
        <v>114</v>
      </c>
      <c r="D172" s="694"/>
      <c r="E172" s="714">
        <f>K164+I170</f>
        <v>5761.4133153399143</v>
      </c>
      <c r="F172" s="714"/>
      <c r="G172" s="694" t="s">
        <v>150</v>
      </c>
      <c r="H172" s="694"/>
      <c r="I172" s="723">
        <f>B172-E172</f>
        <v>-908.66331533991433</v>
      </c>
      <c r="J172" s="723"/>
      <c r="K172" s="724" t="s">
        <v>151</v>
      </c>
      <c r="L172" s="724"/>
      <c r="M172" s="726">
        <f>IF(ISERROR(I172/B172),"",I172/B172)</f>
        <v>-0.18724708986449215</v>
      </c>
      <c r="N172" s="726"/>
      <c r="O172" s="724"/>
      <c r="P172" s="694" t="s">
        <v>107</v>
      </c>
      <c r="Q172" s="694"/>
      <c r="R172" s="717"/>
      <c r="S172" s="717"/>
      <c r="T172" s="725" t="str">
        <f>IF(ISERROR(R172/R173),"",R172/R173)</f>
        <v/>
      </c>
      <c r="U172" s="725"/>
      <c r="V172" s="694" t="s">
        <v>47</v>
      </c>
      <c r="W172" s="694"/>
      <c r="X172" s="717"/>
      <c r="Y172" s="717"/>
      <c r="Z172" s="725" t="str">
        <f>IF(ISERROR(X172/X173),"",X172/X173)</f>
        <v/>
      </c>
      <c r="AA172" s="725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 ht="15.75" customHeight="1">
      <c r="A173" s="310" t="s">
        <v>507</v>
      </c>
      <c r="B173" s="337">
        <f>N164</f>
        <v>0</v>
      </c>
      <c r="C173" s="694" t="s">
        <v>149</v>
      </c>
      <c r="D173" s="694"/>
      <c r="E173" s="725">
        <f>IF(ISERROR(B173/B172),"",B173/B172)</f>
        <v>0</v>
      </c>
      <c r="F173" s="725"/>
      <c r="G173" s="694" t="s">
        <v>158</v>
      </c>
      <c r="H173" s="694"/>
      <c r="I173" s="724">
        <f>V164</f>
        <v>0</v>
      </c>
      <c r="J173" s="724"/>
      <c r="K173" s="724" t="s">
        <v>156</v>
      </c>
      <c r="L173" s="724"/>
      <c r="M173" s="726">
        <f t="array" ref="M173">IF(ISERROR(I173/B171),"",I173/B171)</f>
        <v>0</v>
      </c>
      <c r="N173" s="726"/>
      <c r="O173" s="724"/>
      <c r="P173" s="694" t="s">
        <v>123</v>
      </c>
      <c r="Q173" s="694"/>
      <c r="R173" s="717">
        <f>SUM(R166:S172)</f>
        <v>0</v>
      </c>
      <c r="S173" s="717"/>
      <c r="T173" s="725">
        <f>SUM(T166:U172)</f>
        <v>0</v>
      </c>
      <c r="U173" s="725"/>
      <c r="V173" s="694" t="s">
        <v>123</v>
      </c>
      <c r="W173" s="694"/>
      <c r="X173" s="717">
        <f>SUM(X166:Y172)</f>
        <v>0</v>
      </c>
      <c r="Y173" s="717"/>
      <c r="Z173" s="725">
        <f>SUM(Z166:AA172)</f>
        <v>0</v>
      </c>
      <c r="AA173" s="725"/>
      <c r="AE173" s="14"/>
      <c r="AF173" s="14"/>
      <c r="AG173" s="346"/>
      <c r="AH173" s="346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343"/>
      <c r="AV173" s="343"/>
      <c r="AW173" s="343"/>
      <c r="AX173" s="343"/>
      <c r="AY173" s="343"/>
      <c r="AZ173" s="343"/>
      <c r="BA173" s="343"/>
    </row>
    <row r="174" spans="1:106">
      <c r="A174" s="756" t="s">
        <v>128</v>
      </c>
      <c r="B174" s="756"/>
      <c r="C174" s="756"/>
      <c r="D174" s="756"/>
      <c r="E174" s="756"/>
      <c r="F174" s="756"/>
      <c r="G174" s="756"/>
      <c r="H174" s="756"/>
      <c r="I174" s="756"/>
      <c r="J174" s="764"/>
      <c r="K174" s="756"/>
      <c r="L174" s="756"/>
      <c r="M174" s="756"/>
      <c r="N174" s="756"/>
      <c r="O174" s="756"/>
      <c r="P174" s="756"/>
      <c r="Q174" s="756"/>
      <c r="R174" s="756"/>
      <c r="S174" s="756"/>
      <c r="T174" s="756"/>
      <c r="U174" s="756"/>
      <c r="V174" s="756"/>
      <c r="W174" s="756"/>
      <c r="X174" s="756"/>
      <c r="Y174" s="756"/>
      <c r="Z174" s="756"/>
      <c r="AA174" s="756"/>
      <c r="AB174" s="756"/>
      <c r="AC174" s="756"/>
      <c r="AD174" s="756"/>
      <c r="AE174" s="756"/>
      <c r="AF174" s="756"/>
      <c r="AG174" s="756"/>
      <c r="AH174" s="756"/>
      <c r="AI174" s="756"/>
      <c r="AJ174" s="756"/>
      <c r="AK174" s="756"/>
      <c r="AL174" s="756"/>
      <c r="AM174" s="756"/>
      <c r="AN174" s="756"/>
      <c r="AO174" s="756"/>
      <c r="AP174" s="756"/>
      <c r="AQ174" s="756"/>
      <c r="AR174" s="756"/>
      <c r="AS174" s="756"/>
      <c r="AT174" s="756"/>
      <c r="AU174" s="756"/>
      <c r="AV174" s="756"/>
      <c r="AW174" s="756"/>
      <c r="AX174" s="756"/>
      <c r="AY174" s="756"/>
      <c r="AZ174" s="756"/>
      <c r="BA174" s="756"/>
    </row>
    <row r="175" spans="1:106">
      <c r="A175" s="644" t="s">
        <v>502</v>
      </c>
      <c r="B175" s="745" t="s">
        <v>25</v>
      </c>
      <c r="C175" s="745" t="s">
        <v>26</v>
      </c>
      <c r="D175" s="745" t="s">
        <v>27</v>
      </c>
      <c r="E175" s="757" t="s">
        <v>28</v>
      </c>
      <c r="F175" s="760" t="s">
        <v>29</v>
      </c>
      <c r="G175" s="724" t="s">
        <v>30</v>
      </c>
      <c r="H175" s="724"/>
      <c r="I175" s="745" t="s">
        <v>31</v>
      </c>
      <c r="J175" s="748" t="s">
        <v>32</v>
      </c>
      <c r="K175" s="751" t="s">
        <v>33</v>
      </c>
      <c r="L175" s="745" t="s">
        <v>34</v>
      </c>
      <c r="M175" s="754" t="s">
        <v>35</v>
      </c>
      <c r="N175" s="742" t="s">
        <v>36</v>
      </c>
      <c r="O175" s="724" t="s">
        <v>37</v>
      </c>
      <c r="P175" s="724"/>
      <c r="Q175" s="724"/>
      <c r="R175" s="724"/>
      <c r="S175" s="724"/>
      <c r="T175" s="724"/>
      <c r="U175" s="724"/>
      <c r="V175" s="743" t="s">
        <v>38</v>
      </c>
      <c r="W175" s="742" t="s">
        <v>39</v>
      </c>
      <c r="X175" s="724" t="s">
        <v>40</v>
      </c>
      <c r="Y175" s="724"/>
      <c r="Z175" s="724"/>
      <c r="AA175" s="724"/>
      <c r="AB175" s="21"/>
      <c r="AC175" s="21"/>
      <c r="AD175" s="21"/>
      <c r="AE175" s="21"/>
      <c r="AF175" s="21"/>
      <c r="AG175" s="21"/>
      <c r="AH175" s="21"/>
      <c r="AI175" s="744"/>
      <c r="AJ175" s="740"/>
      <c r="AK175" s="740"/>
      <c r="AL175" s="740"/>
      <c r="AM175" s="740"/>
      <c r="AN175" s="740"/>
      <c r="AO175" s="740"/>
      <c r="AP175" s="740"/>
      <c r="AQ175" s="740"/>
      <c r="AR175" s="740"/>
      <c r="AS175" s="740"/>
      <c r="AT175" s="740"/>
      <c r="AU175" s="740"/>
      <c r="AV175" s="740"/>
      <c r="AW175" s="740"/>
      <c r="AX175" s="740"/>
      <c r="AY175" s="740"/>
      <c r="AZ175" s="740"/>
      <c r="BA175" s="740"/>
    </row>
    <row r="176" spans="1:106" ht="15.75" customHeight="1">
      <c r="A176" s="645"/>
      <c r="B176" s="746"/>
      <c r="C176" s="746"/>
      <c r="D176" s="746"/>
      <c r="E176" s="758"/>
      <c r="F176" s="761"/>
      <c r="G176" s="724"/>
      <c r="H176" s="724"/>
      <c r="I176" s="746"/>
      <c r="J176" s="749"/>
      <c r="K176" s="752"/>
      <c r="L176" s="746"/>
      <c r="M176" s="755"/>
      <c r="N176" s="742"/>
      <c r="O176" s="724" t="s">
        <v>41</v>
      </c>
      <c r="P176" s="724" t="s">
        <v>42</v>
      </c>
      <c r="Q176" s="724" t="s">
        <v>43</v>
      </c>
      <c r="R176" s="741" t="s">
        <v>44</v>
      </c>
      <c r="S176" s="694" t="s">
        <v>45</v>
      </c>
      <c r="T176" s="724" t="s">
        <v>46</v>
      </c>
      <c r="U176" s="724" t="s">
        <v>47</v>
      </c>
      <c r="V176" s="743"/>
      <c r="W176" s="742"/>
      <c r="X176" s="724" t="s">
        <v>13</v>
      </c>
      <c r="Y176" s="724" t="s">
        <v>48</v>
      </c>
      <c r="Z176" s="724" t="s">
        <v>49</v>
      </c>
      <c r="AA176" s="724" t="s">
        <v>47</v>
      </c>
      <c r="AB176" s="21"/>
      <c r="AC176" s="21"/>
      <c r="AD176" s="21"/>
      <c r="AE176" s="21"/>
      <c r="AF176" s="21"/>
      <c r="AG176" s="21"/>
      <c r="AH176" s="21"/>
      <c r="AI176" s="744"/>
      <c r="AJ176" s="740"/>
      <c r="AK176" s="740"/>
      <c r="AL176" s="740"/>
      <c r="AM176" s="740"/>
      <c r="AN176" s="740"/>
      <c r="AO176" s="740"/>
      <c r="AP176" s="740"/>
      <c r="AQ176" s="740"/>
      <c r="AR176" s="740"/>
      <c r="AS176" s="763"/>
      <c r="AT176" s="763"/>
      <c r="AU176" s="763"/>
      <c r="AV176" s="763"/>
      <c r="AW176" s="763"/>
      <c r="AX176" s="763"/>
      <c r="AY176" s="763"/>
      <c r="AZ176" s="763"/>
      <c r="BA176" s="763"/>
    </row>
    <row r="177" spans="1:53" ht="15.75" customHeight="1">
      <c r="A177" s="646"/>
      <c r="B177" s="747"/>
      <c r="C177" s="747"/>
      <c r="D177" s="747"/>
      <c r="E177" s="759"/>
      <c r="F177" s="762"/>
      <c r="G177" s="335" t="s">
        <v>50</v>
      </c>
      <c r="H177" s="335" t="s">
        <v>51</v>
      </c>
      <c r="I177" s="747"/>
      <c r="J177" s="750"/>
      <c r="K177" s="753"/>
      <c r="L177" s="747"/>
      <c r="M177" s="755"/>
      <c r="N177" s="742"/>
      <c r="O177" s="724"/>
      <c r="P177" s="724"/>
      <c r="Q177" s="724"/>
      <c r="R177" s="741"/>
      <c r="S177" s="694"/>
      <c r="T177" s="724"/>
      <c r="U177" s="724"/>
      <c r="V177" s="743"/>
      <c r="W177" s="742"/>
      <c r="X177" s="724"/>
      <c r="Y177" s="724"/>
      <c r="Z177" s="724"/>
      <c r="AA177" s="724"/>
      <c r="AB177" s="21"/>
      <c r="AC177" s="21"/>
      <c r="AD177" s="21"/>
      <c r="AE177" s="21"/>
      <c r="AF177" s="21"/>
      <c r="AG177" s="21"/>
      <c r="AH177" s="21"/>
      <c r="AI177" s="744"/>
      <c r="AJ177" s="740"/>
      <c r="AK177" s="740"/>
      <c r="AL177" s="343"/>
      <c r="AM177" s="343"/>
      <c r="AN177" s="343"/>
      <c r="AO177" s="343"/>
      <c r="AP177" s="343"/>
      <c r="AQ177" s="343"/>
      <c r="AR177" s="343"/>
      <c r="AS177" s="21"/>
      <c r="AT177" s="21"/>
      <c r="AU177" s="21"/>
      <c r="AV177" s="344"/>
      <c r="AW177" s="343"/>
      <c r="AX177" s="343"/>
      <c r="AY177" s="343"/>
      <c r="AZ177" s="343"/>
      <c r="BA177" s="343"/>
    </row>
    <row r="178" spans="1:53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SUM('31:16'!G178)</f>
        <v>1438</v>
      </c>
      <c r="H178" s="95">
        <f t="shared" ref="H178:H183" si="61">D178*G178</f>
        <v>7233.14</v>
      </c>
      <c r="I178" s="93">
        <f>SUM('31:16'!I178)</f>
        <v>82.5</v>
      </c>
      <c r="J178" s="31">
        <f t="array" ref="J178">IF(ISERROR(G178/I178),"",G178/I178)</f>
        <v>17.43030303030303</v>
      </c>
      <c r="K178" s="96">
        <f t="array" ref="K178">IF(ISERROR(G178/L178),"",G178/L178)</f>
        <v>89.875</v>
      </c>
      <c r="L178" s="84">
        <v>16</v>
      </c>
      <c r="M178" s="97">
        <f t="shared" ref="M178:M189" si="62">IF(ISERROR(I178-K178),"",I178-K178)</f>
        <v>-7.375</v>
      </c>
      <c r="N178" s="93">
        <f>SUM('31:16'!N178)</f>
        <v>0</v>
      </c>
      <c r="O178" s="93">
        <f>SUM('31:16'!O178)</f>
        <v>0</v>
      </c>
      <c r="P178" s="93">
        <f>SUM('31:16'!P178)</f>
        <v>0</v>
      </c>
      <c r="Q178" s="93">
        <f>SUM('31:16'!Q178)</f>
        <v>0</v>
      </c>
      <c r="R178" s="93">
        <f>SUM('31:16'!R178)</f>
        <v>0</v>
      </c>
      <c r="S178" s="93">
        <f>SUM('31:16'!S178)</f>
        <v>0</v>
      </c>
      <c r="T178" s="93">
        <f>SUM('31:16'!T178)</f>
        <v>0</v>
      </c>
      <c r="U178" s="93">
        <f>SUM('31:16'!U178)</f>
        <v>0</v>
      </c>
      <c r="V178" s="206">
        <f t="shared" ref="V178:V189" si="63">SUM(X178:AA178)</f>
        <v>0</v>
      </c>
      <c r="W178" s="33">
        <f t="shared" ref="W178:W189" si="64">IF(ISERROR(V178/G178),"",V178/G178)</f>
        <v>0</v>
      </c>
      <c r="X178" s="93">
        <f>SUM('31:16'!X178)</f>
        <v>0</v>
      </c>
      <c r="Y178" s="93">
        <f>SUM('31:16'!Y178)</f>
        <v>0</v>
      </c>
      <c r="Z178" s="93">
        <f>SUM('31:16'!Z178)</f>
        <v>0</v>
      </c>
      <c r="AA178" s="93">
        <f>SUM('31:16'!AA178)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345"/>
      <c r="AM178" s="54"/>
      <c r="AN178" s="345"/>
      <c r="AO178" s="345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>
      <c r="A179" s="300"/>
      <c r="B179" s="62" t="s">
        <v>54</v>
      </c>
      <c r="C179" s="16" t="s">
        <v>53</v>
      </c>
      <c r="D179" s="17">
        <v>5.03</v>
      </c>
      <c r="E179" s="17"/>
      <c r="F179" s="6"/>
      <c r="G179" s="93">
        <f>SUM('31:16'!G179)</f>
        <v>0</v>
      </c>
      <c r="H179" s="95">
        <f t="shared" si="61"/>
        <v>0</v>
      </c>
      <c r="I179" s="93">
        <f>SUM('31:16'!I179)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SUM('31:16'!N179)</f>
        <v>0</v>
      </c>
      <c r="O179" s="93">
        <f>SUM('31:16'!O179)</f>
        <v>0</v>
      </c>
      <c r="P179" s="93">
        <f>SUM('31:16'!P179)</f>
        <v>0</v>
      </c>
      <c r="Q179" s="93">
        <f>SUM('31:16'!Q179)</f>
        <v>0</v>
      </c>
      <c r="R179" s="93">
        <f>SUM('31:16'!R179)</f>
        <v>0</v>
      </c>
      <c r="S179" s="93">
        <f>SUM('31:16'!S179)</f>
        <v>0</v>
      </c>
      <c r="T179" s="93">
        <f>SUM('31:16'!T179)</f>
        <v>0</v>
      </c>
      <c r="U179" s="93">
        <f>SUM('31:16'!U179)</f>
        <v>0</v>
      </c>
      <c r="V179" s="206">
        <f t="shared" si="63"/>
        <v>0</v>
      </c>
      <c r="W179" s="33" t="str">
        <f t="shared" si="64"/>
        <v/>
      </c>
      <c r="X179" s="93">
        <f>SUM('31:16'!X179)</f>
        <v>0</v>
      </c>
      <c r="Y179" s="93">
        <f>SUM('31:16'!Y179)</f>
        <v>0</v>
      </c>
      <c r="Z179" s="93">
        <f>SUM('31:16'!Z179)</f>
        <v>0</v>
      </c>
      <c r="AA179" s="93">
        <f>SUM('31:16'!AA179)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345"/>
      <c r="AO179" s="54"/>
      <c r="AP179" s="345"/>
      <c r="AQ179" s="54"/>
      <c r="AR179" s="54"/>
      <c r="AS179" s="345"/>
      <c r="AT179" s="345"/>
      <c r="AU179" s="345"/>
      <c r="AV179" s="345"/>
      <c r="AW179" s="55"/>
      <c r="AX179" s="54"/>
      <c r="AY179" s="54"/>
      <c r="AZ179" s="54"/>
      <c r="BA179" s="54"/>
    </row>
    <row r="180" spans="1:53">
      <c r="A180" s="301"/>
      <c r="B180" s="62" t="s">
        <v>54</v>
      </c>
      <c r="C180" s="16" t="s">
        <v>55</v>
      </c>
      <c r="D180" s="17">
        <v>5.03</v>
      </c>
      <c r="E180" s="17"/>
      <c r="F180" s="6"/>
      <c r="G180" s="93">
        <f>SUM('31:16'!G180)</f>
        <v>0</v>
      </c>
      <c r="H180" s="95">
        <f t="shared" si="61"/>
        <v>0</v>
      </c>
      <c r="I180" s="93">
        <f>SUM('31:16'!I180)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SUM('31:16'!N180)</f>
        <v>0</v>
      </c>
      <c r="O180" s="93">
        <f>SUM('31:16'!O180)</f>
        <v>0</v>
      </c>
      <c r="P180" s="93">
        <f>SUM('31:16'!P180)</f>
        <v>0</v>
      </c>
      <c r="Q180" s="93">
        <f>SUM('31:16'!Q180)</f>
        <v>0</v>
      </c>
      <c r="R180" s="93">
        <f>SUM('31:16'!R180)</f>
        <v>0</v>
      </c>
      <c r="S180" s="93">
        <f>SUM('31:16'!S180)</f>
        <v>0</v>
      </c>
      <c r="T180" s="93">
        <f>SUM('31:16'!T180)</f>
        <v>0</v>
      </c>
      <c r="U180" s="93">
        <f>SUM('31:16'!U180)</f>
        <v>0</v>
      </c>
      <c r="V180" s="206">
        <f t="shared" si="63"/>
        <v>0</v>
      </c>
      <c r="W180" s="33" t="str">
        <f t="shared" si="64"/>
        <v/>
      </c>
      <c r="X180" s="93">
        <f>SUM('31:16'!X180)</f>
        <v>0</v>
      </c>
      <c r="Y180" s="93">
        <f>SUM('31:16'!Y180)</f>
        <v>0</v>
      </c>
      <c r="Z180" s="93">
        <f>SUM('31:16'!Z180)</f>
        <v>0</v>
      </c>
      <c r="AA180" s="93">
        <f>SUM('31:16'!AA180)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345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SUM('31:16'!G181)</f>
        <v>1246</v>
      </c>
      <c r="H181" s="95">
        <f t="shared" si="61"/>
        <v>6267.38</v>
      </c>
      <c r="I181" s="93">
        <f>SUM('31:16'!I181)</f>
        <v>96.05</v>
      </c>
      <c r="J181" s="31">
        <f t="array" ref="J181">IF(ISERROR(G181/I181),"",G181/I181)</f>
        <v>12.972410203019262</v>
      </c>
      <c r="K181" s="35">
        <f t="array" ref="K181">IF(ISERROR(G181/L181),"",G181/L181)</f>
        <v>65.578947368421055</v>
      </c>
      <c r="L181" s="87">
        <v>19</v>
      </c>
      <c r="M181" s="36">
        <f t="shared" si="62"/>
        <v>30.471052631578942</v>
      </c>
      <c r="N181" s="93">
        <f>SUM('31:16'!N181)</f>
        <v>0</v>
      </c>
      <c r="O181" s="93">
        <f>SUM('31:16'!O181)</f>
        <v>0</v>
      </c>
      <c r="P181" s="93">
        <f>SUM('31:16'!P181)</f>
        <v>0</v>
      </c>
      <c r="Q181" s="93">
        <f>SUM('31:16'!Q181)</f>
        <v>0</v>
      </c>
      <c r="R181" s="93">
        <f>SUM('31:16'!R181)</f>
        <v>0</v>
      </c>
      <c r="S181" s="93">
        <f>SUM('31:16'!S181)</f>
        <v>0</v>
      </c>
      <c r="T181" s="93">
        <f>SUM('31:16'!T181)</f>
        <v>0</v>
      </c>
      <c r="U181" s="93">
        <f>SUM('31:16'!U181)</f>
        <v>0</v>
      </c>
      <c r="V181" s="206">
        <f t="shared" si="63"/>
        <v>0</v>
      </c>
      <c r="W181" s="33">
        <f t="shared" si="64"/>
        <v>0</v>
      </c>
      <c r="X181" s="93">
        <f>SUM('31:16'!X181)</f>
        <v>0</v>
      </c>
      <c r="Y181" s="93">
        <f>SUM('31:16'!Y181)</f>
        <v>0</v>
      </c>
      <c r="Z181" s="93">
        <f>SUM('31:16'!Z181)</f>
        <v>0</v>
      </c>
      <c r="AA181" s="93">
        <f>SUM('31:16'!AA181)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SUM('31:16'!G182)</f>
        <v>1427</v>
      </c>
      <c r="H182" s="95">
        <f t="shared" si="61"/>
        <v>7177.81</v>
      </c>
      <c r="I182" s="93">
        <f>SUM('31:16'!I182)</f>
        <v>86</v>
      </c>
      <c r="J182" s="31">
        <f t="array" ref="J182">IF(ISERROR(G182/I182),"",G182/I182)</f>
        <v>16.593023255813954</v>
      </c>
      <c r="K182" s="35">
        <f t="array" ref="K182">IF(ISERROR(G182/L182),"",G182/L182)</f>
        <v>71.349999999999994</v>
      </c>
      <c r="L182" s="87">
        <v>20</v>
      </c>
      <c r="M182" s="36">
        <f t="shared" si="62"/>
        <v>14.650000000000006</v>
      </c>
      <c r="N182" s="93">
        <f>SUM('31:16'!N182)</f>
        <v>0</v>
      </c>
      <c r="O182" s="93">
        <f>SUM('31:16'!O182)</f>
        <v>0</v>
      </c>
      <c r="P182" s="93">
        <f>SUM('31:16'!P182)</f>
        <v>0</v>
      </c>
      <c r="Q182" s="93">
        <f>SUM('31:16'!Q182)</f>
        <v>0</v>
      </c>
      <c r="R182" s="93">
        <f>SUM('31:16'!R182)</f>
        <v>0</v>
      </c>
      <c r="S182" s="93">
        <f>SUM('31:16'!S182)</f>
        <v>0</v>
      </c>
      <c r="T182" s="93">
        <f>SUM('31:16'!T182)</f>
        <v>0</v>
      </c>
      <c r="U182" s="93">
        <f>SUM('31:16'!U182)</f>
        <v>0</v>
      </c>
      <c r="V182" s="206">
        <f t="shared" si="63"/>
        <v>0</v>
      </c>
      <c r="W182" s="33">
        <f t="shared" si="64"/>
        <v>0</v>
      </c>
      <c r="X182" s="93">
        <f>SUM('31:16'!X182)</f>
        <v>0</v>
      </c>
      <c r="Y182" s="93">
        <f>SUM('31:16'!Y182)</f>
        <v>0</v>
      </c>
      <c r="Z182" s="93">
        <f>SUM('31:16'!Z182)</f>
        <v>0</v>
      </c>
      <c r="AA182" s="93">
        <f>SUM('31:16'!AA182)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SUM('31:16'!G183)</f>
        <v>1097</v>
      </c>
      <c r="H183" s="95">
        <f t="shared" si="61"/>
        <v>5528.88</v>
      </c>
      <c r="I183" s="93">
        <f>SUM('31:16'!I183)</f>
        <v>88.5</v>
      </c>
      <c r="J183" s="31">
        <f t="array" ref="J183">IF(ISERROR(G183/I183),"",G183/I183)</f>
        <v>12.395480225988701</v>
      </c>
      <c r="K183" s="35">
        <f t="array" ref="K183">IF(ISERROR(G183/L183),"",G183/L183)</f>
        <v>57.736842105263158</v>
      </c>
      <c r="L183" s="87">
        <v>19</v>
      </c>
      <c r="M183" s="36">
        <f t="shared" si="62"/>
        <v>30.763157894736842</v>
      </c>
      <c r="N183" s="93">
        <f>SUM('31:16'!N183)</f>
        <v>0</v>
      </c>
      <c r="O183" s="93">
        <f>SUM('31:16'!O183)</f>
        <v>0</v>
      </c>
      <c r="P183" s="93">
        <f>SUM('31:16'!P183)</f>
        <v>0</v>
      </c>
      <c r="Q183" s="93">
        <f>SUM('31:16'!Q183)</f>
        <v>0</v>
      </c>
      <c r="R183" s="93">
        <f>SUM('31:16'!R183)</f>
        <v>0</v>
      </c>
      <c r="S183" s="93">
        <f>SUM('31:16'!S183)</f>
        <v>0</v>
      </c>
      <c r="T183" s="93">
        <f>SUM('31:16'!T183)</f>
        <v>0</v>
      </c>
      <c r="U183" s="93">
        <f>SUM('31:16'!U183)</f>
        <v>0</v>
      </c>
      <c r="V183" s="206">
        <f t="shared" si="63"/>
        <v>0</v>
      </c>
      <c r="W183" s="33">
        <f t="shared" si="64"/>
        <v>0</v>
      </c>
      <c r="X183" s="93">
        <f>SUM('31:16'!X183)</f>
        <v>0</v>
      </c>
      <c r="Y183" s="93">
        <f>SUM('31:16'!Y183)</f>
        <v>0</v>
      </c>
      <c r="Z183" s="93">
        <f>SUM('31:16'!Z183)</f>
        <v>0</v>
      </c>
      <c r="AA183" s="93">
        <f>SUM('31:16'!AA183)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SUM('31:16'!G184)</f>
        <v>580</v>
      </c>
      <c r="H184" s="95">
        <f>D184*G184</f>
        <v>2917.4</v>
      </c>
      <c r="I184" s="93">
        <f>SUM('31:16'!I184)</f>
        <v>47.5</v>
      </c>
      <c r="J184" s="31">
        <f t="array" ref="J184">IF(ISERROR(G184/I184),"",G184/I184)</f>
        <v>12.210526315789474</v>
      </c>
      <c r="K184" s="35">
        <f t="array" ref="K184">IF(ISERROR(G184/L184),"",G184/L184)</f>
        <v>193.33333333333334</v>
      </c>
      <c r="L184" s="87">
        <v>3</v>
      </c>
      <c r="M184" s="36">
        <f t="shared" si="62"/>
        <v>-145.83333333333334</v>
      </c>
      <c r="N184" s="93">
        <f>SUM('31:16'!N184)</f>
        <v>0</v>
      </c>
      <c r="O184" s="93">
        <f>SUM('31:16'!O184)</f>
        <v>0</v>
      </c>
      <c r="P184" s="93">
        <f>SUM('31:16'!P184)</f>
        <v>0</v>
      </c>
      <c r="Q184" s="93">
        <f>SUM('31:16'!Q184)</f>
        <v>0</v>
      </c>
      <c r="R184" s="93">
        <f>SUM('31:16'!R184)</f>
        <v>0</v>
      </c>
      <c r="S184" s="93">
        <f>SUM('31:16'!S184)</f>
        <v>0</v>
      </c>
      <c r="T184" s="93">
        <f>SUM('31:16'!T184)</f>
        <v>0</v>
      </c>
      <c r="U184" s="93">
        <f>SUM('31:16'!U184)</f>
        <v>0</v>
      </c>
      <c r="V184" s="206">
        <f t="shared" si="63"/>
        <v>0</v>
      </c>
      <c r="W184" s="33">
        <f t="shared" si="64"/>
        <v>0</v>
      </c>
      <c r="X184" s="93">
        <f>SUM('31:16'!X184)</f>
        <v>0</v>
      </c>
      <c r="Y184" s="93">
        <f>SUM('31:16'!Y184)</f>
        <v>0</v>
      </c>
      <c r="Z184" s="93">
        <f>SUM('31:16'!Z184)</f>
        <v>0</v>
      </c>
      <c r="AA184" s="93">
        <f>SUM('31:16'!AA184)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SUM('31:16'!G185)</f>
        <v>42</v>
      </c>
      <c r="H185" s="95">
        <f t="shared" ref="H185:H198" si="65">D185*G185</f>
        <v>211.26000000000002</v>
      </c>
      <c r="I185" s="93">
        <f>SUM('31:16'!I185)</f>
        <v>4.5</v>
      </c>
      <c r="J185" s="31">
        <f t="array" ref="J185">IF(ISERROR(G185/I185),"",G185/I185)</f>
        <v>9.3333333333333339</v>
      </c>
      <c r="K185" s="35">
        <f t="array" ref="K185">IF(ISERROR(G185/L185),"",G185/L185)</f>
        <v>14</v>
      </c>
      <c r="L185" s="87">
        <v>3</v>
      </c>
      <c r="M185" s="36">
        <f t="shared" si="62"/>
        <v>-9.5</v>
      </c>
      <c r="N185" s="93">
        <f>SUM('31:16'!N185)</f>
        <v>0</v>
      </c>
      <c r="O185" s="93">
        <f>SUM('31:16'!O185)</f>
        <v>0</v>
      </c>
      <c r="P185" s="93">
        <f>SUM('31:16'!P185)</f>
        <v>0</v>
      </c>
      <c r="Q185" s="93">
        <f>SUM('31:16'!Q185)</f>
        <v>0</v>
      </c>
      <c r="R185" s="93">
        <f>SUM('31:16'!R185)</f>
        <v>0</v>
      </c>
      <c r="S185" s="93">
        <f>SUM('31:16'!S185)</f>
        <v>0</v>
      </c>
      <c r="T185" s="93">
        <f>SUM('31:16'!T185)</f>
        <v>0</v>
      </c>
      <c r="U185" s="93">
        <f>SUM('31:16'!U185)</f>
        <v>0</v>
      </c>
      <c r="V185" s="206">
        <f t="shared" si="63"/>
        <v>0</v>
      </c>
      <c r="W185" s="33">
        <f t="shared" si="64"/>
        <v>0</v>
      </c>
      <c r="X185" s="93">
        <f>SUM('31:16'!X185)</f>
        <v>0</v>
      </c>
      <c r="Y185" s="93">
        <f>SUM('31:16'!Y185)</f>
        <v>0</v>
      </c>
      <c r="Z185" s="93">
        <f>SUM('31:16'!Z185)</f>
        <v>0</v>
      </c>
      <c r="AA185" s="93">
        <f>SUM('31:16'!AA185)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SUM('31:16'!G186)</f>
        <v>3394</v>
      </c>
      <c r="H186" s="95">
        <f t="shared" si="65"/>
        <v>17105.759999999998</v>
      </c>
      <c r="I186" s="93">
        <f>SUM('31:16'!I186)</f>
        <v>260</v>
      </c>
      <c r="J186" s="31">
        <f t="array" ref="J186">IF(ISERROR(G186/I186),"",G186/I186)</f>
        <v>13.053846153846154</v>
      </c>
      <c r="K186" s="35">
        <f t="array" ref="K186">IF(ISERROR(G186/L186),"",G186/L186)</f>
        <v>199.64705882352942</v>
      </c>
      <c r="L186" s="87">
        <v>17</v>
      </c>
      <c r="M186" s="36">
        <f t="shared" si="62"/>
        <v>60.35294117647058</v>
      </c>
      <c r="N186" s="93">
        <f>SUM('31:16'!N186)</f>
        <v>0</v>
      </c>
      <c r="O186" s="93">
        <f>SUM('31:16'!O186)</f>
        <v>0</v>
      </c>
      <c r="P186" s="93">
        <f>SUM('31:16'!P186)</f>
        <v>0</v>
      </c>
      <c r="Q186" s="93">
        <f>SUM('31:16'!Q186)</f>
        <v>0</v>
      </c>
      <c r="R186" s="93">
        <f>SUM('31:16'!R186)</f>
        <v>0</v>
      </c>
      <c r="S186" s="93">
        <f>SUM('31:16'!S186)</f>
        <v>0</v>
      </c>
      <c r="T186" s="93">
        <f>SUM('31:16'!T186)</f>
        <v>0</v>
      </c>
      <c r="U186" s="93">
        <f>SUM('31:16'!U186)</f>
        <v>0</v>
      </c>
      <c r="V186" s="206">
        <f t="shared" si="63"/>
        <v>0</v>
      </c>
      <c r="W186" s="33">
        <f t="shared" si="64"/>
        <v>0</v>
      </c>
      <c r="X186" s="93">
        <f>SUM('31:16'!X186)</f>
        <v>0</v>
      </c>
      <c r="Y186" s="93">
        <f>SUM('31:16'!Y186)</f>
        <v>0</v>
      </c>
      <c r="Z186" s="93">
        <f>SUM('31:16'!Z186)</f>
        <v>0</v>
      </c>
      <c r="AA186" s="93">
        <f>SUM('31:16'!AA186)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345"/>
      <c r="AM186" s="54"/>
      <c r="AN186" s="54"/>
      <c r="AO186" s="54"/>
      <c r="AP186" s="345"/>
      <c r="AQ186" s="345"/>
      <c r="AR186" s="345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0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SUM('31:16'!G187)</f>
        <v>1892</v>
      </c>
      <c r="H187" s="95">
        <f t="shared" si="65"/>
        <v>9535.68</v>
      </c>
      <c r="I187" s="93">
        <f>SUM('31:16'!I187)</f>
        <v>143.5</v>
      </c>
      <c r="J187" s="31">
        <f t="array" ref="J187">IF(ISERROR(G187/I187),"",G187/I187)</f>
        <v>13.184668989547038</v>
      </c>
      <c r="K187" s="35">
        <f t="array" ref="K187">IF(ISERROR(G187/L187),"",G187/L187)</f>
        <v>111.29411764705883</v>
      </c>
      <c r="L187" s="87">
        <v>17</v>
      </c>
      <c r="M187" s="36">
        <f t="shared" si="62"/>
        <v>32.205882352941174</v>
      </c>
      <c r="N187" s="93">
        <f>SUM('31:16'!N187)</f>
        <v>0</v>
      </c>
      <c r="O187" s="93">
        <f>SUM('31:16'!O187)</f>
        <v>0</v>
      </c>
      <c r="P187" s="93">
        <f>SUM('31:16'!P187)</f>
        <v>0</v>
      </c>
      <c r="Q187" s="93">
        <f>SUM('31:16'!Q187)</f>
        <v>0</v>
      </c>
      <c r="R187" s="93">
        <f>SUM('31:16'!R187)</f>
        <v>0</v>
      </c>
      <c r="S187" s="93">
        <f>SUM('31:16'!S187)</f>
        <v>0</v>
      </c>
      <c r="T187" s="93">
        <f>SUM('31:16'!T187)</f>
        <v>0</v>
      </c>
      <c r="U187" s="93">
        <f>SUM('31:16'!U187)</f>
        <v>0</v>
      </c>
      <c r="V187" s="206">
        <f t="shared" si="63"/>
        <v>0</v>
      </c>
      <c r="W187" s="33">
        <f t="shared" si="64"/>
        <v>0</v>
      </c>
      <c r="X187" s="93">
        <f>SUM('31:16'!X187)</f>
        <v>0</v>
      </c>
      <c r="Y187" s="93">
        <f>SUM('31:16'!Y187)</f>
        <v>0</v>
      </c>
      <c r="Z187" s="93">
        <f>SUM('31:16'!Z187)</f>
        <v>0</v>
      </c>
      <c r="AA187" s="93">
        <f>SUM('31:16'!AA187)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SUM('31:16'!G188)</f>
        <v>0</v>
      </c>
      <c r="H188" s="95">
        <f t="shared" si="65"/>
        <v>0</v>
      </c>
      <c r="I188" s="93">
        <f>SUM('31:16'!I188)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SUM('31:16'!N188)</f>
        <v>0</v>
      </c>
      <c r="O188" s="93">
        <f>SUM('31:16'!O188)</f>
        <v>0</v>
      </c>
      <c r="P188" s="93">
        <f>SUM('31:16'!P188)</f>
        <v>0</v>
      </c>
      <c r="Q188" s="93">
        <f>SUM('31:16'!Q188)</f>
        <v>0</v>
      </c>
      <c r="R188" s="93">
        <f>SUM('31:16'!R188)</f>
        <v>0</v>
      </c>
      <c r="S188" s="93">
        <f>SUM('31:16'!S188)</f>
        <v>0</v>
      </c>
      <c r="T188" s="93">
        <f>SUM('31:16'!T188)</f>
        <v>0</v>
      </c>
      <c r="U188" s="93">
        <f>SUM('31:16'!U188)</f>
        <v>0</v>
      </c>
      <c r="V188" s="206">
        <f t="shared" si="63"/>
        <v>0</v>
      </c>
      <c r="W188" s="33" t="str">
        <f t="shared" si="64"/>
        <v/>
      </c>
      <c r="X188" s="93">
        <f>SUM('31:16'!X188)</f>
        <v>0</v>
      </c>
      <c r="Y188" s="93">
        <f>SUM('31:16'!Y188)</f>
        <v>0</v>
      </c>
      <c r="Z188" s="93">
        <f>SUM('31:16'!Z188)</f>
        <v>0</v>
      </c>
      <c r="AA188" s="93">
        <f>SUM('31:16'!AA188)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2">
        <v>30100061</v>
      </c>
      <c r="B189" s="202" t="s">
        <v>171</v>
      </c>
      <c r="C189" s="16" t="s">
        <v>380</v>
      </c>
      <c r="D189" s="108"/>
      <c r="E189" s="17"/>
      <c r="F189" s="6"/>
      <c r="G189" s="93">
        <f>SUM('31:16'!G189)</f>
        <v>0</v>
      </c>
      <c r="H189" s="95">
        <f t="shared" si="65"/>
        <v>0</v>
      </c>
      <c r="I189" s="93">
        <f>SUM('31:16'!I189)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SUM('31:16'!N189)</f>
        <v>0</v>
      </c>
      <c r="O189" s="93">
        <f>SUM('31:16'!O189)</f>
        <v>0</v>
      </c>
      <c r="P189" s="93">
        <f>SUM('31:16'!P189)</f>
        <v>0</v>
      </c>
      <c r="Q189" s="93">
        <f>SUM('31:16'!Q189)</f>
        <v>0</v>
      </c>
      <c r="R189" s="93">
        <f>SUM('31:16'!R189)</f>
        <v>0</v>
      </c>
      <c r="S189" s="93">
        <f>SUM('31:16'!S189)</f>
        <v>0</v>
      </c>
      <c r="T189" s="93">
        <f>SUM('31:16'!T189)</f>
        <v>0</v>
      </c>
      <c r="U189" s="93">
        <f>SUM('31:16'!U189)</f>
        <v>0</v>
      </c>
      <c r="V189" s="206">
        <f t="shared" si="63"/>
        <v>0</v>
      </c>
      <c r="W189" s="33" t="str">
        <f t="shared" si="64"/>
        <v/>
      </c>
      <c r="X189" s="93">
        <f>SUM('31:16'!X189)</f>
        <v>0</v>
      </c>
      <c r="Y189" s="93">
        <f>SUM('31:16'!Y189)</f>
        <v>0</v>
      </c>
      <c r="Z189" s="93">
        <f>SUM('31:16'!Z189)</f>
        <v>0</v>
      </c>
      <c r="AA189" s="93">
        <f>SUM('31:16'!AA189)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30200001</v>
      </c>
      <c r="B190" s="202" t="s">
        <v>67</v>
      </c>
      <c r="C190" s="16" t="s">
        <v>381</v>
      </c>
      <c r="D190" s="108">
        <v>5.0599999999999996</v>
      </c>
      <c r="E190" s="17"/>
      <c r="F190" s="6"/>
      <c r="G190" s="93">
        <f>SUM('31:16'!G190)</f>
        <v>5003</v>
      </c>
      <c r="H190" s="95">
        <f t="shared" si="65"/>
        <v>25315.179999999997</v>
      </c>
      <c r="I190" s="93">
        <f>SUM('31:16'!I190)</f>
        <v>382.5</v>
      </c>
      <c r="J190" s="31">
        <f t="array" ref="J190">IF(ISERROR(G190/I190),"",G190/I190)</f>
        <v>13.079738562091503</v>
      </c>
      <c r="K190" s="35">
        <f t="array" ref="K190">IF(ISERROR(G190/L190),"",G190/L190)</f>
        <v>263.31578947368422</v>
      </c>
      <c r="L190" s="87">
        <v>19</v>
      </c>
      <c r="M190" s="36">
        <f>IF(ISERROR(I190-K190),"",I190-K190)</f>
        <v>119.18421052631578</v>
      </c>
      <c r="N190" s="93">
        <f>SUM('31:16'!N190)</f>
        <v>0</v>
      </c>
      <c r="O190" s="93">
        <f>SUM('31:16'!O190)</f>
        <v>0</v>
      </c>
      <c r="P190" s="93">
        <f>SUM('31:16'!P190)</f>
        <v>0</v>
      </c>
      <c r="Q190" s="93">
        <f>SUM('31:16'!Q190)</f>
        <v>0</v>
      </c>
      <c r="R190" s="93">
        <f>SUM('31:16'!R190)</f>
        <v>0</v>
      </c>
      <c r="S190" s="93">
        <f>SUM('31:16'!S190)</f>
        <v>0</v>
      </c>
      <c r="T190" s="93">
        <f>SUM('31:16'!T190)</f>
        <v>0</v>
      </c>
      <c r="U190" s="93">
        <f>SUM('31:16'!U190)</f>
        <v>0</v>
      </c>
      <c r="V190" s="206">
        <f>SUM(X190:AA190)</f>
        <v>0</v>
      </c>
      <c r="W190" s="33">
        <f>IF(ISERROR(V190/G190),"",V190/G190)</f>
        <v>0</v>
      </c>
      <c r="X190" s="93">
        <f>SUM('31:16'!X190)</f>
        <v>0</v>
      </c>
      <c r="Y190" s="93">
        <f>SUM('31:16'!Y190)</f>
        <v>0</v>
      </c>
      <c r="Z190" s="93">
        <f>SUM('31:16'!Z190)</f>
        <v>0</v>
      </c>
      <c r="AA190" s="93">
        <f>SUM('31:16'!AA190)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SUM('31:16'!G191)</f>
        <v>4667</v>
      </c>
      <c r="H191" s="95">
        <f t="shared" si="65"/>
        <v>23755.03</v>
      </c>
      <c r="I191" s="93">
        <f>SUM('31:16'!I191)</f>
        <v>269</v>
      </c>
      <c r="J191" s="31">
        <f t="array" ref="J191">IF(ISERROR(G191/I191),"",G191/I191)</f>
        <v>17.349442379182157</v>
      </c>
      <c r="K191" s="35">
        <f t="array" ref="K191">IF(ISERROR(G191/L191),"",G191/L191)</f>
        <v>202.91304347826087</v>
      </c>
      <c r="L191" s="87">
        <v>23</v>
      </c>
      <c r="M191" s="36">
        <f t="shared" ref="M191:M194" si="66">IF(ISERROR(I191-K191),"",I191-K191)</f>
        <v>66.086956521739125</v>
      </c>
      <c r="N191" s="93">
        <f>SUM('31:16'!N191)</f>
        <v>0</v>
      </c>
      <c r="O191" s="93">
        <f>SUM('31:16'!O191)</f>
        <v>0</v>
      </c>
      <c r="P191" s="93">
        <f>SUM('31:16'!P191)</f>
        <v>0</v>
      </c>
      <c r="Q191" s="93">
        <f>SUM('31:16'!Q191)</f>
        <v>0</v>
      </c>
      <c r="R191" s="93">
        <f>SUM('31:16'!R191)</f>
        <v>0</v>
      </c>
      <c r="S191" s="93">
        <f>SUM('31:16'!S191)</f>
        <v>0</v>
      </c>
      <c r="T191" s="93">
        <f>SUM('31:16'!T191)</f>
        <v>0</v>
      </c>
      <c r="U191" s="93">
        <f>SUM('31:16'!U191)</f>
        <v>0</v>
      </c>
      <c r="V191" s="206">
        <f t="shared" ref="V191:V194" si="67">SUM(X191:AA191)</f>
        <v>0</v>
      </c>
      <c r="W191" s="33">
        <f t="shared" ref="W191:W194" si="68">IF(ISERROR(V191/G191),"",V191/G191)</f>
        <v>0</v>
      </c>
      <c r="X191" s="93">
        <f>SUM('31:16'!X191)</f>
        <v>0</v>
      </c>
      <c r="Y191" s="93">
        <f>SUM('31:16'!Y191)</f>
        <v>0</v>
      </c>
      <c r="Z191" s="93">
        <f>SUM('31:16'!Z191)</f>
        <v>0</v>
      </c>
      <c r="AA191" s="93">
        <f>SUM('31:16'!AA191)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SUM('31:16'!G192)</f>
        <v>2977</v>
      </c>
      <c r="H192" s="95">
        <f t="shared" si="65"/>
        <v>15152.93</v>
      </c>
      <c r="I192" s="93">
        <f>SUM('31:16'!I192)</f>
        <v>154</v>
      </c>
      <c r="J192" s="31">
        <f t="array" ref="J192">IF(ISERROR(G192/I192),"",G192/I192)</f>
        <v>19.331168831168831</v>
      </c>
      <c r="K192" s="35">
        <f t="array" ref="K192">IF(ISERROR(G192/L192),"",G192/L192)</f>
        <v>129.43478260869566</v>
      </c>
      <c r="L192" s="87">
        <v>23</v>
      </c>
      <c r="M192" s="36">
        <f t="shared" si="66"/>
        <v>24.565217391304344</v>
      </c>
      <c r="N192" s="93">
        <f>SUM('31:16'!N192)</f>
        <v>0</v>
      </c>
      <c r="O192" s="93">
        <f>SUM('31:16'!O192)</f>
        <v>0</v>
      </c>
      <c r="P192" s="93">
        <f>SUM('31:16'!P192)</f>
        <v>0</v>
      </c>
      <c r="Q192" s="93">
        <f>SUM('31:16'!Q192)</f>
        <v>0</v>
      </c>
      <c r="R192" s="93">
        <f>SUM('31:16'!R192)</f>
        <v>0</v>
      </c>
      <c r="S192" s="93">
        <f>SUM('31:16'!S192)</f>
        <v>0</v>
      </c>
      <c r="T192" s="93">
        <f>SUM('31:16'!T192)</f>
        <v>0</v>
      </c>
      <c r="U192" s="93">
        <f>SUM('31:16'!U192)</f>
        <v>0</v>
      </c>
      <c r="V192" s="206">
        <f t="shared" si="67"/>
        <v>0</v>
      </c>
      <c r="W192" s="33">
        <f t="shared" si="68"/>
        <v>0</v>
      </c>
      <c r="X192" s="93">
        <f>SUM('31:16'!X192)</f>
        <v>0</v>
      </c>
      <c r="Y192" s="93">
        <f>SUM('31:16'!Y192)</f>
        <v>0</v>
      </c>
      <c r="Z192" s="93">
        <f>SUM('31:16'!Z192)</f>
        <v>0</v>
      </c>
      <c r="AA192" s="93">
        <f>SUM('31:16'!AA192)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30100003</v>
      </c>
      <c r="B193" s="141" t="s">
        <v>198</v>
      </c>
      <c r="C193" s="333" t="s">
        <v>190</v>
      </c>
      <c r="D193" s="108">
        <v>4.8</v>
      </c>
      <c r="E193" s="17"/>
      <c r="F193" s="6"/>
      <c r="G193" s="93">
        <f>SUM('31:16'!G193)</f>
        <v>0</v>
      </c>
      <c r="H193" s="95">
        <f t="shared" si="65"/>
        <v>0</v>
      </c>
      <c r="I193" s="93">
        <f>SUM('31:16'!I193)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SUM('31:16'!N193)</f>
        <v>0</v>
      </c>
      <c r="O193" s="93">
        <f>SUM('31:16'!O193)</f>
        <v>0</v>
      </c>
      <c r="P193" s="93">
        <f>SUM('31:16'!P193)</f>
        <v>0</v>
      </c>
      <c r="Q193" s="93">
        <f>SUM('31:16'!Q193)</f>
        <v>0</v>
      </c>
      <c r="R193" s="93">
        <f>SUM('31:16'!R193)</f>
        <v>0</v>
      </c>
      <c r="S193" s="93">
        <f>SUM('31:16'!S193)</f>
        <v>0</v>
      </c>
      <c r="T193" s="93">
        <f>SUM('31:16'!T193)</f>
        <v>0</v>
      </c>
      <c r="U193" s="93">
        <f>SUM('31:16'!U193)</f>
        <v>0</v>
      </c>
      <c r="V193" s="206">
        <f t="shared" si="67"/>
        <v>0</v>
      </c>
      <c r="W193" s="33" t="str">
        <f t="shared" si="68"/>
        <v/>
      </c>
      <c r="X193" s="93">
        <f>SUM('31:16'!X193)</f>
        <v>0</v>
      </c>
      <c r="Y193" s="93">
        <f>SUM('31:16'!Y193)</f>
        <v>0</v>
      </c>
      <c r="Z193" s="93">
        <f>SUM('31:16'!Z193)</f>
        <v>0</v>
      </c>
      <c r="AA193" s="93">
        <f>SUM('31:16'!AA193)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30100004</v>
      </c>
      <c r="B194" s="141" t="s">
        <v>198</v>
      </c>
      <c r="C194" s="333" t="s">
        <v>187</v>
      </c>
      <c r="D194" s="108">
        <v>4.8</v>
      </c>
      <c r="E194" s="17"/>
      <c r="F194" s="13"/>
      <c r="G194" s="93">
        <f>SUM('31:16'!G194)</f>
        <v>0</v>
      </c>
      <c r="H194" s="95">
        <f t="shared" si="65"/>
        <v>0</v>
      </c>
      <c r="I194" s="93">
        <f>SUM('31:16'!I194)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6"/>
        <v>0</v>
      </c>
      <c r="N194" s="93">
        <f>SUM('31:16'!N194)</f>
        <v>0</v>
      </c>
      <c r="O194" s="93">
        <f>SUM('31:16'!O194)</f>
        <v>0</v>
      </c>
      <c r="P194" s="93">
        <f>SUM('31:16'!P194)</f>
        <v>0</v>
      </c>
      <c r="Q194" s="93">
        <f>SUM('31:16'!Q194)</f>
        <v>0</v>
      </c>
      <c r="R194" s="93">
        <f>SUM('31:16'!R194)</f>
        <v>0</v>
      </c>
      <c r="S194" s="93">
        <f>SUM('31:16'!S194)</f>
        <v>0</v>
      </c>
      <c r="T194" s="93">
        <f>SUM('31:16'!T194)</f>
        <v>0</v>
      </c>
      <c r="U194" s="93">
        <f>SUM('31:16'!U194)</f>
        <v>0</v>
      </c>
      <c r="V194" s="206">
        <f t="shared" si="67"/>
        <v>0</v>
      </c>
      <c r="W194" s="33" t="str">
        <f t="shared" si="68"/>
        <v/>
      </c>
      <c r="X194" s="93">
        <f>SUM('31:16'!X194)</f>
        <v>0</v>
      </c>
      <c r="Y194" s="93">
        <f>SUM('31:16'!Y194)</f>
        <v>0</v>
      </c>
      <c r="Z194" s="93">
        <f>SUM('31:16'!Z194)</f>
        <v>0</v>
      </c>
      <c r="AA194" s="93">
        <f>SUM('31:16'!AA194)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30100006</v>
      </c>
      <c r="B195" s="141" t="s">
        <v>198</v>
      </c>
      <c r="C195" s="333" t="s">
        <v>179</v>
      </c>
      <c r="D195" s="108">
        <v>4.8</v>
      </c>
      <c r="E195" s="17"/>
      <c r="F195" s="13"/>
      <c r="G195" s="93">
        <f>SUM('31:16'!G195)</f>
        <v>0</v>
      </c>
      <c r="H195" s="95">
        <f t="shared" si="65"/>
        <v>0</v>
      </c>
      <c r="I195" s="93">
        <f>SUM('31:16'!I195)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SUM('31:16'!N195)</f>
        <v>0</v>
      </c>
      <c r="O195" s="93">
        <f>SUM('31:16'!O195)</f>
        <v>0</v>
      </c>
      <c r="P195" s="93">
        <f>SUM('31:16'!P195)</f>
        <v>0</v>
      </c>
      <c r="Q195" s="93">
        <f>SUM('31:16'!Q195)</f>
        <v>0</v>
      </c>
      <c r="R195" s="93">
        <f>SUM('31:16'!R195)</f>
        <v>0</v>
      </c>
      <c r="S195" s="93">
        <f>SUM('31:16'!S195)</f>
        <v>0</v>
      </c>
      <c r="T195" s="93">
        <f>SUM('31:16'!T195)</f>
        <v>0</v>
      </c>
      <c r="U195" s="93">
        <f>SUM('31:16'!U195)</f>
        <v>0</v>
      </c>
      <c r="V195" s="206"/>
      <c r="W195" s="33"/>
      <c r="X195" s="93">
        <f>SUM('31:16'!X195)</f>
        <v>0</v>
      </c>
      <c r="Y195" s="93">
        <f>SUM('31:16'!Y195)</f>
        <v>0</v>
      </c>
      <c r="Z195" s="93">
        <f>SUM('31:16'!Z195)</f>
        <v>0</v>
      </c>
      <c r="AA195" s="93">
        <f>SUM('31:16'!AA195)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30100005</v>
      </c>
      <c r="B196" s="141" t="s">
        <v>198</v>
      </c>
      <c r="C196" s="333" t="s">
        <v>199</v>
      </c>
      <c r="D196" s="108">
        <v>4.8</v>
      </c>
      <c r="E196" s="17"/>
      <c r="F196" s="13"/>
      <c r="G196" s="93">
        <f>SUM('31:16'!G196)</f>
        <v>0</v>
      </c>
      <c r="H196" s="95">
        <f t="shared" si="65"/>
        <v>0</v>
      </c>
      <c r="I196" s="93">
        <f>SUM('31:16'!I196)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SUM('31:16'!N196)</f>
        <v>0</v>
      </c>
      <c r="O196" s="93">
        <f>SUM('31:16'!O196)</f>
        <v>0</v>
      </c>
      <c r="P196" s="93">
        <f>SUM('31:16'!P196)</f>
        <v>0</v>
      </c>
      <c r="Q196" s="93">
        <f>SUM('31:16'!Q196)</f>
        <v>0</v>
      </c>
      <c r="R196" s="93">
        <f>SUM('31:16'!R196)</f>
        <v>0</v>
      </c>
      <c r="S196" s="93">
        <f>SUM('31:16'!S196)</f>
        <v>0</v>
      </c>
      <c r="T196" s="93">
        <f>SUM('31:16'!T196)</f>
        <v>0</v>
      </c>
      <c r="U196" s="93">
        <f>SUM('31:16'!U196)</f>
        <v>0</v>
      </c>
      <c r="V196" s="206"/>
      <c r="W196" s="33"/>
      <c r="X196" s="93">
        <f>SUM('31:16'!X196)</f>
        <v>0</v>
      </c>
      <c r="Y196" s="93">
        <f>SUM('31:16'!Y196)</f>
        <v>0</v>
      </c>
      <c r="Z196" s="93">
        <f>SUM('31:16'!Z196)</f>
        <v>0</v>
      </c>
      <c r="AA196" s="93">
        <f>SUM('31:16'!AA196)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300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SUM('31:16'!G197)</f>
        <v>737</v>
      </c>
      <c r="H197" s="95">
        <f t="shared" si="65"/>
        <v>3677.63</v>
      </c>
      <c r="I197" s="93">
        <f>SUM('31:16'!I197)</f>
        <v>40.5</v>
      </c>
      <c r="J197" s="31"/>
      <c r="K197" s="35">
        <f t="array" ref="K197">IF(ISERROR(G197/L197),"",G197/L197)</f>
        <v>31.361702127659573</v>
      </c>
      <c r="L197" s="87">
        <v>23.5</v>
      </c>
      <c r="M197" s="36">
        <f>IF(ISERROR(I197-K197),"",I197-K197)</f>
        <v>9.1382978723404271</v>
      </c>
      <c r="N197" s="93">
        <f>SUM('31:16'!N197)</f>
        <v>0</v>
      </c>
      <c r="O197" s="93">
        <f>SUM('31:16'!O197)</f>
        <v>0</v>
      </c>
      <c r="P197" s="93">
        <f>SUM('31:16'!P197)</f>
        <v>0</v>
      </c>
      <c r="Q197" s="93">
        <f>SUM('31:16'!Q197)</f>
        <v>0</v>
      </c>
      <c r="R197" s="93">
        <f>SUM('31:16'!R197)</f>
        <v>0</v>
      </c>
      <c r="S197" s="93">
        <f>SUM('31:16'!S197)</f>
        <v>0</v>
      </c>
      <c r="T197" s="93">
        <f>SUM('31:16'!T197)</f>
        <v>0</v>
      </c>
      <c r="U197" s="93">
        <f>SUM('31:16'!U197)</f>
        <v>0</v>
      </c>
      <c r="V197" s="206"/>
      <c r="W197" s="33"/>
      <c r="X197" s="93">
        <f>SUM('31:16'!X197)</f>
        <v>0</v>
      </c>
      <c r="Y197" s="93">
        <f>SUM('31:16'!Y197)</f>
        <v>0</v>
      </c>
      <c r="Z197" s="93">
        <f>SUM('31:16'!Z197)</f>
        <v>0</v>
      </c>
      <c r="AA197" s="93">
        <f>SUM('31:16'!AA197)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SUM('31:16'!G198)</f>
        <v>1675</v>
      </c>
      <c r="H198" s="95">
        <f t="shared" si="65"/>
        <v>8358.25</v>
      </c>
      <c r="I198" s="93">
        <f>SUM('31:16'!I198)</f>
        <v>86</v>
      </c>
      <c r="J198" s="31"/>
      <c r="K198" s="35">
        <f t="array" ref="K198">IF(ISERROR(G198/L198),"",G198/L198)</f>
        <v>71.276595744680847</v>
      </c>
      <c r="L198" s="87">
        <v>23.5</v>
      </c>
      <c r="M198" s="36">
        <f>IF(ISERROR(I198-K198),"",I198-K198)</f>
        <v>14.723404255319153</v>
      </c>
      <c r="N198" s="93">
        <f>SUM('31:16'!N198)</f>
        <v>0</v>
      </c>
      <c r="O198" s="93">
        <f>SUM('31:16'!O198)</f>
        <v>0</v>
      </c>
      <c r="P198" s="93">
        <f>SUM('31:16'!P198)</f>
        <v>0</v>
      </c>
      <c r="Q198" s="93">
        <f>SUM('31:16'!Q198)</f>
        <v>0</v>
      </c>
      <c r="R198" s="93">
        <f>SUM('31:16'!R198)</f>
        <v>0</v>
      </c>
      <c r="S198" s="93">
        <f>SUM('31:16'!S198)</f>
        <v>0</v>
      </c>
      <c r="T198" s="93">
        <f>SUM('31:16'!T198)</f>
        <v>0</v>
      </c>
      <c r="U198" s="93">
        <f>SUM('31:16'!U198)</f>
        <v>0</v>
      </c>
      <c r="V198" s="206"/>
      <c r="W198" s="33"/>
      <c r="X198" s="93">
        <f>SUM('31:16'!X198)</f>
        <v>0</v>
      </c>
      <c r="Y198" s="93">
        <f>SUM('31:16'!Y198)</f>
        <v>0</v>
      </c>
      <c r="Z198" s="93">
        <f>SUM('31:16'!Z198)</f>
        <v>0</v>
      </c>
      <c r="AA198" s="93">
        <f>SUM('31:16'!AA198)</f>
        <v>0</v>
      </c>
      <c r="AB198" s="73"/>
      <c r="AC198" s="54"/>
      <c r="AD198" s="346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>
      <c r="A199" s="737" t="s">
        <v>70</v>
      </c>
      <c r="B199" s="738"/>
      <c r="C199" s="31" t="s">
        <v>71</v>
      </c>
      <c r="D199" s="30"/>
      <c r="E199" s="30"/>
      <c r="F199" s="30"/>
      <c r="G199" s="94">
        <f>SUM(G178:G198)</f>
        <v>26175</v>
      </c>
      <c r="H199" s="30">
        <f>SUM(H178:H198)</f>
        <v>132236.33000000002</v>
      </c>
      <c r="I199" s="30">
        <f>SUM(I178:I198)</f>
        <v>1740.55</v>
      </c>
      <c r="J199" s="31">
        <f t="array" ref="J199">IF(ISERROR(G199/I199),"",G199/I199)</f>
        <v>15.038349946855879</v>
      </c>
      <c r="K199" s="30">
        <f>SUM(K178:K198)</f>
        <v>1501.1172127105872</v>
      </c>
      <c r="L199" s="98"/>
      <c r="M199" s="89">
        <f t="shared" ref="M199:AA199" si="69">SUM(M178:M198)</f>
        <v>239.43278728941306</v>
      </c>
      <c r="N199" s="30">
        <f t="shared" si="69"/>
        <v>0</v>
      </c>
      <c r="O199" s="34">
        <f t="shared" si="69"/>
        <v>0</v>
      </c>
      <c r="P199" s="34">
        <f t="shared" si="69"/>
        <v>0</v>
      </c>
      <c r="Q199" s="34">
        <f t="shared" si="69"/>
        <v>0</v>
      </c>
      <c r="R199" s="34">
        <f t="shared" si="69"/>
        <v>0</v>
      </c>
      <c r="S199" s="34">
        <f t="shared" si="69"/>
        <v>0</v>
      </c>
      <c r="T199" s="34">
        <f t="shared" si="69"/>
        <v>0</v>
      </c>
      <c r="U199" s="34">
        <f t="shared" si="69"/>
        <v>0</v>
      </c>
      <c r="V199" s="206">
        <f t="shared" si="69"/>
        <v>0</v>
      </c>
      <c r="W199" s="33">
        <f t="shared" si="69"/>
        <v>0</v>
      </c>
      <c r="X199" s="92">
        <f t="shared" si="69"/>
        <v>0</v>
      </c>
      <c r="Y199" s="92">
        <f t="shared" si="69"/>
        <v>0</v>
      </c>
      <c r="Z199" s="92">
        <f t="shared" si="69"/>
        <v>0</v>
      </c>
      <c r="AA199" s="92">
        <f t="shared" si="69"/>
        <v>0</v>
      </c>
      <c r="AB199" s="70"/>
      <c r="AC199" s="70"/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>
      <c r="A200" s="300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SUM('31:16'!G200)</f>
        <v>2315</v>
      </c>
      <c r="H200" s="339">
        <f t="shared" ref="H200:H256" si="70">D200*G200</f>
        <v>11644.45</v>
      </c>
      <c r="I200" s="93">
        <f>SUM('31:16'!I200)</f>
        <v>40.5</v>
      </c>
      <c r="J200" s="31">
        <f t="array" ref="J200">IF(ISERROR(G200/I200),"",G200/I200)</f>
        <v>57.160493827160494</v>
      </c>
      <c r="K200" s="35">
        <f t="array" ref="K200">IF(ISERROR(G200/L200),"",G200/L200)</f>
        <v>44.519230769230766</v>
      </c>
      <c r="L200" s="87">
        <v>52</v>
      </c>
      <c r="M200" s="36">
        <f t="shared" ref="M200" si="71">IF(ISERROR(I200-K200),"",I200-K200)</f>
        <v>-4.0192307692307665</v>
      </c>
      <c r="N200" s="93">
        <f>SUM('31:16'!N200)</f>
        <v>0</v>
      </c>
      <c r="O200" s="93">
        <f>SUM('31:16'!O200)</f>
        <v>0</v>
      </c>
      <c r="P200" s="93">
        <f>SUM('31:16'!P200)</f>
        <v>0</v>
      </c>
      <c r="Q200" s="93">
        <f>SUM('31:16'!Q200)</f>
        <v>0</v>
      </c>
      <c r="R200" s="93">
        <f>SUM('31:16'!R200)</f>
        <v>0</v>
      </c>
      <c r="S200" s="93">
        <f>SUM('31:16'!S200)</f>
        <v>0</v>
      </c>
      <c r="T200" s="93">
        <f>SUM('31:16'!T200)</f>
        <v>0</v>
      </c>
      <c r="U200" s="93">
        <f>SUM('31:16'!U200)</f>
        <v>0</v>
      </c>
      <c r="V200" s="206">
        <f t="shared" ref="V200" si="72">SUM(X200:AA200)</f>
        <v>0</v>
      </c>
      <c r="W200" s="33">
        <f t="shared" ref="W200" si="73">IF(ISERROR(V200/G200),"",V200/G200)</f>
        <v>0</v>
      </c>
      <c r="X200" s="93">
        <f>SUM('31:16'!X200)</f>
        <v>0</v>
      </c>
      <c r="Y200" s="93">
        <f>SUM('31:16'!Y200)</f>
        <v>0</v>
      </c>
      <c r="Z200" s="93">
        <f>SUM('31:16'!Z200)</f>
        <v>0</v>
      </c>
      <c r="AA200" s="93">
        <f>SUM('31:16'!AA200)</f>
        <v>0</v>
      </c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>
      <c r="A201" s="300">
        <v>30100011</v>
      </c>
      <c r="B201" s="190" t="s">
        <v>426</v>
      </c>
      <c r="C201" s="187" t="s">
        <v>428</v>
      </c>
      <c r="D201" s="17">
        <v>5.03</v>
      </c>
      <c r="E201" s="17"/>
      <c r="F201" s="6"/>
      <c r="G201" s="93">
        <f>SUM('31:16'!G201)</f>
        <v>2129</v>
      </c>
      <c r="H201" s="339">
        <f t="shared" si="70"/>
        <v>10708.87</v>
      </c>
      <c r="I201" s="93">
        <f>SUM('31:16'!I201)</f>
        <v>36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00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SUM('31:16'!G202)</f>
        <v>1994</v>
      </c>
      <c r="H202" s="339">
        <f t="shared" si="70"/>
        <v>10029.82</v>
      </c>
      <c r="I202" s="93">
        <f>SUM('31:16'!I202)</f>
        <v>32.5</v>
      </c>
      <c r="J202" s="31">
        <f t="array" ref="J202">IF(ISERROR(G202/I202),"",G202/I202)</f>
        <v>61.353846153846156</v>
      </c>
      <c r="K202" s="35">
        <f t="array" ref="K202">IF(ISERROR(G202/L202),"",G202/L202)</f>
        <v>38.346153846153847</v>
      </c>
      <c r="L202" s="87">
        <v>52</v>
      </c>
      <c r="M202" s="36">
        <f t="shared" ref="M202" si="74">IF(ISERROR(I202-K202),"",I202-K202)</f>
        <v>-5.8461538461538467</v>
      </c>
      <c r="N202" s="93">
        <f>SUM('31:16'!N202)</f>
        <v>0</v>
      </c>
      <c r="O202" s="93">
        <f>SUM('31:16'!O202)</f>
        <v>0</v>
      </c>
      <c r="P202" s="93">
        <f>SUM('31:16'!P202)</f>
        <v>0</v>
      </c>
      <c r="Q202" s="93">
        <f>SUM('31:16'!Q202)</f>
        <v>0</v>
      </c>
      <c r="R202" s="93">
        <f>SUM('31:16'!R202)</f>
        <v>0</v>
      </c>
      <c r="S202" s="93">
        <f>SUM('31:16'!S202)</f>
        <v>0</v>
      </c>
      <c r="T202" s="93">
        <f>SUM('31:16'!T202)</f>
        <v>0</v>
      </c>
      <c r="U202" s="93">
        <f>SUM('31:16'!U202)</f>
        <v>0</v>
      </c>
      <c r="V202" s="206">
        <f t="shared" ref="V202:V204" si="75">SUM(X202:AA202)</f>
        <v>0</v>
      </c>
      <c r="W202" s="33">
        <f t="shared" ref="W202:W204" si="76">IF(ISERROR(V202/G202),"",V202/G202)</f>
        <v>0</v>
      </c>
      <c r="X202" s="93">
        <f>SUM('31:16'!X202)</f>
        <v>0</v>
      </c>
      <c r="Y202" s="93">
        <f>SUM('31:16'!Y202)</f>
        <v>0</v>
      </c>
      <c r="Z202" s="93">
        <f>SUM('31:16'!Z202)</f>
        <v>0</v>
      </c>
      <c r="AA202" s="93">
        <f>SUM('31:16'!AA202)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SUM('31:16'!G203)</f>
        <v>1703</v>
      </c>
      <c r="H203" s="339">
        <f t="shared" si="70"/>
        <v>8566.09</v>
      </c>
      <c r="I203" s="93">
        <f>SUM('31:16'!I203)</f>
        <v>21.5</v>
      </c>
      <c r="J203" s="31">
        <f t="array" ref="J203">IF(ISERROR(G203/I203),"",G203/I203)</f>
        <v>79.20930232558139</v>
      </c>
      <c r="K203" s="35">
        <f t="array" ref="K203">IF(ISERROR(G203/L203),"",G203/L203)</f>
        <v>32.75</v>
      </c>
      <c r="L203" s="87">
        <v>52</v>
      </c>
      <c r="M203" s="36">
        <f>IF(ISERROR(I203-K203),"",I203-K203)</f>
        <v>-11.25</v>
      </c>
      <c r="N203" s="93">
        <f>SUM('31:16'!N203)</f>
        <v>0</v>
      </c>
      <c r="O203" s="93">
        <f>SUM('31:16'!O203)</f>
        <v>0</v>
      </c>
      <c r="P203" s="93">
        <f>SUM('31:16'!P203)</f>
        <v>0</v>
      </c>
      <c r="Q203" s="93">
        <f>SUM('31:16'!Q203)</f>
        <v>0</v>
      </c>
      <c r="R203" s="93">
        <f>SUM('31:16'!R203)</f>
        <v>0</v>
      </c>
      <c r="S203" s="93">
        <f>SUM('31:16'!S203)</f>
        <v>0</v>
      </c>
      <c r="T203" s="93">
        <f>SUM('31:16'!T203)</f>
        <v>0</v>
      </c>
      <c r="U203" s="93">
        <f>SUM('31:16'!U203)</f>
        <v>0</v>
      </c>
      <c r="V203" s="206">
        <f t="shared" si="75"/>
        <v>0</v>
      </c>
      <c r="W203" s="33">
        <f t="shared" si="76"/>
        <v>0</v>
      </c>
      <c r="X203" s="93">
        <f>SUM('31:16'!X203)</f>
        <v>0</v>
      </c>
      <c r="Y203" s="93">
        <f>SUM('31:16'!Y203)</f>
        <v>0</v>
      </c>
      <c r="Z203" s="93">
        <f>SUM('31:16'!Z203)</f>
        <v>0</v>
      </c>
      <c r="AA203" s="93">
        <f>SUM('31:16'!AA203)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SUM('31:16'!G204)</f>
        <v>2474</v>
      </c>
      <c r="H204" s="339">
        <f t="shared" si="70"/>
        <v>12444.220000000001</v>
      </c>
      <c r="I204" s="93">
        <f>SUM('31:16'!I204)</f>
        <v>30.5</v>
      </c>
      <c r="J204" s="31">
        <f t="array" ref="J204">IF(ISERROR(G204/I204),"",G204/I204)</f>
        <v>81.114754098360649</v>
      </c>
      <c r="K204" s="35">
        <f t="array" ref="K204">IF(ISERROR(G204/L204),"",G204/L204)</f>
        <v>47.57692307692308</v>
      </c>
      <c r="L204" s="87">
        <v>52</v>
      </c>
      <c r="M204" s="36">
        <f t="shared" ref="M204" si="77">IF(ISERROR(I204-K204),"",I204-K204)</f>
        <v>-17.07692307692308</v>
      </c>
      <c r="N204" s="93">
        <f>SUM('31:16'!N204)</f>
        <v>0</v>
      </c>
      <c r="O204" s="93">
        <f>SUM('31:16'!O204)</f>
        <v>0</v>
      </c>
      <c r="P204" s="93">
        <f>SUM('31:16'!P204)</f>
        <v>0</v>
      </c>
      <c r="Q204" s="93">
        <f>SUM('31:16'!Q204)</f>
        <v>0</v>
      </c>
      <c r="R204" s="93">
        <f>SUM('31:16'!R204)</f>
        <v>0</v>
      </c>
      <c r="S204" s="93">
        <f>SUM('31:16'!S204)</f>
        <v>0</v>
      </c>
      <c r="T204" s="93">
        <f>SUM('31:16'!T204)</f>
        <v>0</v>
      </c>
      <c r="U204" s="93">
        <f>SUM('31:16'!U204)</f>
        <v>0</v>
      </c>
      <c r="V204" s="206">
        <f t="shared" si="75"/>
        <v>0</v>
      </c>
      <c r="W204" s="33">
        <f t="shared" si="76"/>
        <v>0</v>
      </c>
      <c r="X204" s="93">
        <f>SUM('31:16'!X204)</f>
        <v>0</v>
      </c>
      <c r="Y204" s="93">
        <f>SUM('31:16'!Y204)</f>
        <v>0</v>
      </c>
      <c r="Z204" s="93">
        <f>SUM('31:16'!Z204)</f>
        <v>0</v>
      </c>
      <c r="AA204" s="93">
        <f>SUM('31:16'!AA204)</f>
        <v>0</v>
      </c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30100016</v>
      </c>
      <c r="B205" s="334" t="s">
        <v>414</v>
      </c>
      <c r="C205" s="187" t="s">
        <v>415</v>
      </c>
      <c r="D205" s="17">
        <v>5.03</v>
      </c>
      <c r="E205" s="17"/>
      <c r="F205" s="6"/>
      <c r="G205" s="93">
        <f>SUM('31:16'!G205)</f>
        <v>816</v>
      </c>
      <c r="H205" s="339">
        <f t="shared" si="70"/>
        <v>4104.4800000000005</v>
      </c>
      <c r="I205" s="93">
        <f>SUM('31:16'!I205)</f>
        <v>7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30100017</v>
      </c>
      <c r="B206" s="334" t="s">
        <v>414</v>
      </c>
      <c r="C206" s="187" t="s">
        <v>416</v>
      </c>
      <c r="D206" s="17">
        <v>5.03</v>
      </c>
      <c r="E206" s="17"/>
      <c r="F206" s="6"/>
      <c r="G206" s="93">
        <f>SUM('31:16'!G206)</f>
        <v>600</v>
      </c>
      <c r="H206" s="339">
        <f t="shared" si="70"/>
        <v>3018</v>
      </c>
      <c r="I206" s="93">
        <f>SUM('31:16'!I206)</f>
        <v>11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30100015</v>
      </c>
      <c r="B207" s="334" t="s">
        <v>414</v>
      </c>
      <c r="C207" s="187" t="s">
        <v>417</v>
      </c>
      <c r="D207" s="17">
        <v>5.03</v>
      </c>
      <c r="E207" s="17"/>
      <c r="F207" s="6"/>
      <c r="G207" s="93">
        <f>SUM('31:16'!G207)</f>
        <v>736</v>
      </c>
      <c r="H207" s="339">
        <f t="shared" si="70"/>
        <v>3702.0800000000004</v>
      </c>
      <c r="I207" s="93">
        <f>SUM('31:16'!I207)</f>
        <v>9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SUM('31:16'!G208)</f>
        <v>1678</v>
      </c>
      <c r="H208" s="339">
        <f t="shared" si="70"/>
        <v>8524.24</v>
      </c>
      <c r="I208" s="93">
        <f>SUM('31:16'!I208)</f>
        <v>88.5</v>
      </c>
      <c r="J208" s="31">
        <f t="array" ref="J208">IF(ISERROR(G208/I208),"",G208/I208)</f>
        <v>18.960451977401132</v>
      </c>
      <c r="K208" s="35">
        <f t="array" ref="K208">IF(ISERROR(G208/L208),"",G208/L208)</f>
        <v>79.904761904761898</v>
      </c>
      <c r="L208" s="87">
        <v>21</v>
      </c>
      <c r="M208" s="36">
        <f t="shared" ref="M208:M237" si="78">IF(ISERROR(I208-K208),"",I208-K208)</f>
        <v>8.595238095238102</v>
      </c>
      <c r="N208" s="93">
        <f>SUM('31:16'!N208)</f>
        <v>0</v>
      </c>
      <c r="O208" s="93">
        <f>SUM('31:16'!O208)</f>
        <v>0</v>
      </c>
      <c r="P208" s="93">
        <f>SUM('31:16'!P208)</f>
        <v>0</v>
      </c>
      <c r="Q208" s="93">
        <f>SUM('31:16'!Q208)</f>
        <v>0</v>
      </c>
      <c r="R208" s="93">
        <f>SUM('31:16'!R208)</f>
        <v>0</v>
      </c>
      <c r="S208" s="93">
        <f>SUM('31:16'!S208)</f>
        <v>0</v>
      </c>
      <c r="T208" s="93">
        <f>SUM('31:16'!T208)</f>
        <v>0</v>
      </c>
      <c r="U208" s="93">
        <f>SUM('31:16'!U208)</f>
        <v>0</v>
      </c>
      <c r="V208" s="206">
        <f t="shared" ref="V208:V219" si="79">SUM(X208:AA208)</f>
        <v>0</v>
      </c>
      <c r="W208" s="33">
        <f t="shared" ref="W208:W219" si="80">IF(ISERROR(V208/G208),"",V208/G208)</f>
        <v>0</v>
      </c>
      <c r="X208" s="93">
        <f>SUM('31:16'!X208)</f>
        <v>0</v>
      </c>
      <c r="Y208" s="93">
        <f>SUM('31:16'!Y208)</f>
        <v>0</v>
      </c>
      <c r="Z208" s="93">
        <f>SUM('31:16'!Z208)</f>
        <v>0</v>
      </c>
      <c r="AA208" s="93">
        <f>SUM('31:16'!AA208)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SUM('31:16'!G209)</f>
        <v>1722</v>
      </c>
      <c r="H209" s="339">
        <f t="shared" si="70"/>
        <v>8747.76</v>
      </c>
      <c r="I209" s="93">
        <f>SUM('31:16'!I209)</f>
        <v>96</v>
      </c>
      <c r="J209" s="31">
        <f t="array" ref="J209">IF(ISERROR(G209/I209),"",G209/I209)</f>
        <v>17.9375</v>
      </c>
      <c r="K209" s="35">
        <f t="array" ref="K209">IF(ISERROR(G209/L209),"",G209/L209)</f>
        <v>82</v>
      </c>
      <c r="L209" s="87">
        <v>21</v>
      </c>
      <c r="M209" s="36">
        <f t="shared" si="78"/>
        <v>14</v>
      </c>
      <c r="N209" s="93">
        <f>SUM('31:16'!N209)</f>
        <v>0</v>
      </c>
      <c r="O209" s="93">
        <f>SUM('31:16'!O209)</f>
        <v>0</v>
      </c>
      <c r="P209" s="93">
        <f>SUM('31:16'!P209)</f>
        <v>0</v>
      </c>
      <c r="Q209" s="93">
        <f>SUM('31:16'!Q209)</f>
        <v>0</v>
      </c>
      <c r="R209" s="93">
        <f>SUM('31:16'!R209)</f>
        <v>0</v>
      </c>
      <c r="S209" s="93">
        <f>SUM('31:16'!S209)</f>
        <v>0</v>
      </c>
      <c r="T209" s="93">
        <f>SUM('31:16'!T209)</f>
        <v>0</v>
      </c>
      <c r="U209" s="93">
        <f>SUM('31:16'!U209)</f>
        <v>0</v>
      </c>
      <c r="V209" s="206">
        <f t="shared" si="79"/>
        <v>0</v>
      </c>
      <c r="W209" s="33">
        <f t="shared" si="80"/>
        <v>0</v>
      </c>
      <c r="X209" s="93">
        <f>SUM('31:16'!X209)</f>
        <v>0</v>
      </c>
      <c r="Y209" s="93">
        <f>SUM('31:16'!Y209)</f>
        <v>0</v>
      </c>
      <c r="Z209" s="93">
        <f>SUM('31:16'!Z209)</f>
        <v>0</v>
      </c>
      <c r="AA209" s="93">
        <f>SUM('31:16'!AA209)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SUM('31:16'!G210)</f>
        <v>0</v>
      </c>
      <c r="H210" s="339">
        <f t="shared" si="70"/>
        <v>0</v>
      </c>
      <c r="I210" s="93">
        <f>SUM('31:16'!I210)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SUM('31:16'!N210)</f>
        <v>0</v>
      </c>
      <c r="O210" s="93">
        <f>SUM('31:16'!O210)</f>
        <v>0</v>
      </c>
      <c r="P210" s="93">
        <f>SUM('31:16'!P210)</f>
        <v>0</v>
      </c>
      <c r="Q210" s="93">
        <f>SUM('31:16'!Q210)</f>
        <v>0</v>
      </c>
      <c r="R210" s="93">
        <f>SUM('31:16'!R210)</f>
        <v>0</v>
      </c>
      <c r="S210" s="93">
        <f>SUM('31:16'!S210)</f>
        <v>0</v>
      </c>
      <c r="T210" s="93">
        <f>SUM('31:16'!T210)</f>
        <v>0</v>
      </c>
      <c r="U210" s="93">
        <f>SUM('31:16'!U210)</f>
        <v>0</v>
      </c>
      <c r="V210" s="206">
        <f t="shared" si="79"/>
        <v>0</v>
      </c>
      <c r="W210" s="33" t="str">
        <f t="shared" si="80"/>
        <v/>
      </c>
      <c r="X210" s="93">
        <f>SUM('31:16'!X210)</f>
        <v>0</v>
      </c>
      <c r="Y210" s="93">
        <f>SUM('31:16'!Y210)</f>
        <v>0</v>
      </c>
      <c r="Z210" s="93">
        <f>SUM('31:16'!Z210)</f>
        <v>0</v>
      </c>
      <c r="AA210" s="93">
        <f>SUM('31:16'!AA210)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SUM('31:16'!G211)</f>
        <v>1700</v>
      </c>
      <c r="H211" s="339">
        <f t="shared" si="70"/>
        <v>8636</v>
      </c>
      <c r="I211" s="93">
        <f>SUM('31:16'!I211)</f>
        <v>83</v>
      </c>
      <c r="J211" s="31">
        <f t="array" ref="J211">IF(ISERROR(G211/I211),"",G211/I211)</f>
        <v>20.481927710843372</v>
      </c>
      <c r="K211" s="35">
        <f t="array" ref="K211">IF(ISERROR(G211/L211),"",G211/L211)</f>
        <v>80.952380952380949</v>
      </c>
      <c r="L211" s="87">
        <v>21</v>
      </c>
      <c r="M211" s="36">
        <f t="shared" si="78"/>
        <v>2.047619047619051</v>
      </c>
      <c r="N211" s="93">
        <f>SUM('31:16'!N211)</f>
        <v>0</v>
      </c>
      <c r="O211" s="93">
        <f>SUM('31:16'!O211)</f>
        <v>0</v>
      </c>
      <c r="P211" s="93">
        <f>SUM('31:16'!P211)</f>
        <v>0</v>
      </c>
      <c r="Q211" s="93">
        <f>SUM('31:16'!Q211)</f>
        <v>0</v>
      </c>
      <c r="R211" s="93">
        <f>SUM('31:16'!R211)</f>
        <v>0</v>
      </c>
      <c r="S211" s="93">
        <f>SUM('31:16'!S211)</f>
        <v>0</v>
      </c>
      <c r="T211" s="93">
        <f>SUM('31:16'!T211)</f>
        <v>0</v>
      </c>
      <c r="U211" s="93">
        <f>SUM('31:16'!U211)</f>
        <v>0</v>
      </c>
      <c r="V211" s="206">
        <f t="shared" si="79"/>
        <v>0</v>
      </c>
      <c r="W211" s="33">
        <f t="shared" si="80"/>
        <v>0</v>
      </c>
      <c r="X211" s="93">
        <f>SUM('31:16'!X211)</f>
        <v>0</v>
      </c>
      <c r="Y211" s="93">
        <f>SUM('31:16'!Y211)</f>
        <v>0</v>
      </c>
      <c r="Z211" s="93">
        <f>SUM('31:16'!Z211)</f>
        <v>0</v>
      </c>
      <c r="AA211" s="93">
        <f>SUM('31:16'!AA211)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SUM('31:16'!G212)</f>
        <v>1959</v>
      </c>
      <c r="H212" s="339">
        <f t="shared" si="70"/>
        <v>9951.7199999999993</v>
      </c>
      <c r="I212" s="93">
        <f>SUM('31:16'!I212)</f>
        <v>101</v>
      </c>
      <c r="J212" s="31">
        <f t="array" ref="J212">IF(ISERROR(G212/I212),"",G212/I212)</f>
        <v>19.396039603960396</v>
      </c>
      <c r="K212" s="35">
        <f t="array" ref="K212">IF(ISERROR(G212/L212),"",G212/L212)</f>
        <v>93.285714285714292</v>
      </c>
      <c r="L212" s="87">
        <v>21</v>
      </c>
      <c r="M212" s="36">
        <f t="shared" si="78"/>
        <v>7.7142857142857082</v>
      </c>
      <c r="N212" s="93">
        <f>SUM('31:16'!N212)</f>
        <v>0</v>
      </c>
      <c r="O212" s="93">
        <f>SUM('31:16'!O212)</f>
        <v>0</v>
      </c>
      <c r="P212" s="93">
        <f>SUM('31:16'!P212)</f>
        <v>0</v>
      </c>
      <c r="Q212" s="93">
        <f>SUM('31:16'!Q212)</f>
        <v>0</v>
      </c>
      <c r="R212" s="93">
        <f>SUM('31:16'!R212)</f>
        <v>0</v>
      </c>
      <c r="S212" s="93">
        <f>SUM('31:16'!S212)</f>
        <v>0</v>
      </c>
      <c r="T212" s="93">
        <f>SUM('31:16'!T212)</f>
        <v>0</v>
      </c>
      <c r="U212" s="93">
        <f>SUM('31:16'!U212)</f>
        <v>0</v>
      </c>
      <c r="V212" s="206">
        <f t="shared" si="79"/>
        <v>0</v>
      </c>
      <c r="W212" s="33">
        <f t="shared" si="80"/>
        <v>0</v>
      </c>
      <c r="X212" s="93">
        <f>SUM('31:16'!X212)</f>
        <v>0</v>
      </c>
      <c r="Y212" s="93">
        <f>SUM('31:16'!Y212)</f>
        <v>0</v>
      </c>
      <c r="Z212" s="93">
        <f>SUM('31:16'!Z212)</f>
        <v>0</v>
      </c>
      <c r="AA212" s="93">
        <f>SUM('31:16'!AA212)</f>
        <v>0</v>
      </c>
      <c r="AB212" s="25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SUM('31:16'!G213)</f>
        <v>2050</v>
      </c>
      <c r="H213" s="339">
        <f t="shared" si="70"/>
        <v>10414</v>
      </c>
      <c r="I213" s="93">
        <f>SUM('31:16'!I213)</f>
        <v>148.5</v>
      </c>
      <c r="J213" s="31">
        <f t="array" ref="J213">IF(ISERROR(G213/I213),"",G213/I213)</f>
        <v>13.804713804713804</v>
      </c>
      <c r="K213" s="35">
        <f t="array" ref="K213">IF(ISERROR(G213/L213),"",G213/L213)</f>
        <v>97.61904761904762</v>
      </c>
      <c r="L213" s="87">
        <v>21</v>
      </c>
      <c r="M213" s="36">
        <f t="shared" si="78"/>
        <v>50.88095238095238</v>
      </c>
      <c r="N213" s="93">
        <f>SUM('31:16'!N213)</f>
        <v>0</v>
      </c>
      <c r="O213" s="93">
        <f>SUM('31:16'!O213)</f>
        <v>0</v>
      </c>
      <c r="P213" s="93">
        <f>SUM('31:16'!P213)</f>
        <v>0</v>
      </c>
      <c r="Q213" s="93">
        <f>SUM('31:16'!Q213)</f>
        <v>0</v>
      </c>
      <c r="R213" s="93">
        <f>SUM('31:16'!R213)</f>
        <v>0</v>
      </c>
      <c r="S213" s="93">
        <f>SUM('31:16'!S213)</f>
        <v>0</v>
      </c>
      <c r="T213" s="93">
        <f>SUM('31:16'!T213)</f>
        <v>0</v>
      </c>
      <c r="U213" s="93">
        <f>SUM('31:16'!U213)</f>
        <v>0</v>
      </c>
      <c r="V213" s="206">
        <f t="shared" si="79"/>
        <v>0</v>
      </c>
      <c r="W213" s="33">
        <f t="shared" si="80"/>
        <v>0</v>
      </c>
      <c r="X213" s="93">
        <f>SUM('31:16'!X213)</f>
        <v>0</v>
      </c>
      <c r="Y213" s="93">
        <f>SUM('31:16'!Y213)</f>
        <v>0</v>
      </c>
      <c r="Z213" s="93">
        <f>SUM('31:16'!Z213)</f>
        <v>0</v>
      </c>
      <c r="AA213" s="93">
        <f>SUM('31:16'!AA213)</f>
        <v>0</v>
      </c>
      <c r="AB213" s="73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SUM('31:16'!G214)</f>
        <v>0</v>
      </c>
      <c r="H214" s="339">
        <f t="shared" si="70"/>
        <v>0</v>
      </c>
      <c r="I214" s="93">
        <f>SUM('31:16'!I214)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SUM('31:16'!N214)</f>
        <v>0</v>
      </c>
      <c r="O214" s="93">
        <f>SUM('31:16'!O214)</f>
        <v>0</v>
      </c>
      <c r="P214" s="93">
        <f>SUM('31:16'!P214)</f>
        <v>0</v>
      </c>
      <c r="Q214" s="93">
        <f>SUM('31:16'!Q214)</f>
        <v>0</v>
      </c>
      <c r="R214" s="93">
        <f>SUM('31:16'!R214)</f>
        <v>0</v>
      </c>
      <c r="S214" s="93">
        <f>SUM('31:16'!S214)</f>
        <v>0</v>
      </c>
      <c r="T214" s="93">
        <f>SUM('31:16'!T214)</f>
        <v>0</v>
      </c>
      <c r="U214" s="93">
        <f>SUM('31:16'!U214)</f>
        <v>0</v>
      </c>
      <c r="V214" s="206">
        <f t="shared" si="79"/>
        <v>0</v>
      </c>
      <c r="W214" s="33" t="str">
        <f t="shared" si="80"/>
        <v/>
      </c>
      <c r="X214" s="93">
        <f>SUM('31:16'!X214)</f>
        <v>0</v>
      </c>
      <c r="Y214" s="93">
        <f>SUM('31:16'!Y214)</f>
        <v>0</v>
      </c>
      <c r="Z214" s="93">
        <f>SUM('31:16'!Z214)</f>
        <v>0</v>
      </c>
      <c r="AA214" s="93">
        <f>SUM('31:16'!AA214)</f>
        <v>0</v>
      </c>
      <c r="AB214" s="25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SUM('31:16'!G215)</f>
        <v>1808</v>
      </c>
      <c r="H215" s="339">
        <f t="shared" si="70"/>
        <v>9184.64</v>
      </c>
      <c r="I215" s="93">
        <f>SUM('31:16'!I215)</f>
        <v>98.5</v>
      </c>
      <c r="J215" s="31">
        <f t="array" ref="J215">IF(ISERROR(G215/I215),"",G215/I215)</f>
        <v>18.35532994923858</v>
      </c>
      <c r="K215" s="35">
        <f t="array" ref="K215">IF(ISERROR(G215/L215),"",G215/L215)</f>
        <v>86.095238095238102</v>
      </c>
      <c r="L215" s="87">
        <v>21</v>
      </c>
      <c r="M215" s="36">
        <f t="shared" si="78"/>
        <v>12.404761904761898</v>
      </c>
      <c r="N215" s="93">
        <f>SUM('31:16'!N215)</f>
        <v>0</v>
      </c>
      <c r="O215" s="93">
        <f>SUM('31:16'!O215)</f>
        <v>0</v>
      </c>
      <c r="P215" s="93">
        <f>SUM('31:16'!P215)</f>
        <v>0</v>
      </c>
      <c r="Q215" s="93">
        <f>SUM('31:16'!Q215)</f>
        <v>0</v>
      </c>
      <c r="R215" s="93">
        <f>SUM('31:16'!R215)</f>
        <v>0</v>
      </c>
      <c r="S215" s="93">
        <f>SUM('31:16'!S215)</f>
        <v>0</v>
      </c>
      <c r="T215" s="93">
        <f>SUM('31:16'!T215)</f>
        <v>0</v>
      </c>
      <c r="U215" s="93">
        <f>SUM('31:16'!U215)</f>
        <v>0</v>
      </c>
      <c r="V215" s="206">
        <f t="shared" si="79"/>
        <v>0</v>
      </c>
      <c r="W215" s="33">
        <f t="shared" si="80"/>
        <v>0</v>
      </c>
      <c r="X215" s="93">
        <f>SUM('31:16'!X215)</f>
        <v>0</v>
      </c>
      <c r="Y215" s="93">
        <f>SUM('31:16'!Y215)</f>
        <v>0</v>
      </c>
      <c r="Z215" s="93">
        <f>SUM('31:16'!Z215)</f>
        <v>0</v>
      </c>
      <c r="AA215" s="93">
        <f>SUM('31:16'!AA215)</f>
        <v>0</v>
      </c>
      <c r="AB215" s="73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SUM('31:16'!G216)</f>
        <v>2435</v>
      </c>
      <c r="H216" s="339">
        <f t="shared" si="70"/>
        <v>12248.050000000001</v>
      </c>
      <c r="I216" s="93">
        <f>SUM('31:16'!I216)</f>
        <v>26.02</v>
      </c>
      <c r="J216" s="31">
        <f t="array" ref="J216">IF(ISERROR(G216/I216),"",G216/I216)</f>
        <v>93.581860107609529</v>
      </c>
      <c r="K216" s="35">
        <f t="array" ref="K216">IF(ISERROR(G216/L216),"",G216/L216)</f>
        <v>43.482142857142854</v>
      </c>
      <c r="L216" s="87">
        <v>56</v>
      </c>
      <c r="M216" s="36">
        <f t="shared" si="78"/>
        <v>-17.462142857142855</v>
      </c>
      <c r="N216" s="93">
        <f>SUM('31:16'!N216)</f>
        <v>0</v>
      </c>
      <c r="O216" s="93">
        <f>SUM('31:16'!O216)</f>
        <v>0</v>
      </c>
      <c r="P216" s="93">
        <f>SUM('31:16'!P216)</f>
        <v>0</v>
      </c>
      <c r="Q216" s="93">
        <f>SUM('31:16'!Q216)</f>
        <v>0</v>
      </c>
      <c r="R216" s="93">
        <f>SUM('31:16'!R216)</f>
        <v>0</v>
      </c>
      <c r="S216" s="93">
        <f>SUM('31:16'!S216)</f>
        <v>0</v>
      </c>
      <c r="T216" s="93">
        <f>SUM('31:16'!T216)</f>
        <v>0</v>
      </c>
      <c r="U216" s="93">
        <f>SUM('31:16'!U216)</f>
        <v>0</v>
      </c>
      <c r="V216" s="206">
        <f t="shared" si="79"/>
        <v>0</v>
      </c>
      <c r="W216" s="33">
        <f t="shared" si="80"/>
        <v>0</v>
      </c>
      <c r="X216" s="93">
        <f>SUM('31:16'!X216)</f>
        <v>0</v>
      </c>
      <c r="Y216" s="93">
        <f>SUM('31:16'!Y216)</f>
        <v>0</v>
      </c>
      <c r="Z216" s="93">
        <f>SUM('31:16'!Z216)</f>
        <v>0</v>
      </c>
      <c r="AA216" s="93">
        <f>SUM('31:16'!AA216)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SUM('31:16'!G217)</f>
        <v>1228</v>
      </c>
      <c r="H217" s="339">
        <f t="shared" si="70"/>
        <v>6176.84</v>
      </c>
      <c r="I217" s="93">
        <f>SUM('31:16'!I217)</f>
        <v>18.02</v>
      </c>
      <c r="J217" s="31">
        <f t="array" ref="J217">IF(ISERROR(G217/I217),"",G217/I217)</f>
        <v>68.146503884572695</v>
      </c>
      <c r="K217" s="35">
        <f t="array" ref="K217">IF(ISERROR(G217/L217),"",G217/L217)</f>
        <v>21.928571428571427</v>
      </c>
      <c r="L217" s="87">
        <v>56</v>
      </c>
      <c r="M217" s="36">
        <f t="shared" si="78"/>
        <v>-3.9085714285714275</v>
      </c>
      <c r="N217" s="93">
        <f>SUM('31:16'!N217)</f>
        <v>0</v>
      </c>
      <c r="O217" s="93">
        <f>SUM('31:16'!O217)</f>
        <v>0</v>
      </c>
      <c r="P217" s="93">
        <f>SUM('31:16'!P217)</f>
        <v>0</v>
      </c>
      <c r="Q217" s="93">
        <f>SUM('31:16'!Q217)</f>
        <v>0</v>
      </c>
      <c r="R217" s="93">
        <f>SUM('31:16'!R217)</f>
        <v>0</v>
      </c>
      <c r="S217" s="93">
        <f>SUM('31:16'!S217)</f>
        <v>0</v>
      </c>
      <c r="T217" s="93">
        <f>SUM('31:16'!T217)</f>
        <v>0</v>
      </c>
      <c r="U217" s="93">
        <f>SUM('31:16'!U217)</f>
        <v>0</v>
      </c>
      <c r="V217" s="206">
        <f t="shared" si="79"/>
        <v>0</v>
      </c>
      <c r="W217" s="33">
        <f t="shared" si="80"/>
        <v>0</v>
      </c>
      <c r="X217" s="93">
        <f>SUM('31:16'!X217)</f>
        <v>0</v>
      </c>
      <c r="Y217" s="93">
        <f>SUM('31:16'!Y217)</f>
        <v>0</v>
      </c>
      <c r="Z217" s="93">
        <f>SUM('31:16'!Z217)</f>
        <v>0</v>
      </c>
      <c r="AA217" s="93">
        <f>SUM('31:16'!AA217)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SUM('31:16'!G218)</f>
        <v>1661</v>
      </c>
      <c r="H218" s="339">
        <f t="shared" si="70"/>
        <v>8354.83</v>
      </c>
      <c r="I218" s="93">
        <f>SUM('31:16'!I218)</f>
        <v>30.71</v>
      </c>
      <c r="J218" s="31">
        <f t="array" ref="J218">IF(ISERROR(G218/I218),"",G218/I218)</f>
        <v>54.086616737219146</v>
      </c>
      <c r="K218" s="35">
        <f t="array" ref="K218">IF(ISERROR(G218/L218),"",G218/L218)</f>
        <v>29.660714285714285</v>
      </c>
      <c r="L218" s="87">
        <v>56</v>
      </c>
      <c r="M218" s="36">
        <f t="shared" si="78"/>
        <v>1.0492857142857162</v>
      </c>
      <c r="N218" s="93">
        <f>SUM('31:16'!N218)</f>
        <v>0</v>
      </c>
      <c r="O218" s="93">
        <f>SUM('31:16'!O218)</f>
        <v>0</v>
      </c>
      <c r="P218" s="93">
        <f>SUM('31:16'!P218)</f>
        <v>0</v>
      </c>
      <c r="Q218" s="93">
        <f>SUM('31:16'!Q218)</f>
        <v>0</v>
      </c>
      <c r="R218" s="93">
        <f>SUM('31:16'!R218)</f>
        <v>0</v>
      </c>
      <c r="S218" s="93">
        <f>SUM('31:16'!S218)</f>
        <v>0</v>
      </c>
      <c r="T218" s="93">
        <f>SUM('31:16'!T218)</f>
        <v>0</v>
      </c>
      <c r="U218" s="93">
        <f>SUM('31:16'!U218)</f>
        <v>0</v>
      </c>
      <c r="V218" s="206">
        <f t="shared" si="79"/>
        <v>0</v>
      </c>
      <c r="W218" s="33">
        <f t="shared" si="80"/>
        <v>0</v>
      </c>
      <c r="X218" s="93">
        <f>SUM('31:16'!X218)</f>
        <v>0</v>
      </c>
      <c r="Y218" s="93">
        <f>SUM('31:16'!Y218)</f>
        <v>0</v>
      </c>
      <c r="Z218" s="93">
        <f>SUM('31:16'!Z218)</f>
        <v>0</v>
      </c>
      <c r="AA218" s="93">
        <f>SUM('31:16'!AA218)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SUM('31:16'!G219)</f>
        <v>1359</v>
      </c>
      <c r="H219" s="339">
        <f t="shared" si="70"/>
        <v>6835.77</v>
      </c>
      <c r="I219" s="93">
        <f>SUM('31:16'!I219)</f>
        <v>25.5</v>
      </c>
      <c r="J219" s="31">
        <f t="array" ref="J219">IF(ISERROR(G219/I219),"",G219/I219)</f>
        <v>53.294117647058826</v>
      </c>
      <c r="K219" s="35">
        <f t="array" ref="K219">IF(ISERROR(G219/L219),"",G219/L219)</f>
        <v>24.267857142857142</v>
      </c>
      <c r="L219" s="87">
        <v>56</v>
      </c>
      <c r="M219" s="36">
        <f t="shared" si="78"/>
        <v>1.2321428571428577</v>
      </c>
      <c r="N219" s="93">
        <f>SUM('31:16'!N219)</f>
        <v>0</v>
      </c>
      <c r="O219" s="93">
        <f>SUM('31:16'!O219)</f>
        <v>0</v>
      </c>
      <c r="P219" s="93">
        <f>SUM('31:16'!P219)</f>
        <v>0</v>
      </c>
      <c r="Q219" s="93">
        <f>SUM('31:16'!Q219)</f>
        <v>0</v>
      </c>
      <c r="R219" s="93">
        <f>SUM('31:16'!R219)</f>
        <v>0</v>
      </c>
      <c r="S219" s="93">
        <f>SUM('31:16'!S219)</f>
        <v>0</v>
      </c>
      <c r="T219" s="93">
        <f>SUM('31:16'!T219)</f>
        <v>0</v>
      </c>
      <c r="U219" s="93">
        <f>SUM('31:16'!U219)</f>
        <v>0</v>
      </c>
      <c r="V219" s="206">
        <f t="shared" si="79"/>
        <v>0</v>
      </c>
      <c r="W219" s="33">
        <f t="shared" si="80"/>
        <v>0</v>
      </c>
      <c r="X219" s="93">
        <f>SUM('31:16'!X219)</f>
        <v>0</v>
      </c>
      <c r="Y219" s="93">
        <f>SUM('31:16'!Y219)</f>
        <v>0</v>
      </c>
      <c r="Z219" s="93">
        <f>SUM('31:16'!Z219)</f>
        <v>0</v>
      </c>
      <c r="AA219" s="93">
        <f>SUM('31:16'!AA219)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SUM('31:16'!G220)</f>
        <v>679</v>
      </c>
      <c r="H220" s="339">
        <f t="shared" si="70"/>
        <v>3415.3700000000003</v>
      </c>
      <c r="I220" s="93">
        <f>SUM('31:16'!I220)</f>
        <v>14</v>
      </c>
      <c r="J220" s="31"/>
      <c r="K220" s="35">
        <f t="array" ref="K220">IF(ISERROR(G220/L220),"",G220/L220)</f>
        <v>12.574074074074074</v>
      </c>
      <c r="L220" s="87">
        <v>54</v>
      </c>
      <c r="M220" s="36">
        <f t="shared" si="78"/>
        <v>1.4259259259259256</v>
      </c>
      <c r="N220" s="93">
        <f>SUM('31:16'!N220)</f>
        <v>0</v>
      </c>
      <c r="O220" s="93">
        <f>SUM('31:16'!O220)</f>
        <v>0</v>
      </c>
      <c r="P220" s="93">
        <f>SUM('31:16'!P220)</f>
        <v>0</v>
      </c>
      <c r="Q220" s="93">
        <f>SUM('31:16'!Q220)</f>
        <v>0</v>
      </c>
      <c r="R220" s="93">
        <f>SUM('31:16'!R220)</f>
        <v>0</v>
      </c>
      <c r="S220" s="93">
        <f>SUM('31:16'!S220)</f>
        <v>0</v>
      </c>
      <c r="T220" s="93">
        <f>SUM('31:16'!T220)</f>
        <v>0</v>
      </c>
      <c r="U220" s="93">
        <f>SUM('31:16'!U220)</f>
        <v>0</v>
      </c>
      <c r="V220" s="206"/>
      <c r="W220" s="33"/>
      <c r="X220" s="93">
        <f>SUM('31:16'!X220)</f>
        <v>0</v>
      </c>
      <c r="Y220" s="93">
        <f>SUM('31:16'!Y220)</f>
        <v>0</v>
      </c>
      <c r="Z220" s="93">
        <f>SUM('31:16'!Z220)</f>
        <v>0</v>
      </c>
      <c r="AA220" s="93">
        <f>SUM('31:16'!AA220)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SUM('31:16'!G221)</f>
        <v>797</v>
      </c>
      <c r="H221" s="339">
        <f t="shared" si="70"/>
        <v>4008.9100000000003</v>
      </c>
      <c r="I221" s="93">
        <f>SUM('31:16'!I221)</f>
        <v>23.5</v>
      </c>
      <c r="J221" s="31"/>
      <c r="K221" s="35">
        <f t="array" ref="K221">IF(ISERROR(G221/L221),"",G221/L221)</f>
        <v>14.75925925925926</v>
      </c>
      <c r="L221" s="87">
        <v>54</v>
      </c>
      <c r="M221" s="36">
        <f t="shared" si="78"/>
        <v>8.7407407407407405</v>
      </c>
      <c r="N221" s="93">
        <f>SUM('31:16'!N221)</f>
        <v>0</v>
      </c>
      <c r="O221" s="93">
        <f>SUM('31:16'!O221)</f>
        <v>0</v>
      </c>
      <c r="P221" s="93">
        <f>SUM('31:16'!P221)</f>
        <v>0</v>
      </c>
      <c r="Q221" s="93">
        <f>SUM('31:16'!Q221)</f>
        <v>0</v>
      </c>
      <c r="R221" s="93">
        <f>SUM('31:16'!R221)</f>
        <v>0</v>
      </c>
      <c r="S221" s="93">
        <f>SUM('31:16'!S221)</f>
        <v>0</v>
      </c>
      <c r="T221" s="93">
        <f>SUM('31:16'!T221)</f>
        <v>0</v>
      </c>
      <c r="U221" s="93">
        <f>SUM('31:16'!U221)</f>
        <v>0</v>
      </c>
      <c r="V221" s="206"/>
      <c r="W221" s="33"/>
      <c r="X221" s="93">
        <f>SUM('31:16'!X221)</f>
        <v>0</v>
      </c>
      <c r="Y221" s="93">
        <f>SUM('31:16'!Y221)</f>
        <v>0</v>
      </c>
      <c r="Z221" s="93">
        <f>SUM('31:16'!Z221)</f>
        <v>0</v>
      </c>
      <c r="AA221" s="93">
        <f>SUM('31:16'!AA221)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30100021</v>
      </c>
      <c r="B222" s="190" t="s">
        <v>388</v>
      </c>
      <c r="C222" s="16" t="s">
        <v>390</v>
      </c>
      <c r="D222" s="17">
        <v>5.03</v>
      </c>
      <c r="E222" s="17"/>
      <c r="F222" s="6"/>
      <c r="G222" s="93">
        <f>SUM('31:16'!G222)</f>
        <v>792</v>
      </c>
      <c r="H222" s="339">
        <f t="shared" si="70"/>
        <v>3983.76</v>
      </c>
      <c r="I222" s="93">
        <f>SUM('31:16'!I222)</f>
        <v>17.5</v>
      </c>
      <c r="J222" s="31"/>
      <c r="K222" s="35">
        <f t="array" ref="K222">IF(ISERROR(G222/L222),"",G222/L222)</f>
        <v>14.666666666666666</v>
      </c>
      <c r="L222" s="87">
        <v>54</v>
      </c>
      <c r="M222" s="36">
        <f t="shared" si="78"/>
        <v>2.8333333333333339</v>
      </c>
      <c r="N222" s="93">
        <f>SUM('31:16'!N222)</f>
        <v>0</v>
      </c>
      <c r="O222" s="93">
        <f>SUM('31:16'!O222)</f>
        <v>0</v>
      </c>
      <c r="P222" s="93">
        <f>SUM('31:16'!P222)</f>
        <v>0</v>
      </c>
      <c r="Q222" s="93">
        <f>SUM('31:16'!Q222)</f>
        <v>0</v>
      </c>
      <c r="R222" s="93">
        <f>SUM('31:16'!R222)</f>
        <v>0</v>
      </c>
      <c r="S222" s="93">
        <f>SUM('31:16'!S222)</f>
        <v>0</v>
      </c>
      <c r="T222" s="93">
        <f>SUM('31:16'!T222)</f>
        <v>0</v>
      </c>
      <c r="U222" s="93">
        <f>SUM('31:16'!U222)</f>
        <v>0</v>
      </c>
      <c r="V222" s="206"/>
      <c r="W222" s="33"/>
      <c r="X222" s="93">
        <f>SUM('31:16'!X222)</f>
        <v>0</v>
      </c>
      <c r="Y222" s="93">
        <f>SUM('31:16'!Y222)</f>
        <v>0</v>
      </c>
      <c r="Z222" s="93">
        <f>SUM('31:16'!Z222)</f>
        <v>0</v>
      </c>
      <c r="AA222" s="93">
        <f>SUM('31:16'!AA222)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0">
        <v>30100018</v>
      </c>
      <c r="B223" s="190" t="s">
        <v>388</v>
      </c>
      <c r="C223" s="16" t="s">
        <v>392</v>
      </c>
      <c r="D223" s="17">
        <v>5.03</v>
      </c>
      <c r="E223" s="17"/>
      <c r="F223" s="6"/>
      <c r="G223" s="93">
        <f>SUM('31:16'!G223)</f>
        <v>732</v>
      </c>
      <c r="H223" s="339">
        <f t="shared" si="70"/>
        <v>3681.96</v>
      </c>
      <c r="I223" s="93">
        <f>SUM('31:16'!I223)</f>
        <v>14.5</v>
      </c>
      <c r="J223" s="31"/>
      <c r="K223" s="35">
        <f t="array" ref="K223">IF(ISERROR(G223/L223),"",G223/L223)</f>
        <v>13.555555555555555</v>
      </c>
      <c r="L223" s="87">
        <v>54</v>
      </c>
      <c r="M223" s="36">
        <f t="shared" si="78"/>
        <v>0.94444444444444464</v>
      </c>
      <c r="N223" s="93">
        <f>SUM('31:16'!N223)</f>
        <v>0</v>
      </c>
      <c r="O223" s="93">
        <f>SUM('31:16'!O223)</f>
        <v>0</v>
      </c>
      <c r="P223" s="93">
        <f>SUM('31:16'!P223)</f>
        <v>0</v>
      </c>
      <c r="Q223" s="93">
        <f>SUM('31:16'!Q223)</f>
        <v>0</v>
      </c>
      <c r="R223" s="93">
        <f>SUM('31:16'!R223)</f>
        <v>0</v>
      </c>
      <c r="S223" s="93">
        <f>SUM('31:16'!S223)</f>
        <v>0</v>
      </c>
      <c r="T223" s="93">
        <f>SUM('31:16'!T223)</f>
        <v>0</v>
      </c>
      <c r="U223" s="93">
        <f>SUM('31:16'!U223)</f>
        <v>0</v>
      </c>
      <c r="V223" s="206"/>
      <c r="W223" s="33"/>
      <c r="X223" s="93">
        <f>SUM('31:16'!X223)</f>
        <v>0</v>
      </c>
      <c r="Y223" s="93">
        <f>SUM('31:16'!Y223)</f>
        <v>0</v>
      </c>
      <c r="Z223" s="93">
        <f>SUM('31:16'!Z223)</f>
        <v>0</v>
      </c>
      <c r="AA223" s="93">
        <f>SUM('31:16'!AA223)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30700007</v>
      </c>
      <c r="B224" s="190" t="s">
        <v>424</v>
      </c>
      <c r="C224" s="187" t="s">
        <v>364</v>
      </c>
      <c r="D224" s="17">
        <v>5.03</v>
      </c>
      <c r="E224" s="17"/>
      <c r="F224" s="6"/>
      <c r="G224" s="93">
        <f>SUM('31:16'!G224)</f>
        <v>0</v>
      </c>
      <c r="H224" s="339">
        <f t="shared" si="70"/>
        <v>0</v>
      </c>
      <c r="I224" s="93">
        <f>SUM('31:16'!I224)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SUM('31:16'!N224)</f>
        <v>0</v>
      </c>
      <c r="O224" s="93">
        <f>SUM('31:16'!O224)</f>
        <v>0</v>
      </c>
      <c r="P224" s="93">
        <f>SUM('31:16'!P224)</f>
        <v>0</v>
      </c>
      <c r="Q224" s="93">
        <f>SUM('31:16'!Q224)</f>
        <v>0</v>
      </c>
      <c r="R224" s="93">
        <f>SUM('31:16'!R224)</f>
        <v>0</v>
      </c>
      <c r="S224" s="93">
        <f>SUM('31:16'!S224)</f>
        <v>0</v>
      </c>
      <c r="T224" s="93">
        <f>SUM('31:16'!T224)</f>
        <v>0</v>
      </c>
      <c r="U224" s="93">
        <f>SUM('31:16'!U224)</f>
        <v>0</v>
      </c>
      <c r="V224" s="206"/>
      <c r="W224" s="33"/>
      <c r="X224" s="93">
        <f>SUM('31:16'!X224)</f>
        <v>0</v>
      </c>
      <c r="Y224" s="93">
        <f>SUM('31:16'!Y224)</f>
        <v>0</v>
      </c>
      <c r="Z224" s="93">
        <f>SUM('31:16'!Z224)</f>
        <v>0</v>
      </c>
      <c r="AA224" s="93">
        <f>SUM('31:16'!AA224)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30700006</v>
      </c>
      <c r="B225" s="190" t="s">
        <v>424</v>
      </c>
      <c r="C225" s="187" t="s">
        <v>365</v>
      </c>
      <c r="D225" s="17">
        <v>5.03</v>
      </c>
      <c r="E225" s="17"/>
      <c r="F225" s="6"/>
      <c r="G225" s="93">
        <f>SUM('31:16'!G225)</f>
        <v>0</v>
      </c>
      <c r="H225" s="339">
        <f t="shared" si="70"/>
        <v>0</v>
      </c>
      <c r="I225" s="93">
        <f>SUM('31:16'!I225)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SUM('31:16'!N225)</f>
        <v>0</v>
      </c>
      <c r="O225" s="93">
        <f>SUM('31:16'!O225)</f>
        <v>0</v>
      </c>
      <c r="P225" s="93">
        <f>SUM('31:16'!P225)</f>
        <v>0</v>
      </c>
      <c r="Q225" s="93">
        <f>SUM('31:16'!Q225)</f>
        <v>0</v>
      </c>
      <c r="R225" s="93">
        <f>SUM('31:16'!R225)</f>
        <v>0</v>
      </c>
      <c r="S225" s="93">
        <f>SUM('31:16'!S225)</f>
        <v>0</v>
      </c>
      <c r="T225" s="93">
        <f>SUM('31:16'!T225)</f>
        <v>0</v>
      </c>
      <c r="U225" s="93">
        <f>SUM('31:16'!U225)</f>
        <v>0</v>
      </c>
      <c r="V225" s="206"/>
      <c r="W225" s="33"/>
      <c r="X225" s="93">
        <f>SUM('31:16'!X225)</f>
        <v>0</v>
      </c>
      <c r="Y225" s="93">
        <f>SUM('31:16'!Y225)</f>
        <v>0</v>
      </c>
      <c r="Z225" s="93">
        <f>SUM('31:16'!Z225)</f>
        <v>0</v>
      </c>
      <c r="AA225" s="93">
        <f>SUM('31:16'!AA225)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30700008</v>
      </c>
      <c r="B226" s="190" t="s">
        <v>424</v>
      </c>
      <c r="C226" s="187" t="s">
        <v>366</v>
      </c>
      <c r="D226" s="17">
        <v>5.03</v>
      </c>
      <c r="E226" s="17"/>
      <c r="F226" s="6"/>
      <c r="G226" s="93">
        <f>SUM('31:16'!G226)</f>
        <v>0</v>
      </c>
      <c r="H226" s="339">
        <f t="shared" si="70"/>
        <v>0</v>
      </c>
      <c r="I226" s="93">
        <f>SUM('31:16'!I226)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SUM('31:16'!N226)</f>
        <v>0</v>
      </c>
      <c r="O226" s="93">
        <f>SUM('31:16'!O226)</f>
        <v>0</v>
      </c>
      <c r="P226" s="93">
        <f>SUM('31:16'!P226)</f>
        <v>0</v>
      </c>
      <c r="Q226" s="93">
        <f>SUM('31:16'!Q226)</f>
        <v>0</v>
      </c>
      <c r="R226" s="93">
        <f>SUM('31:16'!R226)</f>
        <v>0</v>
      </c>
      <c r="S226" s="93">
        <f>SUM('31:16'!S226)</f>
        <v>0</v>
      </c>
      <c r="T226" s="93">
        <f>SUM('31:16'!T226)</f>
        <v>0</v>
      </c>
      <c r="U226" s="93">
        <f>SUM('31:16'!U226)</f>
        <v>0</v>
      </c>
      <c r="V226" s="206"/>
      <c r="W226" s="33"/>
      <c r="X226" s="93">
        <f>SUM('31:16'!X226)</f>
        <v>0</v>
      </c>
      <c r="Y226" s="93">
        <f>SUM('31:16'!Y226)</f>
        <v>0</v>
      </c>
      <c r="Z226" s="93">
        <f>SUM('31:16'!Z226)</f>
        <v>0</v>
      </c>
      <c r="AA226" s="93">
        <f>SUM('31:16'!AA226)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3">
        <v>30700009</v>
      </c>
      <c r="B227" s="190" t="s">
        <v>424</v>
      </c>
      <c r="C227" s="187" t="s">
        <v>367</v>
      </c>
      <c r="D227" s="17">
        <v>5.03</v>
      </c>
      <c r="E227" s="17"/>
      <c r="F227" s="6"/>
      <c r="G227" s="93">
        <f>SUM('31:16'!G227)</f>
        <v>0</v>
      </c>
      <c r="H227" s="339">
        <f t="shared" si="70"/>
        <v>0</v>
      </c>
      <c r="I227" s="93">
        <f>SUM('31:16'!I227)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78"/>
        <v>0</v>
      </c>
      <c r="N227" s="93">
        <f>SUM('31:16'!N227)</f>
        <v>0</v>
      </c>
      <c r="O227" s="93">
        <f>SUM('31:16'!O227)</f>
        <v>0</v>
      </c>
      <c r="P227" s="93">
        <f>SUM('31:16'!P227)</f>
        <v>0</v>
      </c>
      <c r="Q227" s="93">
        <f>SUM('31:16'!Q227)</f>
        <v>0</v>
      </c>
      <c r="R227" s="93">
        <f>SUM('31:16'!R227)</f>
        <v>0</v>
      </c>
      <c r="S227" s="93">
        <f>SUM('31:16'!S227)</f>
        <v>0</v>
      </c>
      <c r="T227" s="93">
        <f>SUM('31:16'!T227)</f>
        <v>0</v>
      </c>
      <c r="U227" s="93">
        <f>SUM('31:16'!U227)</f>
        <v>0</v>
      </c>
      <c r="V227" s="206"/>
      <c r="W227" s="33"/>
      <c r="X227" s="93">
        <f>SUM('31:16'!X227)</f>
        <v>0</v>
      </c>
      <c r="Y227" s="93">
        <f>SUM('31:16'!Y227)</f>
        <v>0</v>
      </c>
      <c r="Z227" s="93">
        <f>SUM('31:16'!Z227)</f>
        <v>0</v>
      </c>
      <c r="AA227" s="93">
        <f>SUM('31:16'!AA227)</f>
        <v>0</v>
      </c>
      <c r="AB227" s="25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SUM('31:16'!G228)</f>
        <v>616</v>
      </c>
      <c r="H228" s="339">
        <f t="shared" si="70"/>
        <v>3098.48</v>
      </c>
      <c r="I228" s="93">
        <f>SUM('31:16'!I228)</f>
        <v>11.5</v>
      </c>
      <c r="J228" s="31">
        <f t="array" ref="J228">IF(ISERROR(G228/I228),"",G228/I228)</f>
        <v>53.565217391304351</v>
      </c>
      <c r="K228" s="35">
        <f t="array" ref="K228">IF(ISERROR(G228/L228),"",G228/L228)</f>
        <v>15.4</v>
      </c>
      <c r="L228" s="87">
        <v>40</v>
      </c>
      <c r="M228" s="36">
        <f t="shared" si="78"/>
        <v>-3.9000000000000004</v>
      </c>
      <c r="N228" s="93">
        <f>SUM('31:16'!N228)</f>
        <v>0</v>
      </c>
      <c r="O228" s="93">
        <f>SUM('31:16'!O228)</f>
        <v>0</v>
      </c>
      <c r="P228" s="93">
        <f>SUM('31:16'!P228)</f>
        <v>0</v>
      </c>
      <c r="Q228" s="93">
        <f>SUM('31:16'!Q228)</f>
        <v>0</v>
      </c>
      <c r="R228" s="93">
        <f>SUM('31:16'!R228)</f>
        <v>0</v>
      </c>
      <c r="S228" s="93">
        <f>SUM('31:16'!S228)</f>
        <v>0</v>
      </c>
      <c r="T228" s="93">
        <f>SUM('31:16'!T228)</f>
        <v>0</v>
      </c>
      <c r="U228" s="93">
        <f>SUM('31:16'!U228)</f>
        <v>0</v>
      </c>
      <c r="V228" s="206">
        <f t="shared" ref="V228:V237" si="81">SUM(X228:AA228)</f>
        <v>0</v>
      </c>
      <c r="W228" s="33">
        <f t="shared" ref="W228:W237" si="82">IF(ISERROR(V228/G228),"",V228/G228)</f>
        <v>0</v>
      </c>
      <c r="X228" s="93">
        <f>SUM('31:16'!X228)</f>
        <v>0</v>
      </c>
      <c r="Y228" s="93">
        <f>SUM('31:16'!Y228)</f>
        <v>0</v>
      </c>
      <c r="Z228" s="93">
        <f>SUM('31:16'!Z228)</f>
        <v>0</v>
      </c>
      <c r="AA228" s="93">
        <f>SUM('31:16'!AA228)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SUM('31:16'!G229)</f>
        <v>605</v>
      </c>
      <c r="H229" s="339">
        <f t="shared" si="70"/>
        <v>3043.15</v>
      </c>
      <c r="I229" s="93">
        <f>SUM('31:16'!I229)</f>
        <v>8</v>
      </c>
      <c r="J229" s="31">
        <f t="array" ref="J229">IF(ISERROR(G229/I229),"",G229/I229)</f>
        <v>75.625</v>
      </c>
      <c r="K229" s="35">
        <f t="array" ref="K229">IF(ISERROR(G229/L229),"",G229/L229)</f>
        <v>15.125</v>
      </c>
      <c r="L229" s="87">
        <v>40</v>
      </c>
      <c r="M229" s="36">
        <f t="shared" si="78"/>
        <v>-7.125</v>
      </c>
      <c r="N229" s="93">
        <f>SUM('31:16'!N229)</f>
        <v>0</v>
      </c>
      <c r="O229" s="93">
        <f>SUM('31:16'!O229)</f>
        <v>0</v>
      </c>
      <c r="P229" s="93">
        <f>SUM('31:16'!P229)</f>
        <v>0</v>
      </c>
      <c r="Q229" s="93">
        <f>SUM('31:16'!Q229)</f>
        <v>0</v>
      </c>
      <c r="R229" s="93">
        <f>SUM('31:16'!R229)</f>
        <v>0</v>
      </c>
      <c r="S229" s="93">
        <f>SUM('31:16'!S229)</f>
        <v>0</v>
      </c>
      <c r="T229" s="93">
        <f>SUM('31:16'!T229)</f>
        <v>0</v>
      </c>
      <c r="U229" s="93">
        <f>SUM('31:16'!U229)</f>
        <v>0</v>
      </c>
      <c r="V229" s="206">
        <f t="shared" si="81"/>
        <v>0</v>
      </c>
      <c r="W229" s="33">
        <f t="shared" si="82"/>
        <v>0</v>
      </c>
      <c r="X229" s="93">
        <f>SUM('31:16'!X229)</f>
        <v>0</v>
      </c>
      <c r="Y229" s="93">
        <f>SUM('31:16'!Y229)</f>
        <v>0</v>
      </c>
      <c r="Z229" s="93">
        <f>SUM('31:16'!Z229)</f>
        <v>0</v>
      </c>
      <c r="AA229" s="93">
        <f>SUM('31:16'!AA229)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SUM('31:16'!G230)</f>
        <v>184</v>
      </c>
      <c r="H230" s="339">
        <f t="shared" si="70"/>
        <v>925.5200000000001</v>
      </c>
      <c r="I230" s="93">
        <f>SUM('31:16'!I230)</f>
        <v>4.5</v>
      </c>
      <c r="J230" s="31">
        <f t="array" ref="J230">IF(ISERROR(G230/I230),"",G230/I230)</f>
        <v>40.888888888888886</v>
      </c>
      <c r="K230" s="35">
        <f t="array" ref="K230">IF(ISERROR(G230/L230),"",G230/L230)</f>
        <v>4.5999999999999996</v>
      </c>
      <c r="L230" s="87">
        <v>40</v>
      </c>
      <c r="M230" s="36">
        <f t="shared" si="78"/>
        <v>-9.9999999999999645E-2</v>
      </c>
      <c r="N230" s="93">
        <f>SUM('31:16'!N230)</f>
        <v>0</v>
      </c>
      <c r="O230" s="93">
        <f>SUM('31:16'!O230)</f>
        <v>0</v>
      </c>
      <c r="P230" s="93">
        <f>SUM('31:16'!P230)</f>
        <v>0</v>
      </c>
      <c r="Q230" s="93">
        <f>SUM('31:16'!Q230)</f>
        <v>0</v>
      </c>
      <c r="R230" s="93">
        <f>SUM('31:16'!R230)</f>
        <v>0</v>
      </c>
      <c r="S230" s="93">
        <f>SUM('31:16'!S230)</f>
        <v>0</v>
      </c>
      <c r="T230" s="93">
        <f>SUM('31:16'!T230)</f>
        <v>0</v>
      </c>
      <c r="U230" s="93">
        <f>SUM('31:16'!U230)</f>
        <v>0</v>
      </c>
      <c r="V230" s="206">
        <f t="shared" si="81"/>
        <v>0</v>
      </c>
      <c r="W230" s="33">
        <f t="shared" si="82"/>
        <v>0</v>
      </c>
      <c r="X230" s="93">
        <f>SUM('31:16'!X230)</f>
        <v>0</v>
      </c>
      <c r="Y230" s="93">
        <f>SUM('31:16'!Y230)</f>
        <v>0</v>
      </c>
      <c r="Z230" s="93">
        <f>SUM('31:16'!Z230)</f>
        <v>0</v>
      </c>
      <c r="AA230" s="93">
        <f>SUM('31:16'!AA230)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SUM('31:16'!G231)</f>
        <v>0</v>
      </c>
      <c r="H231" s="339">
        <f t="shared" si="70"/>
        <v>0</v>
      </c>
      <c r="I231" s="93">
        <f>SUM('31:16'!I231)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SUM('31:16'!N231)</f>
        <v>0</v>
      </c>
      <c r="O231" s="93">
        <f>SUM('31:16'!O231)</f>
        <v>0</v>
      </c>
      <c r="P231" s="93">
        <f>SUM('31:16'!P231)</f>
        <v>0</v>
      </c>
      <c r="Q231" s="93">
        <f>SUM('31:16'!Q231)</f>
        <v>0</v>
      </c>
      <c r="R231" s="93">
        <f>SUM('31:16'!R231)</f>
        <v>0</v>
      </c>
      <c r="S231" s="93">
        <f>SUM('31:16'!S231)</f>
        <v>0</v>
      </c>
      <c r="T231" s="93">
        <f>SUM('31:16'!T231)</f>
        <v>0</v>
      </c>
      <c r="U231" s="93">
        <f>SUM('31:16'!U231)</f>
        <v>0</v>
      </c>
      <c r="V231" s="206">
        <f t="shared" si="81"/>
        <v>0</v>
      </c>
      <c r="W231" s="33" t="str">
        <f t="shared" si="82"/>
        <v/>
      </c>
      <c r="X231" s="93">
        <f>SUM('31:16'!X231)</f>
        <v>0</v>
      </c>
      <c r="Y231" s="93">
        <f>SUM('31:16'!Y231)</f>
        <v>0</v>
      </c>
      <c r="Z231" s="93">
        <f>SUM('31:16'!Z231)</f>
        <v>0</v>
      </c>
      <c r="AA231" s="93">
        <f>SUM('31:16'!AA231)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SUM('31:16'!G232)</f>
        <v>0</v>
      </c>
      <c r="H232" s="339">
        <f t="shared" si="70"/>
        <v>0</v>
      </c>
      <c r="I232" s="93">
        <f>SUM('31:16'!I232)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SUM('31:16'!N232)</f>
        <v>0</v>
      </c>
      <c r="O232" s="93">
        <f>SUM('31:16'!O232)</f>
        <v>0</v>
      </c>
      <c r="P232" s="93">
        <f>SUM('31:16'!P232)</f>
        <v>0</v>
      </c>
      <c r="Q232" s="93">
        <f>SUM('31:16'!Q232)</f>
        <v>0</v>
      </c>
      <c r="R232" s="93">
        <f>SUM('31:16'!R232)</f>
        <v>0</v>
      </c>
      <c r="S232" s="93">
        <f>SUM('31:16'!S232)</f>
        <v>0</v>
      </c>
      <c r="T232" s="93">
        <f>SUM('31:16'!T232)</f>
        <v>0</v>
      </c>
      <c r="U232" s="93">
        <f>SUM('31:16'!U232)</f>
        <v>0</v>
      </c>
      <c r="V232" s="206">
        <f t="shared" si="81"/>
        <v>0</v>
      </c>
      <c r="W232" s="33" t="str">
        <f t="shared" si="82"/>
        <v/>
      </c>
      <c r="X232" s="93">
        <f>SUM('31:16'!X232)</f>
        <v>0</v>
      </c>
      <c r="Y232" s="93">
        <f>SUM('31:16'!Y232)</f>
        <v>0</v>
      </c>
      <c r="Z232" s="93">
        <f>SUM('31:16'!Z232)</f>
        <v>0</v>
      </c>
      <c r="AA232" s="93">
        <f>SUM('31:16'!AA232)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SUM('31:16'!G233)</f>
        <v>0</v>
      </c>
      <c r="H233" s="339">
        <f t="shared" si="70"/>
        <v>0</v>
      </c>
      <c r="I233" s="93">
        <f>SUM('31:16'!I233)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SUM('31:16'!N233)</f>
        <v>0</v>
      </c>
      <c r="O233" s="93">
        <f>SUM('31:16'!O233)</f>
        <v>0</v>
      </c>
      <c r="P233" s="93">
        <f>SUM('31:16'!P233)</f>
        <v>0</v>
      </c>
      <c r="Q233" s="93">
        <f>SUM('31:16'!Q233)</f>
        <v>0</v>
      </c>
      <c r="R233" s="93">
        <f>SUM('31:16'!R233)</f>
        <v>0</v>
      </c>
      <c r="S233" s="93">
        <f>SUM('31:16'!S233)</f>
        <v>0</v>
      </c>
      <c r="T233" s="93">
        <f>SUM('31:16'!T233)</f>
        <v>0</v>
      </c>
      <c r="U233" s="93">
        <f>SUM('31:16'!U233)</f>
        <v>0</v>
      </c>
      <c r="V233" s="206">
        <f t="shared" si="81"/>
        <v>0</v>
      </c>
      <c r="W233" s="33" t="str">
        <f t="shared" si="82"/>
        <v/>
      </c>
      <c r="X233" s="93">
        <f>SUM('31:16'!X233)</f>
        <v>0</v>
      </c>
      <c r="Y233" s="93">
        <f>SUM('31:16'!Y233)</f>
        <v>0</v>
      </c>
      <c r="Z233" s="93">
        <f>SUM('31:16'!Z233)</f>
        <v>0</v>
      </c>
      <c r="AA233" s="93">
        <f>SUM('31:16'!AA233)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SUM('31:16'!G234)</f>
        <v>0</v>
      </c>
      <c r="H234" s="339">
        <f t="shared" si="70"/>
        <v>0</v>
      </c>
      <c r="I234" s="93">
        <f>SUM('31:16'!I234)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SUM('31:16'!N234)</f>
        <v>0</v>
      </c>
      <c r="O234" s="93">
        <f>SUM('31:16'!O234)</f>
        <v>0</v>
      </c>
      <c r="P234" s="93">
        <f>SUM('31:16'!P234)</f>
        <v>0</v>
      </c>
      <c r="Q234" s="93">
        <f>SUM('31:16'!Q234)</f>
        <v>0</v>
      </c>
      <c r="R234" s="93">
        <f>SUM('31:16'!R234)</f>
        <v>0</v>
      </c>
      <c r="S234" s="93">
        <f>SUM('31:16'!S234)</f>
        <v>0</v>
      </c>
      <c r="T234" s="93">
        <f>SUM('31:16'!T234)</f>
        <v>0</v>
      </c>
      <c r="U234" s="93">
        <f>SUM('31:16'!U234)</f>
        <v>0</v>
      </c>
      <c r="V234" s="206">
        <f t="shared" si="81"/>
        <v>0</v>
      </c>
      <c r="W234" s="33" t="str">
        <f t="shared" si="82"/>
        <v/>
      </c>
      <c r="X234" s="93">
        <f>SUM('31:16'!X234)</f>
        <v>0</v>
      </c>
      <c r="Y234" s="93">
        <f>SUM('31:16'!Y234)</f>
        <v>0</v>
      </c>
      <c r="Z234" s="93">
        <f>SUM('31:16'!Z234)</f>
        <v>0</v>
      </c>
      <c r="AA234" s="93">
        <f>SUM('31:16'!AA234)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SUM('31:16'!G235)</f>
        <v>1497</v>
      </c>
      <c r="H235" s="339">
        <f t="shared" si="70"/>
        <v>7529.9100000000008</v>
      </c>
      <c r="I235" s="93">
        <f>SUM('31:16'!I235)</f>
        <v>24.5</v>
      </c>
      <c r="J235" s="31">
        <f t="array" ref="J235">IF(ISERROR(G235/I235),"",G235/I235)</f>
        <v>61.102040816326529</v>
      </c>
      <c r="K235" s="35">
        <f t="array" ref="K235">IF(ISERROR(G235/L235),"",G235/L235)</f>
        <v>29.94</v>
      </c>
      <c r="L235" s="87">
        <v>50</v>
      </c>
      <c r="M235" s="36">
        <f t="shared" si="78"/>
        <v>-5.4400000000000013</v>
      </c>
      <c r="N235" s="93">
        <f>SUM('31:16'!N235)</f>
        <v>0</v>
      </c>
      <c r="O235" s="93">
        <f>SUM('31:16'!O235)</f>
        <v>0</v>
      </c>
      <c r="P235" s="93">
        <f>SUM('31:16'!P235)</f>
        <v>0</v>
      </c>
      <c r="Q235" s="93">
        <f>SUM('31:16'!Q235)</f>
        <v>0</v>
      </c>
      <c r="R235" s="93">
        <f>SUM('31:16'!R235)</f>
        <v>0</v>
      </c>
      <c r="S235" s="93">
        <f>SUM('31:16'!S235)</f>
        <v>0</v>
      </c>
      <c r="T235" s="93">
        <f>SUM('31:16'!T235)</f>
        <v>0</v>
      </c>
      <c r="U235" s="93">
        <f>SUM('31:16'!U235)</f>
        <v>0</v>
      </c>
      <c r="V235" s="206">
        <f t="shared" si="81"/>
        <v>0</v>
      </c>
      <c r="W235" s="33">
        <f t="shared" si="82"/>
        <v>0</v>
      </c>
      <c r="X235" s="93">
        <f>SUM('31:16'!X235)</f>
        <v>0</v>
      </c>
      <c r="Y235" s="93">
        <f>SUM('31:16'!Y235)</f>
        <v>0</v>
      </c>
      <c r="Z235" s="93">
        <f>SUM('31:16'!Z235)</f>
        <v>0</v>
      </c>
      <c r="AA235" s="93">
        <f>SUM('31:16'!AA235)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SUM('31:16'!G236)</f>
        <v>927</v>
      </c>
      <c r="H236" s="339">
        <f t="shared" si="70"/>
        <v>4662.8100000000004</v>
      </c>
      <c r="I236" s="93">
        <f>SUM('31:16'!I236)</f>
        <v>18</v>
      </c>
      <c r="J236" s="31">
        <f t="array" ref="J236">IF(ISERROR(G236/I236),"",G236/I236)</f>
        <v>51.5</v>
      </c>
      <c r="K236" s="35">
        <f t="array" ref="K236">IF(ISERROR(G236/L236),"",G236/L236)</f>
        <v>18.54</v>
      </c>
      <c r="L236" s="87">
        <v>50</v>
      </c>
      <c r="M236" s="36">
        <f t="shared" si="78"/>
        <v>-0.53999999999999915</v>
      </c>
      <c r="N236" s="93">
        <f>SUM('31:16'!N236)</f>
        <v>0</v>
      </c>
      <c r="O236" s="93">
        <f>SUM('31:16'!O236)</f>
        <v>0</v>
      </c>
      <c r="P236" s="93">
        <f>SUM('31:16'!P236)</f>
        <v>0</v>
      </c>
      <c r="Q236" s="93">
        <f>SUM('31:16'!Q236)</f>
        <v>0</v>
      </c>
      <c r="R236" s="93">
        <f>SUM('31:16'!R236)</f>
        <v>0</v>
      </c>
      <c r="S236" s="93">
        <f>SUM('31:16'!S236)</f>
        <v>0</v>
      </c>
      <c r="T236" s="93">
        <f>SUM('31:16'!T236)</f>
        <v>0</v>
      </c>
      <c r="U236" s="93">
        <f>SUM('31:16'!U236)</f>
        <v>0</v>
      </c>
      <c r="V236" s="206">
        <f t="shared" si="81"/>
        <v>0</v>
      </c>
      <c r="W236" s="33">
        <f t="shared" si="82"/>
        <v>0</v>
      </c>
      <c r="X236" s="93">
        <f>SUM('31:16'!X236)</f>
        <v>0</v>
      </c>
      <c r="Y236" s="93">
        <f>SUM('31:16'!Y236)</f>
        <v>0</v>
      </c>
      <c r="Z236" s="93">
        <f>SUM('31:16'!Z236)</f>
        <v>0</v>
      </c>
      <c r="AA236" s="93">
        <f>SUM('31:16'!AA236)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SUM('31:16'!G237)</f>
        <v>1147</v>
      </c>
      <c r="H237" s="339">
        <f t="shared" si="70"/>
        <v>5769.41</v>
      </c>
      <c r="I237" s="93">
        <f>SUM('31:16'!I237)</f>
        <v>31.5</v>
      </c>
      <c r="J237" s="31">
        <f t="array" ref="J237">IF(ISERROR(G237/I237),"",G237/I237)</f>
        <v>36.412698412698411</v>
      </c>
      <c r="K237" s="35">
        <f t="array" ref="K237">IF(ISERROR(G237/L237),"",G237/L237)</f>
        <v>22.94</v>
      </c>
      <c r="L237" s="87">
        <v>50</v>
      </c>
      <c r="M237" s="36">
        <f t="shared" si="78"/>
        <v>8.5599999999999987</v>
      </c>
      <c r="N237" s="93">
        <f>SUM('31:16'!N237)</f>
        <v>0</v>
      </c>
      <c r="O237" s="93">
        <f>SUM('31:16'!O237)</f>
        <v>0</v>
      </c>
      <c r="P237" s="93">
        <f>SUM('31:16'!P237)</f>
        <v>0</v>
      </c>
      <c r="Q237" s="93">
        <f>SUM('31:16'!Q237)</f>
        <v>0</v>
      </c>
      <c r="R237" s="93">
        <f>SUM('31:16'!R237)</f>
        <v>0</v>
      </c>
      <c r="S237" s="93">
        <f>SUM('31:16'!S237)</f>
        <v>0</v>
      </c>
      <c r="T237" s="93">
        <f>SUM('31:16'!T237)</f>
        <v>0</v>
      </c>
      <c r="U237" s="93">
        <f>SUM('31:16'!U237)</f>
        <v>0</v>
      </c>
      <c r="V237" s="206">
        <f t="shared" si="81"/>
        <v>0</v>
      </c>
      <c r="W237" s="33">
        <f t="shared" si="82"/>
        <v>0</v>
      </c>
      <c r="X237" s="93">
        <f>SUM('31:16'!X237)</f>
        <v>0</v>
      </c>
      <c r="Y237" s="93">
        <f>SUM('31:16'!Y237)</f>
        <v>0</v>
      </c>
      <c r="Z237" s="93">
        <f>SUM('31:16'!Z237)</f>
        <v>0</v>
      </c>
      <c r="AA237" s="93">
        <f>SUM('31:16'!AA237)</f>
        <v>0</v>
      </c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30100043</v>
      </c>
      <c r="B238" s="192" t="s">
        <v>429</v>
      </c>
      <c r="C238" s="187" t="s">
        <v>428</v>
      </c>
      <c r="D238" s="17">
        <v>5.03</v>
      </c>
      <c r="E238" s="17"/>
      <c r="F238" s="6"/>
      <c r="G238" s="93">
        <f>SUM('31:16'!G238)</f>
        <v>892</v>
      </c>
      <c r="H238" s="339">
        <f t="shared" si="70"/>
        <v>4486.76</v>
      </c>
      <c r="I238" s="93">
        <f>SUM('31:16'!I238)</f>
        <v>33.5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30100064</v>
      </c>
      <c r="B239" s="192" t="s">
        <v>401</v>
      </c>
      <c r="C239" s="187" t="s">
        <v>399</v>
      </c>
      <c r="D239" s="17">
        <v>5</v>
      </c>
      <c r="E239" s="17"/>
      <c r="F239" s="6"/>
      <c r="G239" s="93">
        <f>SUM('31:16'!G239)</f>
        <v>496</v>
      </c>
      <c r="H239" s="339">
        <f t="shared" si="70"/>
        <v>2480</v>
      </c>
      <c r="I239" s="93">
        <f>SUM('31:16'!I239)</f>
        <v>17</v>
      </c>
      <c r="J239" s="31"/>
      <c r="K239" s="35">
        <f t="array" ref="K239">IF(ISERROR(G239/L239),"",G239/L239)</f>
        <v>9.92</v>
      </c>
      <c r="L239" s="87">
        <v>50</v>
      </c>
      <c r="M239" s="36">
        <f t="shared" ref="M239:M250" si="83">IF(ISERROR(I239-K239),"",I239-K239)</f>
        <v>7.08</v>
      </c>
      <c r="N239" s="93">
        <f>SUM('31:16'!N239)</f>
        <v>0</v>
      </c>
      <c r="O239" s="93">
        <f>SUM('31:16'!O239)</f>
        <v>0</v>
      </c>
      <c r="P239" s="93">
        <f>SUM('31:16'!P239)</f>
        <v>0</v>
      </c>
      <c r="Q239" s="93">
        <f>SUM('31:16'!Q239)</f>
        <v>0</v>
      </c>
      <c r="R239" s="93">
        <f>SUM('31:16'!R239)</f>
        <v>0</v>
      </c>
      <c r="S239" s="93">
        <f>SUM('31:16'!S239)</f>
        <v>0</v>
      </c>
      <c r="T239" s="93">
        <f>SUM('31:16'!T239)</f>
        <v>0</v>
      </c>
      <c r="U239" s="93">
        <f>SUM('31:16'!U239)</f>
        <v>0</v>
      </c>
      <c r="V239" s="206"/>
      <c r="W239" s="33"/>
      <c r="X239" s="93">
        <f>SUM('31:16'!X239)</f>
        <v>0</v>
      </c>
      <c r="Y239" s="93">
        <f>SUM('31:16'!Y239)</f>
        <v>0</v>
      </c>
      <c r="Z239" s="93">
        <f>SUM('31:16'!Z239)</f>
        <v>0</v>
      </c>
      <c r="AA239" s="93">
        <f>SUM('31:16'!AA239)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SUM('31:16'!G240)</f>
        <v>763</v>
      </c>
      <c r="H240" s="339">
        <f t="shared" si="70"/>
        <v>3837.8900000000003</v>
      </c>
      <c r="I240" s="93">
        <f>SUM('31:16'!I240)</f>
        <v>40.5</v>
      </c>
      <c r="J240" s="31">
        <f t="array" ref="J240">IF(ISERROR(G240/I240),"",G240/I240)</f>
        <v>18.839506172839506</v>
      </c>
      <c r="K240" s="35">
        <f t="array" ref="K240">IF(ISERROR(G240/L240),"",G240/L240)</f>
        <v>35.488372093023258</v>
      </c>
      <c r="L240" s="87">
        <v>21.5</v>
      </c>
      <c r="M240" s="36">
        <f t="shared" si="83"/>
        <v>5.0116279069767415</v>
      </c>
      <c r="N240" s="93">
        <f>SUM('31:16'!N240)</f>
        <v>0</v>
      </c>
      <c r="O240" s="93">
        <f>SUM('31:16'!O240)</f>
        <v>0</v>
      </c>
      <c r="P240" s="93">
        <f>SUM('31:16'!P240)</f>
        <v>0</v>
      </c>
      <c r="Q240" s="93">
        <f>SUM('31:16'!Q240)</f>
        <v>0</v>
      </c>
      <c r="R240" s="93">
        <f>SUM('31:16'!R240)</f>
        <v>0</v>
      </c>
      <c r="S240" s="93">
        <f>SUM('31:16'!S240)</f>
        <v>0</v>
      </c>
      <c r="T240" s="93">
        <f>SUM('31:16'!T240)</f>
        <v>0</v>
      </c>
      <c r="U240" s="93">
        <f>SUM('31:16'!U240)</f>
        <v>0</v>
      </c>
      <c r="V240" s="206">
        <f t="shared" ref="V240:V241" si="84">SUM(X240:AA240)</f>
        <v>0</v>
      </c>
      <c r="W240" s="33">
        <f t="shared" ref="W240:W241" si="85">IF(ISERROR(V240/G240),"",V240/G240)</f>
        <v>0</v>
      </c>
      <c r="X240" s="93">
        <f>SUM('31:16'!X240)</f>
        <v>0</v>
      </c>
      <c r="Y240" s="93">
        <f>SUM('31:16'!Y240)</f>
        <v>0</v>
      </c>
      <c r="Z240" s="93">
        <f>SUM('31:16'!Z240)</f>
        <v>0</v>
      </c>
      <c r="AA240" s="93">
        <f>SUM('31:16'!AA240)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SUM('31:16'!G241)</f>
        <v>949</v>
      </c>
      <c r="H241" s="339">
        <f t="shared" si="70"/>
        <v>4773.47</v>
      </c>
      <c r="I241" s="93">
        <f>SUM('31:16'!I241)</f>
        <v>22</v>
      </c>
      <c r="J241" s="31">
        <f t="array" ref="J241">IF(ISERROR(G241/I241),"",G241/I241)</f>
        <v>43.136363636363633</v>
      </c>
      <c r="K241" s="35">
        <f t="array" ref="K241">IF(ISERROR(G241/L241),"",G241/L241)</f>
        <v>44.139534883720927</v>
      </c>
      <c r="L241" s="87">
        <v>21.5</v>
      </c>
      <c r="M241" s="36">
        <f t="shared" si="83"/>
        <v>-22.139534883720927</v>
      </c>
      <c r="N241" s="93">
        <f>SUM('31:16'!N241)</f>
        <v>0</v>
      </c>
      <c r="O241" s="93">
        <f>SUM('31:16'!O241)</f>
        <v>0</v>
      </c>
      <c r="P241" s="93">
        <f>SUM('31:16'!P241)</f>
        <v>0</v>
      </c>
      <c r="Q241" s="93">
        <f>SUM('31:16'!Q241)</f>
        <v>0</v>
      </c>
      <c r="R241" s="93">
        <f>SUM('31:16'!R241)</f>
        <v>0</v>
      </c>
      <c r="S241" s="93">
        <f>SUM('31:16'!S241)</f>
        <v>0</v>
      </c>
      <c r="T241" s="93">
        <f>SUM('31:16'!T241)</f>
        <v>0</v>
      </c>
      <c r="U241" s="93">
        <f>SUM('31:16'!U241)</f>
        <v>0</v>
      </c>
      <c r="V241" s="206">
        <f t="shared" si="84"/>
        <v>0</v>
      </c>
      <c r="W241" s="33">
        <f t="shared" si="85"/>
        <v>0</v>
      </c>
      <c r="X241" s="93">
        <f>SUM('31:16'!X241)</f>
        <v>0</v>
      </c>
      <c r="Y241" s="93">
        <f>SUM('31:16'!Y241)</f>
        <v>0</v>
      </c>
      <c r="Z241" s="93">
        <f>SUM('31:16'!Z241)</f>
        <v>0</v>
      </c>
      <c r="AA241" s="93">
        <f>SUM('31:16'!AA241)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/>
      <c r="B242" s="192" t="s">
        <v>360</v>
      </c>
      <c r="C242" s="187" t="s">
        <v>361</v>
      </c>
      <c r="D242" s="17"/>
      <c r="E242" s="17"/>
      <c r="F242" s="6"/>
      <c r="G242" s="93">
        <f>SUM('31:16'!G242)</f>
        <v>0</v>
      </c>
      <c r="H242" s="339">
        <f t="shared" si="70"/>
        <v>0</v>
      </c>
      <c r="I242" s="93">
        <f>SUM('31:16'!I242)</f>
        <v>0</v>
      </c>
      <c r="J242" s="31"/>
      <c r="K242" s="35"/>
      <c r="L242" s="87"/>
      <c r="M242" s="36">
        <f t="shared" si="83"/>
        <v>0</v>
      </c>
      <c r="N242" s="93">
        <f>SUM('31:16'!N242)</f>
        <v>0</v>
      </c>
      <c r="O242" s="93">
        <f>SUM('31:16'!O242)</f>
        <v>0</v>
      </c>
      <c r="P242" s="93">
        <f>SUM('31:16'!P242)</f>
        <v>0</v>
      </c>
      <c r="Q242" s="93">
        <f>SUM('31:16'!Q242)</f>
        <v>0</v>
      </c>
      <c r="R242" s="93">
        <f>SUM('31:16'!R242)</f>
        <v>0</v>
      </c>
      <c r="S242" s="93">
        <f>SUM('31:16'!S242)</f>
        <v>0</v>
      </c>
      <c r="T242" s="93">
        <f>SUM('31:16'!T242)</f>
        <v>0</v>
      </c>
      <c r="U242" s="93">
        <f>SUM('31:16'!U242)</f>
        <v>0</v>
      </c>
      <c r="V242" s="206"/>
      <c r="W242" s="33"/>
      <c r="X242" s="93">
        <f>SUM('31:16'!X242)</f>
        <v>0</v>
      </c>
      <c r="Y242" s="93">
        <f>SUM('31:16'!Y242)</f>
        <v>0</v>
      </c>
      <c r="Z242" s="93">
        <f>SUM('31:16'!Z242)</f>
        <v>0</v>
      </c>
      <c r="AA242" s="93">
        <f>SUM('31:16'!AA242)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SUM('31:16'!G243)</f>
        <v>0</v>
      </c>
      <c r="H243" s="339">
        <f t="shared" si="70"/>
        <v>0</v>
      </c>
      <c r="I243" s="93">
        <f>SUM('31:16'!I243)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SUM('31:16'!N243)</f>
        <v>0</v>
      </c>
      <c r="O243" s="93">
        <f>SUM('31:16'!O243)</f>
        <v>0</v>
      </c>
      <c r="P243" s="93">
        <f>SUM('31:16'!P243)</f>
        <v>0</v>
      </c>
      <c r="Q243" s="93">
        <f>SUM('31:16'!Q243)</f>
        <v>0</v>
      </c>
      <c r="R243" s="93">
        <f>SUM('31:16'!R243)</f>
        <v>0</v>
      </c>
      <c r="S243" s="93">
        <f>SUM('31:16'!S243)</f>
        <v>0</v>
      </c>
      <c r="T243" s="93">
        <f>SUM('31:16'!T243)</f>
        <v>0</v>
      </c>
      <c r="U243" s="93">
        <f>SUM('31:16'!U243)</f>
        <v>0</v>
      </c>
      <c r="V243" s="206">
        <f t="shared" ref="V243:V246" si="86">SUM(X243:AA243)</f>
        <v>0</v>
      </c>
      <c r="W243" s="33" t="str">
        <f t="shared" ref="W243:W246" si="87">IF(ISERROR(V243/G243),"",V243/G243)</f>
        <v/>
      </c>
      <c r="X243" s="93">
        <f>SUM('31:16'!X243)</f>
        <v>0</v>
      </c>
      <c r="Y243" s="93">
        <f>SUM('31:16'!Y243)</f>
        <v>0</v>
      </c>
      <c r="Z243" s="93">
        <f>SUM('31:16'!Z243)</f>
        <v>0</v>
      </c>
      <c r="AA243" s="93">
        <f>SUM('31:16'!AA243)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SUM('31:16'!G244)</f>
        <v>0</v>
      </c>
      <c r="H244" s="339">
        <f t="shared" si="70"/>
        <v>0</v>
      </c>
      <c r="I244" s="93">
        <f>SUM('31:16'!I244)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SUM('31:16'!N244)</f>
        <v>0</v>
      </c>
      <c r="O244" s="93">
        <f>SUM('31:16'!O244)</f>
        <v>0</v>
      </c>
      <c r="P244" s="93">
        <f>SUM('31:16'!P244)</f>
        <v>0</v>
      </c>
      <c r="Q244" s="93">
        <f>SUM('31:16'!Q244)</f>
        <v>0</v>
      </c>
      <c r="R244" s="93">
        <f>SUM('31:16'!R244)</f>
        <v>0</v>
      </c>
      <c r="S244" s="93">
        <f>SUM('31:16'!S244)</f>
        <v>0</v>
      </c>
      <c r="T244" s="93">
        <f>SUM('31:16'!T244)</f>
        <v>0</v>
      </c>
      <c r="U244" s="93">
        <f>SUM('31:16'!U244)</f>
        <v>0</v>
      </c>
      <c r="V244" s="206">
        <f t="shared" si="86"/>
        <v>0</v>
      </c>
      <c r="W244" s="33" t="str">
        <f t="shared" si="87"/>
        <v/>
      </c>
      <c r="X244" s="93">
        <f>SUM('31:16'!X244)</f>
        <v>0</v>
      </c>
      <c r="Y244" s="93">
        <f>SUM('31:16'!Y244)</f>
        <v>0</v>
      </c>
      <c r="Z244" s="93">
        <f>SUM('31:16'!Z244)</f>
        <v>0</v>
      </c>
      <c r="AA244" s="93">
        <f>SUM('31:16'!AA244)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>
      <c r="A245" s="300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SUM('31:16'!G245)</f>
        <v>0</v>
      </c>
      <c r="H245" s="339">
        <f t="shared" si="70"/>
        <v>0</v>
      </c>
      <c r="I245" s="93">
        <f>SUM('31:16'!I245)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SUM('31:16'!N245)</f>
        <v>0</v>
      </c>
      <c r="O245" s="93">
        <f>SUM('31:16'!O245)</f>
        <v>0</v>
      </c>
      <c r="P245" s="93">
        <f>SUM('31:16'!P245)</f>
        <v>0</v>
      </c>
      <c r="Q245" s="93">
        <f>SUM('31:16'!Q245)</f>
        <v>0</v>
      </c>
      <c r="R245" s="93">
        <f>SUM('31:16'!R245)</f>
        <v>0</v>
      </c>
      <c r="S245" s="93">
        <f>SUM('31:16'!S245)</f>
        <v>0</v>
      </c>
      <c r="T245" s="93">
        <f>SUM('31:16'!T245)</f>
        <v>0</v>
      </c>
      <c r="U245" s="93">
        <f>SUM('31:16'!U245)</f>
        <v>0</v>
      </c>
      <c r="V245" s="206">
        <f t="shared" si="86"/>
        <v>0</v>
      </c>
      <c r="W245" s="33" t="str">
        <f t="shared" si="87"/>
        <v/>
      </c>
      <c r="X245" s="93">
        <f>SUM('31:16'!X245)</f>
        <v>0</v>
      </c>
      <c r="Y245" s="93">
        <f>SUM('31:16'!Y245)</f>
        <v>0</v>
      </c>
      <c r="Z245" s="93">
        <f>SUM('31:16'!Z245)</f>
        <v>0</v>
      </c>
      <c r="AA245" s="93">
        <f>SUM('31:16'!AA245)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00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SUM('31:16'!G246)</f>
        <v>0</v>
      </c>
      <c r="H246" s="339">
        <f t="shared" si="70"/>
        <v>0</v>
      </c>
      <c r="I246" s="93">
        <f>SUM('31:16'!I246)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3"/>
        <v/>
      </c>
      <c r="N246" s="93">
        <f>SUM('31:16'!N246)</f>
        <v>0</v>
      </c>
      <c r="O246" s="93">
        <f>SUM('31:16'!O246)</f>
        <v>0</v>
      </c>
      <c r="P246" s="93">
        <f>SUM('31:16'!P246)</f>
        <v>0</v>
      </c>
      <c r="Q246" s="93">
        <f>SUM('31:16'!Q246)</f>
        <v>0</v>
      </c>
      <c r="R246" s="93">
        <f>SUM('31:16'!R246)</f>
        <v>0</v>
      </c>
      <c r="S246" s="93">
        <f>SUM('31:16'!S246)</f>
        <v>0</v>
      </c>
      <c r="T246" s="93">
        <f>SUM('31:16'!T246)</f>
        <v>0</v>
      </c>
      <c r="U246" s="93">
        <f>SUM('31:16'!U246)</f>
        <v>0</v>
      </c>
      <c r="V246" s="206">
        <f t="shared" si="86"/>
        <v>0</v>
      </c>
      <c r="W246" s="33" t="str">
        <f t="shared" si="87"/>
        <v/>
      </c>
      <c r="X246" s="93">
        <f>SUM('31:16'!X246)</f>
        <v>0</v>
      </c>
      <c r="Y246" s="93">
        <f>SUM('31:16'!Y246)</f>
        <v>0</v>
      </c>
      <c r="Z246" s="93">
        <f>SUM('31:16'!Z246)</f>
        <v>0</v>
      </c>
      <c r="AA246" s="93">
        <f>SUM('31:16'!AA246)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SUM('31:16'!G247)</f>
        <v>0</v>
      </c>
      <c r="H247" s="339">
        <f t="shared" si="70"/>
        <v>0</v>
      </c>
      <c r="I247" s="93">
        <f>SUM('31:16'!I247)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SUM('31:16'!N247)</f>
        <v>0</v>
      </c>
      <c r="O247" s="93">
        <f>SUM('31:16'!O247)</f>
        <v>0</v>
      </c>
      <c r="P247" s="93">
        <f>SUM('31:16'!P247)</f>
        <v>0</v>
      </c>
      <c r="Q247" s="93">
        <f>SUM('31:16'!Q247)</f>
        <v>0</v>
      </c>
      <c r="R247" s="93">
        <f>SUM('31:16'!R247)</f>
        <v>0</v>
      </c>
      <c r="S247" s="93">
        <f>SUM('31:16'!S247)</f>
        <v>0</v>
      </c>
      <c r="T247" s="93">
        <f>SUM('31:16'!T247)</f>
        <v>0</v>
      </c>
      <c r="U247" s="93">
        <f>SUM('31:16'!U247)</f>
        <v>0</v>
      </c>
      <c r="V247" s="206"/>
      <c r="W247" s="33"/>
      <c r="X247" s="93">
        <f>SUM('31:16'!X247)</f>
        <v>0</v>
      </c>
      <c r="Y247" s="93">
        <f>SUM('31:16'!Y247)</f>
        <v>0</v>
      </c>
      <c r="Z247" s="93">
        <f>SUM('31:16'!Z247)</f>
        <v>0</v>
      </c>
      <c r="AA247" s="93">
        <f>SUM('31:16'!AA247)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SUM('31:16'!G248)</f>
        <v>0</v>
      </c>
      <c r="H248" s="339">
        <f t="shared" si="70"/>
        <v>0</v>
      </c>
      <c r="I248" s="93">
        <f>SUM('31:16'!I248)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SUM('31:16'!N248)</f>
        <v>0</v>
      </c>
      <c r="O248" s="93">
        <f>SUM('31:16'!O248)</f>
        <v>0</v>
      </c>
      <c r="P248" s="93">
        <f>SUM('31:16'!P248)</f>
        <v>0</v>
      </c>
      <c r="Q248" s="93">
        <f>SUM('31:16'!Q248)</f>
        <v>0</v>
      </c>
      <c r="R248" s="93">
        <f>SUM('31:16'!R248)</f>
        <v>0</v>
      </c>
      <c r="S248" s="93">
        <f>SUM('31:16'!S248)</f>
        <v>0</v>
      </c>
      <c r="T248" s="93">
        <f>SUM('31:16'!T248)</f>
        <v>0</v>
      </c>
      <c r="U248" s="93">
        <f>SUM('31:16'!U248)</f>
        <v>0</v>
      </c>
      <c r="V248" s="206"/>
      <c r="W248" s="33"/>
      <c r="X248" s="93">
        <f>SUM('31:16'!X248)</f>
        <v>0</v>
      </c>
      <c r="Y248" s="93">
        <f>SUM('31:16'!Y248)</f>
        <v>0</v>
      </c>
      <c r="Z248" s="93">
        <f>SUM('31:16'!Z248)</f>
        <v>0</v>
      </c>
      <c r="AA248" s="93">
        <f>SUM('31:16'!AA248)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SUM('31:16'!G249)</f>
        <v>0</v>
      </c>
      <c r="H249" s="339">
        <f t="shared" si="70"/>
        <v>0</v>
      </c>
      <c r="I249" s="93">
        <f>SUM('31:16'!I249)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SUM('31:16'!N249)</f>
        <v>0</v>
      </c>
      <c r="O249" s="93">
        <f>SUM('31:16'!O249)</f>
        <v>0</v>
      </c>
      <c r="P249" s="93">
        <f>SUM('31:16'!P249)</f>
        <v>0</v>
      </c>
      <c r="Q249" s="93">
        <f>SUM('31:16'!Q249)</f>
        <v>0</v>
      </c>
      <c r="R249" s="93">
        <f>SUM('31:16'!R249)</f>
        <v>0</v>
      </c>
      <c r="S249" s="93">
        <f>SUM('31:16'!S249)</f>
        <v>0</v>
      </c>
      <c r="T249" s="93">
        <f>SUM('31:16'!T249)</f>
        <v>0</v>
      </c>
      <c r="U249" s="93">
        <f>SUM('31:16'!U249)</f>
        <v>0</v>
      </c>
      <c r="V249" s="206"/>
      <c r="W249" s="33"/>
      <c r="X249" s="93">
        <f>SUM('31:16'!X249)</f>
        <v>0</v>
      </c>
      <c r="Y249" s="93">
        <f>SUM('31:16'!Y249)</f>
        <v>0</v>
      </c>
      <c r="Z249" s="93">
        <f>SUM('31:16'!Z249)</f>
        <v>0</v>
      </c>
      <c r="AA249" s="93">
        <f>SUM('31:16'!AA249)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SUM('31:16'!G250)</f>
        <v>0</v>
      </c>
      <c r="H250" s="339">
        <f t="shared" si="70"/>
        <v>0</v>
      </c>
      <c r="I250" s="93">
        <f>SUM('31:16'!I250)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3"/>
        <v>0</v>
      </c>
      <c r="N250" s="93">
        <f>SUM('31:16'!N250)</f>
        <v>0</v>
      </c>
      <c r="O250" s="93">
        <f>SUM('31:16'!O250)</f>
        <v>0</v>
      </c>
      <c r="P250" s="93">
        <f>SUM('31:16'!P250)</f>
        <v>0</v>
      </c>
      <c r="Q250" s="93">
        <f>SUM('31:16'!Q250)</f>
        <v>0</v>
      </c>
      <c r="R250" s="93">
        <f>SUM('31:16'!R250)</f>
        <v>0</v>
      </c>
      <c r="S250" s="93">
        <f>SUM('31:16'!S250)</f>
        <v>0</v>
      </c>
      <c r="T250" s="93">
        <f>SUM('31:16'!T250)</f>
        <v>0</v>
      </c>
      <c r="U250" s="93">
        <f>SUM('31:16'!U250)</f>
        <v>0</v>
      </c>
      <c r="V250" s="206"/>
      <c r="W250" s="33"/>
      <c r="X250" s="93">
        <f>SUM('31:16'!X250)</f>
        <v>0</v>
      </c>
      <c r="Y250" s="93">
        <f>SUM('31:16'!Y250)</f>
        <v>0</v>
      </c>
      <c r="Z250" s="93">
        <f>SUM('31:16'!Z250)</f>
        <v>0</v>
      </c>
      <c r="AA250" s="93">
        <f>SUM('31:16'!AA250)</f>
        <v>0</v>
      </c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SUM('31:16'!G251)</f>
        <v>0</v>
      </c>
      <c r="H251" s="339">
        <f t="shared" si="70"/>
        <v>0</v>
      </c>
      <c r="I251" s="93">
        <f>SUM('31:16'!I251)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SUM('31:16'!G252)</f>
        <v>0</v>
      </c>
      <c r="H252" s="339">
        <f t="shared" si="70"/>
        <v>0</v>
      </c>
      <c r="I252" s="93">
        <f>SUM('31:16'!I252)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30300003</v>
      </c>
      <c r="B253" s="197" t="s">
        <v>407</v>
      </c>
      <c r="C253" s="187" t="s">
        <v>411</v>
      </c>
      <c r="D253" s="17"/>
      <c r="E253" s="17"/>
      <c r="F253" s="6"/>
      <c r="G253" s="93">
        <f>SUM('31:16'!G253)</f>
        <v>0</v>
      </c>
      <c r="H253" s="339">
        <f t="shared" si="70"/>
        <v>0</v>
      </c>
      <c r="I253" s="93">
        <f>SUM('31:16'!I253)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30300005</v>
      </c>
      <c r="B254" s="189" t="s">
        <v>363</v>
      </c>
      <c r="C254" s="16" t="s">
        <v>349</v>
      </c>
      <c r="D254" s="17"/>
      <c r="E254" s="17"/>
      <c r="F254" s="6"/>
      <c r="G254" s="93">
        <f>SUM('31:16'!G254)</f>
        <v>0</v>
      </c>
      <c r="H254" s="339">
        <f t="shared" si="70"/>
        <v>0</v>
      </c>
      <c r="I254" s="93">
        <f>SUM('31:16'!I254)</f>
        <v>0</v>
      </c>
      <c r="J254" s="31"/>
      <c r="K254" s="35"/>
      <c r="L254" s="87">
        <v>4</v>
      </c>
      <c r="M254" s="36"/>
      <c r="N254" s="31"/>
      <c r="O254" s="93">
        <f>SUM('31:16'!O254)</f>
        <v>0</v>
      </c>
      <c r="P254" s="93">
        <f>SUM('31:16'!P254)</f>
        <v>0</v>
      </c>
      <c r="Q254" s="93">
        <f>SUM('31:16'!Q254)</f>
        <v>0</v>
      </c>
      <c r="R254" s="93">
        <f>SUM('31:16'!R254)</f>
        <v>0</v>
      </c>
      <c r="S254" s="93">
        <f>SUM('31:16'!S254)</f>
        <v>0</v>
      </c>
      <c r="T254" s="93">
        <f>SUM('31:16'!T254)</f>
        <v>0</v>
      </c>
      <c r="U254" s="93">
        <f>SUM('31:16'!U254)</f>
        <v>0</v>
      </c>
      <c r="V254" s="206"/>
      <c r="W254" s="33"/>
      <c r="X254" s="93">
        <f>SUM('31:16'!X254)</f>
        <v>0</v>
      </c>
      <c r="Y254" s="93">
        <f>SUM('31:16'!Y254)</f>
        <v>0</v>
      </c>
      <c r="Z254" s="93">
        <f>SUM('31:16'!Z254)</f>
        <v>0</v>
      </c>
      <c r="AA254" s="93">
        <f>SUM('31:16'!AA254)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30300004</v>
      </c>
      <c r="B255" s="189" t="s">
        <v>363</v>
      </c>
      <c r="C255" s="16" t="s">
        <v>350</v>
      </c>
      <c r="D255" s="17"/>
      <c r="E255" s="17"/>
      <c r="F255" s="6"/>
      <c r="G255" s="93">
        <f>SUM('31:16'!G255)</f>
        <v>0</v>
      </c>
      <c r="H255" s="339">
        <f t="shared" si="70"/>
        <v>0</v>
      </c>
      <c r="I255" s="93">
        <f>SUM('31:16'!I255)</f>
        <v>0</v>
      </c>
      <c r="J255" s="31"/>
      <c r="K255" s="35"/>
      <c r="L255" s="87">
        <v>4</v>
      </c>
      <c r="M255" s="36"/>
      <c r="N255" s="31"/>
      <c r="O255" s="93">
        <f>SUM('31:16'!O255)</f>
        <v>0</v>
      </c>
      <c r="P255" s="93">
        <f>SUM('31:16'!P255)</f>
        <v>0</v>
      </c>
      <c r="Q255" s="93">
        <f>SUM('31:16'!Q255)</f>
        <v>0</v>
      </c>
      <c r="R255" s="93">
        <f>SUM('31:16'!R255)</f>
        <v>0</v>
      </c>
      <c r="S255" s="93">
        <f>SUM('31:16'!S255)</f>
        <v>0</v>
      </c>
      <c r="T255" s="93">
        <f>SUM('31:16'!T255)</f>
        <v>0</v>
      </c>
      <c r="U255" s="93">
        <f>SUM('31:16'!U255)</f>
        <v>0</v>
      </c>
      <c r="V255" s="206"/>
      <c r="W255" s="33"/>
      <c r="X255" s="93">
        <f>SUM('31:16'!X255)</f>
        <v>0</v>
      </c>
      <c r="Y255" s="93">
        <f>SUM('31:16'!Y255)</f>
        <v>0</v>
      </c>
      <c r="Z255" s="93">
        <f>SUM('31:16'!Z255)</f>
        <v>0</v>
      </c>
      <c r="AA255" s="93">
        <f>SUM('31:16'!AA255)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302">
        <v>30300006</v>
      </c>
      <c r="B256" s="189" t="s">
        <v>363</v>
      </c>
      <c r="C256" s="16" t="s">
        <v>351</v>
      </c>
      <c r="D256" s="17"/>
      <c r="E256" s="17"/>
      <c r="F256" s="6"/>
      <c r="G256" s="93">
        <f>SUM('31:16'!G256)</f>
        <v>0</v>
      </c>
      <c r="H256" s="339">
        <f t="shared" si="70"/>
        <v>0</v>
      </c>
      <c r="I256" s="93">
        <f>SUM('31:16'!I256)</f>
        <v>0</v>
      </c>
      <c r="J256" s="31"/>
      <c r="K256" s="35"/>
      <c r="L256" s="87">
        <v>4</v>
      </c>
      <c r="M256" s="36"/>
      <c r="N256" s="31"/>
      <c r="O256" s="93">
        <f>SUM('31:16'!O256)</f>
        <v>0</v>
      </c>
      <c r="P256" s="93">
        <f>SUM('31:16'!P256)</f>
        <v>0</v>
      </c>
      <c r="Q256" s="93">
        <f>SUM('31:16'!Q256)</f>
        <v>0</v>
      </c>
      <c r="R256" s="93">
        <f>SUM('31:16'!R256)</f>
        <v>0</v>
      </c>
      <c r="S256" s="93">
        <f>SUM('31:16'!S256)</f>
        <v>0</v>
      </c>
      <c r="T256" s="93">
        <f>SUM('31:16'!T256)</f>
        <v>0</v>
      </c>
      <c r="U256" s="93">
        <f>SUM('31:16'!U256)</f>
        <v>0</v>
      </c>
      <c r="V256" s="206"/>
      <c r="W256" s="33"/>
      <c r="X256" s="93">
        <f>SUM('31:16'!X256)</f>
        <v>0</v>
      </c>
      <c r="Y256" s="93">
        <f>SUM('31:16'!Y256)</f>
        <v>0</v>
      </c>
      <c r="Z256" s="93">
        <f>SUM('31:16'!Z256)</f>
        <v>0</v>
      </c>
      <c r="AA256" s="93">
        <f>SUM('31:16'!AA256)</f>
        <v>0</v>
      </c>
      <c r="AB256" s="73"/>
      <c r="AC256" s="54"/>
      <c r="AD256" s="346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739" t="s">
        <v>86</v>
      </c>
      <c r="B257" s="739"/>
      <c r="C257" s="342" t="s">
        <v>71</v>
      </c>
      <c r="D257" s="20"/>
      <c r="E257" s="20"/>
      <c r="F257" s="32"/>
      <c r="G257" s="94">
        <f>SUM(G200:G256)</f>
        <v>41443</v>
      </c>
      <c r="H257" s="30">
        <f>SUM(H200:H256)</f>
        <v>208989.25999999998</v>
      </c>
      <c r="I257" s="30">
        <f>SUM(I200:I256)</f>
        <v>1184.25</v>
      </c>
      <c r="J257" s="31">
        <f t="array" ref="J257">IF(ISERROR(G257/I257),"",G257/I257)</f>
        <v>34.9951446062909</v>
      </c>
      <c r="K257" s="30">
        <f>SUM(K200:K256)</f>
        <v>1054.0371987960359</v>
      </c>
      <c r="L257" s="98"/>
      <c r="M257" s="89">
        <f t="shared" ref="M257:V257" si="88">SUM(M200:M256)</f>
        <v>33.712801203963991</v>
      </c>
      <c r="N257" s="30">
        <f t="shared" si="88"/>
        <v>0</v>
      </c>
      <c r="O257" s="91">
        <f t="shared" si="88"/>
        <v>0</v>
      </c>
      <c r="P257" s="91">
        <f t="shared" si="88"/>
        <v>0</v>
      </c>
      <c r="Q257" s="91">
        <f t="shared" si="88"/>
        <v>0</v>
      </c>
      <c r="R257" s="91">
        <f t="shared" si="88"/>
        <v>0</v>
      </c>
      <c r="S257" s="92">
        <f t="shared" si="88"/>
        <v>0</v>
      </c>
      <c r="T257" s="91">
        <f t="shared" si="88"/>
        <v>0</v>
      </c>
      <c r="U257" s="91">
        <f t="shared" si="88"/>
        <v>0</v>
      </c>
      <c r="V257" s="206">
        <f t="shared" si="88"/>
        <v>0</v>
      </c>
      <c r="W257" s="33">
        <f t="shared" ref="W257:W264" si="89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75"/>
      <c r="AC257" s="70"/>
      <c r="AD257" s="346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SUM('31:16'!G258)</f>
        <v>0</v>
      </c>
      <c r="H258" s="339">
        <f>D258*G258</f>
        <v>0</v>
      </c>
      <c r="I258" s="93">
        <f>SUM('31:16'!I258)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0">IF(ISERROR(I258-K258),"",I258-K258)</f>
        <v>0</v>
      </c>
      <c r="N258" s="31">
        <f t="shared" ref="N258:N265" si="91">SUM(O258:U258)</f>
        <v>0</v>
      </c>
      <c r="O258" s="93">
        <f>SUM('31:16'!O258)</f>
        <v>0</v>
      </c>
      <c r="P258" s="93">
        <f>SUM('31:16'!P258)</f>
        <v>0</v>
      </c>
      <c r="Q258" s="93">
        <f>SUM('31:16'!Q258)</f>
        <v>0</v>
      </c>
      <c r="R258" s="93">
        <f>SUM('31:16'!R258)</f>
        <v>0</v>
      </c>
      <c r="S258" s="93">
        <f>SUM('31:16'!S258)</f>
        <v>0</v>
      </c>
      <c r="T258" s="93">
        <f>SUM('31:16'!T258)</f>
        <v>0</v>
      </c>
      <c r="U258" s="93">
        <f>SUM('31:16'!U258)</f>
        <v>0</v>
      </c>
      <c r="V258" s="206">
        <f t="shared" ref="V258:V264" si="92">SUM(X258:AA258)</f>
        <v>0</v>
      </c>
      <c r="W258" s="33" t="str">
        <f t="shared" si="89"/>
        <v/>
      </c>
      <c r="X258" s="93">
        <f>SUM('31:16'!X258)</f>
        <v>0</v>
      </c>
      <c r="Y258" s="93">
        <f>SUM('31:16'!Y258)</f>
        <v>0</v>
      </c>
      <c r="Z258" s="93">
        <f>SUM('31:16'!Z258)</f>
        <v>0</v>
      </c>
      <c r="AA258" s="93">
        <f>SUM('31:16'!AA258)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SUM('31:16'!G259)</f>
        <v>0</v>
      </c>
      <c r="H259" s="339">
        <f t="shared" ref="H259:H291" si="93">D259*G259</f>
        <v>0</v>
      </c>
      <c r="I259" s="93">
        <f>SUM('31:16'!I259)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SUM('31:16'!O259)</f>
        <v>0</v>
      </c>
      <c r="P259" s="93">
        <f>SUM('31:16'!P259)</f>
        <v>0</v>
      </c>
      <c r="Q259" s="93">
        <f>SUM('31:16'!Q259)</f>
        <v>0</v>
      </c>
      <c r="R259" s="93">
        <f>SUM('31:16'!R259)</f>
        <v>0</v>
      </c>
      <c r="S259" s="93">
        <f>SUM('31:16'!S259)</f>
        <v>0</v>
      </c>
      <c r="T259" s="93">
        <f>SUM('31:16'!T259)</f>
        <v>0</v>
      </c>
      <c r="U259" s="93">
        <f>SUM('31:16'!U259)</f>
        <v>0</v>
      </c>
      <c r="V259" s="206">
        <f t="shared" si="92"/>
        <v>0</v>
      </c>
      <c r="W259" s="33" t="str">
        <f t="shared" si="89"/>
        <v/>
      </c>
      <c r="X259" s="93">
        <f>SUM('31:16'!X259)</f>
        <v>0</v>
      </c>
      <c r="Y259" s="93">
        <f>SUM('31:16'!Y259)</f>
        <v>0</v>
      </c>
      <c r="Z259" s="93">
        <f>SUM('31:16'!Z259)</f>
        <v>0</v>
      </c>
      <c r="AA259" s="93">
        <f>SUM('31:16'!AA259)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SUM('31:16'!G260)</f>
        <v>28</v>
      </c>
      <c r="H260" s="339">
        <f t="shared" si="93"/>
        <v>140.84</v>
      </c>
      <c r="I260" s="93">
        <f>SUM('31:16'!I260)</f>
        <v>3</v>
      </c>
      <c r="J260" s="31">
        <f t="array" ref="J260">IF(ISERROR(G260/I260),"",G260/I260)</f>
        <v>9.3333333333333339</v>
      </c>
      <c r="K260" s="35">
        <f t="array" ref="K260">IF(ISERROR(G260/L260),"",G260/L260)</f>
        <v>3.1818181818181817</v>
      </c>
      <c r="L260" s="87">
        <v>8.8000000000000007</v>
      </c>
      <c r="M260" s="36">
        <f t="shared" si="90"/>
        <v>-0.18181818181818166</v>
      </c>
      <c r="N260" s="31">
        <f t="shared" si="91"/>
        <v>0</v>
      </c>
      <c r="O260" s="93">
        <f>SUM('31:16'!O260)</f>
        <v>0</v>
      </c>
      <c r="P260" s="93">
        <f>SUM('31:16'!P260)</f>
        <v>0</v>
      </c>
      <c r="Q260" s="93">
        <f>SUM('31:16'!Q260)</f>
        <v>0</v>
      </c>
      <c r="R260" s="93">
        <f>SUM('31:16'!R260)</f>
        <v>0</v>
      </c>
      <c r="S260" s="93">
        <f>SUM('31:16'!S260)</f>
        <v>0</v>
      </c>
      <c r="T260" s="93">
        <f>SUM('31:16'!T260)</f>
        <v>0</v>
      </c>
      <c r="U260" s="93">
        <f>SUM('31:16'!U260)</f>
        <v>0</v>
      </c>
      <c r="V260" s="206">
        <f t="shared" si="92"/>
        <v>0</v>
      </c>
      <c r="W260" s="33">
        <f t="shared" si="89"/>
        <v>0</v>
      </c>
      <c r="X260" s="93">
        <f>SUM('31:16'!X260)</f>
        <v>0</v>
      </c>
      <c r="Y260" s="93">
        <f>SUM('31:16'!Y260)</f>
        <v>0</v>
      </c>
      <c r="Z260" s="93">
        <f>SUM('31:16'!Z260)</f>
        <v>0</v>
      </c>
      <c r="AA260" s="93">
        <f>SUM('31:16'!AA260)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SUM('31:16'!G261)</f>
        <v>0</v>
      </c>
      <c r="H261" s="339">
        <f t="shared" si="93"/>
        <v>0</v>
      </c>
      <c r="I261" s="93">
        <f>SUM('31:16'!I261)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0"/>
        <v>0</v>
      </c>
      <c r="N261" s="31">
        <f t="shared" si="91"/>
        <v>0</v>
      </c>
      <c r="O261" s="93">
        <f>SUM('31:16'!O261)</f>
        <v>0</v>
      </c>
      <c r="P261" s="93">
        <f>SUM('31:16'!P261)</f>
        <v>0</v>
      </c>
      <c r="Q261" s="93">
        <f>SUM('31:16'!Q261)</f>
        <v>0</v>
      </c>
      <c r="R261" s="93">
        <f>SUM('31:16'!R261)</f>
        <v>0</v>
      </c>
      <c r="S261" s="93">
        <f>SUM('31:16'!S261)</f>
        <v>0</v>
      </c>
      <c r="T261" s="93">
        <f>SUM('31:16'!T261)</f>
        <v>0</v>
      </c>
      <c r="U261" s="93">
        <f>SUM('31:16'!U261)</f>
        <v>0</v>
      </c>
      <c r="V261" s="206">
        <f t="shared" si="92"/>
        <v>0</v>
      </c>
      <c r="W261" s="33" t="str">
        <f t="shared" si="89"/>
        <v/>
      </c>
      <c r="X261" s="93">
        <f>SUM('31:16'!X261)</f>
        <v>0</v>
      </c>
      <c r="Y261" s="93">
        <f>SUM('31:16'!Y261)</f>
        <v>0</v>
      </c>
      <c r="Z261" s="93">
        <f>SUM('31:16'!Z261)</f>
        <v>0</v>
      </c>
      <c r="AA261" s="93">
        <f>SUM('31:16'!AA261)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SUM('31:16'!G262)</f>
        <v>218</v>
      </c>
      <c r="H262" s="339">
        <f t="shared" si="93"/>
        <v>1096.54</v>
      </c>
      <c r="I262" s="93">
        <f>SUM('31:16'!I262)</f>
        <v>31.5</v>
      </c>
      <c r="J262" s="31">
        <f t="array" ref="J262">IF(ISERROR(G262/I262),"",G262/I262)</f>
        <v>6.9206349206349209</v>
      </c>
      <c r="K262" s="35">
        <f t="array" ref="K262">IF(ISERROR(G262/L262),"",G262/L262)</f>
        <v>23.44086021505376</v>
      </c>
      <c r="L262" s="87">
        <v>9.3000000000000007</v>
      </c>
      <c r="M262" s="36">
        <f t="shared" si="90"/>
        <v>8.0591397849462396</v>
      </c>
      <c r="N262" s="31">
        <f t="shared" si="91"/>
        <v>0</v>
      </c>
      <c r="O262" s="93">
        <f>SUM('31:16'!O262)</f>
        <v>0</v>
      </c>
      <c r="P262" s="93">
        <f>SUM('31:16'!P262)</f>
        <v>0</v>
      </c>
      <c r="Q262" s="93">
        <f>SUM('31:16'!Q262)</f>
        <v>0</v>
      </c>
      <c r="R262" s="93">
        <f>SUM('31:16'!R262)</f>
        <v>0</v>
      </c>
      <c r="S262" s="93">
        <f>SUM('31:16'!S262)</f>
        <v>0</v>
      </c>
      <c r="T262" s="93">
        <f>SUM('31:16'!T262)</f>
        <v>0</v>
      </c>
      <c r="U262" s="93">
        <f>SUM('31:16'!U262)</f>
        <v>0</v>
      </c>
      <c r="V262" s="206">
        <f t="shared" si="92"/>
        <v>0</v>
      </c>
      <c r="W262" s="33">
        <f t="shared" si="89"/>
        <v>0</v>
      </c>
      <c r="X262" s="93">
        <f>SUM('31:16'!X262)</f>
        <v>0</v>
      </c>
      <c r="Y262" s="93">
        <f>SUM('31:16'!Y262)</f>
        <v>0</v>
      </c>
      <c r="Z262" s="93">
        <f>SUM('31:16'!Z262)</f>
        <v>0</v>
      </c>
      <c r="AA262" s="93">
        <f>SUM('31:16'!AA262)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SUM('31:16'!G263)</f>
        <v>186</v>
      </c>
      <c r="H263" s="339">
        <f t="shared" si="93"/>
        <v>935.58</v>
      </c>
      <c r="I263" s="93">
        <f>SUM('31:16'!I263)</f>
        <v>32</v>
      </c>
      <c r="J263" s="31">
        <f t="array" ref="J263">IF(ISERROR(G263/I263),"",G263/I263)</f>
        <v>5.8125</v>
      </c>
      <c r="K263" s="35">
        <f t="array" ref="K263">IF(ISERROR(G263/L263),"",G263/L263)</f>
        <v>20</v>
      </c>
      <c r="L263" s="87">
        <v>9.3000000000000007</v>
      </c>
      <c r="M263" s="36">
        <f t="shared" si="90"/>
        <v>12</v>
      </c>
      <c r="N263" s="31">
        <f t="shared" si="91"/>
        <v>0</v>
      </c>
      <c r="O263" s="93">
        <f>SUM('31:16'!O263)</f>
        <v>0</v>
      </c>
      <c r="P263" s="93">
        <f>SUM('31:16'!P263)</f>
        <v>0</v>
      </c>
      <c r="Q263" s="93">
        <f>SUM('31:16'!Q263)</f>
        <v>0</v>
      </c>
      <c r="R263" s="93">
        <f>SUM('31:16'!R263)</f>
        <v>0</v>
      </c>
      <c r="S263" s="93">
        <f>SUM('31:16'!S263)</f>
        <v>0</v>
      </c>
      <c r="T263" s="93">
        <f>SUM('31:16'!T263)</f>
        <v>0</v>
      </c>
      <c r="U263" s="93">
        <f>SUM('31:16'!U263)</f>
        <v>0</v>
      </c>
      <c r="V263" s="206">
        <f t="shared" si="92"/>
        <v>0</v>
      </c>
      <c r="W263" s="33">
        <f t="shared" si="89"/>
        <v>0</v>
      </c>
      <c r="X263" s="93">
        <f>SUM('31:16'!X263)</f>
        <v>0</v>
      </c>
      <c r="Y263" s="93">
        <f>SUM('31:16'!Y263)</f>
        <v>0</v>
      </c>
      <c r="Z263" s="93">
        <f>SUM('31:16'!Z263)</f>
        <v>0</v>
      </c>
      <c r="AA263" s="93">
        <f>SUM('31:16'!AA263)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SUM('31:16'!G264)</f>
        <v>210</v>
      </c>
      <c r="H264" s="339">
        <f t="shared" si="93"/>
        <v>1056.3</v>
      </c>
      <c r="I264" s="93">
        <f>SUM('31:16'!I264)</f>
        <v>33</v>
      </c>
      <c r="J264" s="31">
        <f t="array" ref="J264">IF(ISERROR(G264/I264),"",G264/I264)</f>
        <v>6.3636363636363633</v>
      </c>
      <c r="K264" s="35">
        <f t="array" ref="K264">IF(ISERROR(G264/L264),"",G264/L264)</f>
        <v>22.58064516129032</v>
      </c>
      <c r="L264" s="87">
        <v>9.3000000000000007</v>
      </c>
      <c r="M264" s="36">
        <f t="shared" si="90"/>
        <v>10.41935483870968</v>
      </c>
      <c r="N264" s="31">
        <f t="shared" si="91"/>
        <v>0</v>
      </c>
      <c r="O264" s="93">
        <f>SUM('31:16'!O264)</f>
        <v>0</v>
      </c>
      <c r="P264" s="93">
        <f>SUM('31:16'!P264)</f>
        <v>0</v>
      </c>
      <c r="Q264" s="93">
        <f>SUM('31:16'!Q264)</f>
        <v>0</v>
      </c>
      <c r="R264" s="93">
        <f>SUM('31:16'!R264)</f>
        <v>0</v>
      </c>
      <c r="S264" s="93">
        <f>SUM('31:16'!S264)</f>
        <v>0</v>
      </c>
      <c r="T264" s="93">
        <f>SUM('31:16'!T264)</f>
        <v>0</v>
      </c>
      <c r="U264" s="93">
        <f>SUM('31:16'!U264)</f>
        <v>0</v>
      </c>
      <c r="V264" s="206">
        <f t="shared" si="92"/>
        <v>0</v>
      </c>
      <c r="W264" s="33">
        <f t="shared" si="89"/>
        <v>0</v>
      </c>
      <c r="X264" s="93">
        <f>SUM('31:16'!X264)</f>
        <v>0</v>
      </c>
      <c r="Y264" s="93">
        <f>SUM('31:16'!Y264)</f>
        <v>0</v>
      </c>
      <c r="Z264" s="93">
        <f>SUM('31:16'!Z264)</f>
        <v>0</v>
      </c>
      <c r="AA264" s="93">
        <f>SUM('31:16'!AA264)</f>
        <v>0</v>
      </c>
      <c r="AB264" s="73"/>
      <c r="AC264" s="54"/>
      <c r="AD264" s="346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>
      <c r="A265" s="299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SUM('31:16'!G265)</f>
        <v>96</v>
      </c>
      <c r="H265" s="339">
        <f t="shared" si="93"/>
        <v>482.88</v>
      </c>
      <c r="I265" s="93">
        <f>SUM('31:16'!I265)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0"/>
        <v>0.67741935483870996</v>
      </c>
      <c r="N265" s="31">
        <f t="shared" si="91"/>
        <v>0</v>
      </c>
      <c r="O265" s="93">
        <f>SUM('31:16'!O265)</f>
        <v>0</v>
      </c>
      <c r="P265" s="93">
        <f>SUM('31:16'!P265)</f>
        <v>0</v>
      </c>
      <c r="Q265" s="93">
        <f>SUM('31:16'!Q265)</f>
        <v>0</v>
      </c>
      <c r="R265" s="93">
        <f>SUM('31:16'!R265)</f>
        <v>0</v>
      </c>
      <c r="S265" s="93">
        <f>SUM('31:16'!S265)</f>
        <v>0</v>
      </c>
      <c r="T265" s="93">
        <f>SUM('31:16'!T265)</f>
        <v>0</v>
      </c>
      <c r="U265" s="93">
        <f>SUM('31:16'!U265)</f>
        <v>0</v>
      </c>
      <c r="V265" s="207"/>
      <c r="W265" s="33"/>
      <c r="X265" s="93">
        <f>SUM('31:16'!X265)</f>
        <v>0</v>
      </c>
      <c r="Y265" s="93">
        <f>SUM('31:16'!Y265)</f>
        <v>0</v>
      </c>
      <c r="Z265" s="93">
        <f>SUM('31:16'!Z265)</f>
        <v>0</v>
      </c>
      <c r="AA265" s="93">
        <f>SUM('31:16'!AA265)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SUM('31:16'!G266)</f>
        <v>0</v>
      </c>
      <c r="H266" s="339">
        <f t="shared" si="93"/>
        <v>0</v>
      </c>
      <c r="I266" s="93">
        <f>SUM('31:16'!I266)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SUM('31:16'!O266)</f>
        <v>0</v>
      </c>
      <c r="P266" s="93">
        <f>SUM('31:16'!P266)</f>
        <v>0</v>
      </c>
      <c r="Q266" s="93">
        <f>SUM('31:16'!Q266)</f>
        <v>0</v>
      </c>
      <c r="R266" s="93">
        <f>SUM('31:16'!R266)</f>
        <v>0</v>
      </c>
      <c r="S266" s="93">
        <f>SUM('31:16'!S266)</f>
        <v>0</v>
      </c>
      <c r="T266" s="93">
        <f>SUM('31:16'!T266)</f>
        <v>0</v>
      </c>
      <c r="U266" s="93">
        <f>SUM('31:16'!U266)</f>
        <v>0</v>
      </c>
      <c r="V266" s="207">
        <f>SUM(X266:AA266)</f>
        <v>0</v>
      </c>
      <c r="W266" s="33" t="str">
        <f>IF(ISERROR(V266/G266),"",V266/G266)</f>
        <v/>
      </c>
      <c r="X266" s="93">
        <f>SUM('31:16'!X266)</f>
        <v>0</v>
      </c>
      <c r="Y266" s="93">
        <f>SUM('31:16'!Y266)</f>
        <v>0</v>
      </c>
      <c r="Z266" s="93">
        <f>SUM('31:16'!Z266)</f>
        <v>0</v>
      </c>
      <c r="AA266" s="93">
        <f>SUM('31:16'!AA266)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SUM('31:16'!G267)</f>
        <v>0</v>
      </c>
      <c r="H267" s="339">
        <f t="shared" si="93"/>
        <v>0</v>
      </c>
      <c r="I267" s="93">
        <f>SUM('31:16'!I267)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SUM('31:16'!O267)</f>
        <v>0</v>
      </c>
      <c r="P267" s="93">
        <f>SUM('31:16'!P267)</f>
        <v>0</v>
      </c>
      <c r="Q267" s="93">
        <f>SUM('31:16'!Q267)</f>
        <v>0</v>
      </c>
      <c r="R267" s="93">
        <f>SUM('31:16'!R267)</f>
        <v>0</v>
      </c>
      <c r="S267" s="93">
        <f>SUM('31:16'!S267)</f>
        <v>0</v>
      </c>
      <c r="T267" s="93">
        <f>SUM('31:16'!T267)</f>
        <v>0</v>
      </c>
      <c r="U267" s="93">
        <f>SUM('31:16'!U267)</f>
        <v>0</v>
      </c>
      <c r="V267" s="207">
        <f>SUM(X267:AA267)</f>
        <v>0</v>
      </c>
      <c r="W267" s="33" t="str">
        <f>IF(ISERROR(V267/G267),"",V267/G267)</f>
        <v/>
      </c>
      <c r="X267" s="93">
        <f>SUM('31:16'!X267)</f>
        <v>0</v>
      </c>
      <c r="Y267" s="93">
        <f>SUM('31:16'!Y267)</f>
        <v>0</v>
      </c>
      <c r="Z267" s="93">
        <f>SUM('31:16'!Z267)</f>
        <v>0</v>
      </c>
      <c r="AA267" s="93">
        <f>SUM('31:16'!AA267)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SUM('31:16'!G268)</f>
        <v>0</v>
      </c>
      <c r="H268" s="339">
        <f t="shared" si="93"/>
        <v>0</v>
      </c>
      <c r="I268" s="93">
        <f>SUM('31:16'!I268)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SUM('31:16'!O268)</f>
        <v>0</v>
      </c>
      <c r="P268" s="93">
        <f>SUM('31:16'!P268)</f>
        <v>0</v>
      </c>
      <c r="Q268" s="93">
        <f>SUM('31:16'!Q268)</f>
        <v>0</v>
      </c>
      <c r="R268" s="93">
        <f>SUM('31:16'!R268)</f>
        <v>0</v>
      </c>
      <c r="S268" s="93">
        <f>SUM('31:16'!S268)</f>
        <v>0</v>
      </c>
      <c r="T268" s="93">
        <f>SUM('31:16'!T268)</f>
        <v>0</v>
      </c>
      <c r="U268" s="93">
        <f>SUM('31:16'!U268)</f>
        <v>0</v>
      </c>
      <c r="V268" s="207">
        <f>SUM(X268:AA268)</f>
        <v>0</v>
      </c>
      <c r="W268" s="33" t="str">
        <f>IF(ISERROR(V268/G268),"",V268/G268)</f>
        <v/>
      </c>
      <c r="X268" s="93">
        <f>SUM('31:16'!X268)</f>
        <v>0</v>
      </c>
      <c r="Y268" s="93">
        <f>SUM('31:16'!Y268)</f>
        <v>0</v>
      </c>
      <c r="Z268" s="93">
        <f>SUM('31:16'!Z268)</f>
        <v>0</v>
      </c>
      <c r="AA268" s="93">
        <f>SUM('31:16'!AA268)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SUM('31:16'!G269)</f>
        <v>0</v>
      </c>
      <c r="H269" s="339">
        <f t="shared" si="93"/>
        <v>0</v>
      </c>
      <c r="I269" s="93">
        <f>SUM('31:16'!I269)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SUM('31:16'!O269)</f>
        <v>0</v>
      </c>
      <c r="P269" s="93">
        <f>SUM('31:16'!P269)</f>
        <v>0</v>
      </c>
      <c r="Q269" s="93">
        <f>SUM('31:16'!Q269)</f>
        <v>0</v>
      </c>
      <c r="R269" s="93">
        <f>SUM('31:16'!R269)</f>
        <v>0</v>
      </c>
      <c r="S269" s="93">
        <f>SUM('31:16'!S269)</f>
        <v>0</v>
      </c>
      <c r="T269" s="93">
        <f>SUM('31:16'!T269)</f>
        <v>0</v>
      </c>
      <c r="U269" s="93">
        <f>SUM('31:16'!U269)</f>
        <v>0</v>
      </c>
      <c r="V269" s="207">
        <f>SUM(X269:AA269)</f>
        <v>0</v>
      </c>
      <c r="W269" s="33" t="str">
        <f>IF(ISERROR(V269/G269),"",V269/G269)</f>
        <v/>
      </c>
      <c r="X269" s="93">
        <f>SUM('31:16'!X269)</f>
        <v>0</v>
      </c>
      <c r="Y269" s="93">
        <f>SUM('31:16'!Y269)</f>
        <v>0</v>
      </c>
      <c r="Z269" s="93">
        <f>SUM('31:16'!Z269)</f>
        <v>0</v>
      </c>
      <c r="AA269" s="93">
        <f>SUM('31:16'!AA269)</f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>
      <c r="A270" s="304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SUM('31:16'!G270)</f>
        <v>0</v>
      </c>
      <c r="H270" s="339">
        <f t="shared" si="93"/>
        <v>0</v>
      </c>
      <c r="I270" s="93">
        <f>SUM('31:16'!I270)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4">IF(ISERROR(I270-K270),"",I270-K270)</f>
        <v>0</v>
      </c>
      <c r="N270" s="31">
        <f t="shared" ref="N270:N285" si="95">SUM(O270:U270)</f>
        <v>0</v>
      </c>
      <c r="O270" s="93">
        <f>SUM('31:16'!O270)</f>
        <v>0</v>
      </c>
      <c r="P270" s="93">
        <f>SUM('31:16'!P270)</f>
        <v>0</v>
      </c>
      <c r="Q270" s="93">
        <f>SUM('31:16'!Q270)</f>
        <v>0</v>
      </c>
      <c r="R270" s="93">
        <f>SUM('31:16'!R270)</f>
        <v>0</v>
      </c>
      <c r="S270" s="93">
        <f>SUM('31:16'!S270)</f>
        <v>0</v>
      </c>
      <c r="T270" s="93">
        <f>SUM('31:16'!T270)</f>
        <v>0</v>
      </c>
      <c r="U270" s="93">
        <f>SUM('31:16'!U270)</f>
        <v>0</v>
      </c>
      <c r="V270" s="206">
        <f t="shared" ref="V270:V277" si="96">SUM(X270:AA270)</f>
        <v>0</v>
      </c>
      <c r="W270" s="33" t="str">
        <f t="shared" ref="W270:W277" si="97">IF(ISERROR(V270/G270),"",V270/G270)</f>
        <v/>
      </c>
      <c r="X270" s="93">
        <f>SUM('31:16'!X270)</f>
        <v>0</v>
      </c>
      <c r="Y270" s="93">
        <f>SUM('31:16'!Y270)</f>
        <v>0</v>
      </c>
      <c r="Z270" s="93">
        <f>SUM('31:16'!Z270)</f>
        <v>0</v>
      </c>
      <c r="AA270" s="93">
        <f>SUM('31:16'!AA270)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72</v>
      </c>
      <c r="D271" s="17">
        <v>5.03</v>
      </c>
      <c r="E271" s="17"/>
      <c r="F271" s="6"/>
      <c r="G271" s="93">
        <f>SUM('31:16'!G271)</f>
        <v>0</v>
      </c>
      <c r="H271" s="339">
        <f t="shared" si="93"/>
        <v>0</v>
      </c>
      <c r="I271" s="93">
        <f>SUM('31:16'!I271)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SUM('31:16'!O271)</f>
        <v>0</v>
      </c>
      <c r="P271" s="93">
        <f>SUM('31:16'!P271)</f>
        <v>0</v>
      </c>
      <c r="Q271" s="93">
        <f>SUM('31:16'!Q271)</f>
        <v>0</v>
      </c>
      <c r="R271" s="93">
        <f>SUM('31:16'!R271)</f>
        <v>0</v>
      </c>
      <c r="S271" s="93">
        <f>SUM('31:16'!S271)</f>
        <v>0</v>
      </c>
      <c r="T271" s="93">
        <f>SUM('31:16'!T271)</f>
        <v>0</v>
      </c>
      <c r="U271" s="93">
        <f>SUM('31:16'!U271)</f>
        <v>0</v>
      </c>
      <c r="V271" s="206">
        <f t="shared" si="96"/>
        <v>0</v>
      </c>
      <c r="W271" s="33" t="str">
        <f t="shared" si="97"/>
        <v/>
      </c>
      <c r="X271" s="93">
        <f>SUM('31:16'!X271)</f>
        <v>0</v>
      </c>
      <c r="Y271" s="93">
        <f>SUM('31:16'!Y271)</f>
        <v>0</v>
      </c>
      <c r="Z271" s="93">
        <f>SUM('31:16'!Z271)</f>
        <v>0</v>
      </c>
      <c r="AA271" s="93">
        <f>SUM('31:16'!AA271)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/>
      <c r="B272" s="65" t="s">
        <v>88</v>
      </c>
      <c r="C272" s="16" t="s">
        <v>60</v>
      </c>
      <c r="D272" s="17">
        <v>5.03</v>
      </c>
      <c r="E272" s="17"/>
      <c r="F272" s="6"/>
      <c r="G272" s="93">
        <f>SUM('31:16'!G272)</f>
        <v>0</v>
      </c>
      <c r="H272" s="339">
        <f t="shared" si="93"/>
        <v>0</v>
      </c>
      <c r="I272" s="93">
        <f>SUM('31:16'!I272)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SUM('31:16'!O272)</f>
        <v>0</v>
      </c>
      <c r="P272" s="93">
        <f>SUM('31:16'!P272)</f>
        <v>0</v>
      </c>
      <c r="Q272" s="93">
        <f>SUM('31:16'!Q272)</f>
        <v>0</v>
      </c>
      <c r="R272" s="93">
        <f>SUM('31:16'!R272)</f>
        <v>0</v>
      </c>
      <c r="S272" s="93">
        <f>SUM('31:16'!S272)</f>
        <v>0</v>
      </c>
      <c r="T272" s="93">
        <f>SUM('31:16'!T272)</f>
        <v>0</v>
      </c>
      <c r="U272" s="93">
        <f>SUM('31:16'!U272)</f>
        <v>0</v>
      </c>
      <c r="V272" s="206">
        <f t="shared" si="96"/>
        <v>0</v>
      </c>
      <c r="W272" s="33" t="str">
        <f t="shared" si="97"/>
        <v/>
      </c>
      <c r="X272" s="93">
        <f>SUM('31:16'!X272)</f>
        <v>0</v>
      </c>
      <c r="Y272" s="93">
        <f>SUM('31:16'!Y272)</f>
        <v>0</v>
      </c>
      <c r="Z272" s="93">
        <f>SUM('31:16'!Z272)</f>
        <v>0</v>
      </c>
      <c r="AA272" s="93">
        <f>SUM('31:16'!AA272)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SUM('31:16'!G273)</f>
        <v>0</v>
      </c>
      <c r="H273" s="339">
        <f t="shared" si="93"/>
        <v>0</v>
      </c>
      <c r="I273" s="93">
        <f>SUM('31:16'!I273)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4"/>
        <v/>
      </c>
      <c r="N273" s="31">
        <f t="shared" si="95"/>
        <v>0</v>
      </c>
      <c r="O273" s="93">
        <f>SUM('31:16'!O273)</f>
        <v>0</v>
      </c>
      <c r="P273" s="93">
        <f>SUM('31:16'!P273)</f>
        <v>0</v>
      </c>
      <c r="Q273" s="93">
        <f>SUM('31:16'!Q273)</f>
        <v>0</v>
      </c>
      <c r="R273" s="93">
        <f>SUM('31:16'!R273)</f>
        <v>0</v>
      </c>
      <c r="S273" s="93">
        <f>SUM('31:16'!S273)</f>
        <v>0</v>
      </c>
      <c r="T273" s="93">
        <f>SUM('31:16'!T273)</f>
        <v>0</v>
      </c>
      <c r="U273" s="93">
        <f>SUM('31:16'!U273)</f>
        <v>0</v>
      </c>
      <c r="V273" s="206">
        <f t="shared" si="96"/>
        <v>0</v>
      </c>
      <c r="W273" s="33" t="str">
        <f t="shared" si="97"/>
        <v/>
      </c>
      <c r="X273" s="93">
        <f>SUM('31:16'!X273)</f>
        <v>0</v>
      </c>
      <c r="Y273" s="93">
        <f>SUM('31:16'!Y273)</f>
        <v>0</v>
      </c>
      <c r="Z273" s="93">
        <f>SUM('31:16'!Z273)</f>
        <v>0</v>
      </c>
      <c r="AA273" s="93">
        <f>SUM('31:16'!AA273)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SUM('31:16'!G274)</f>
        <v>0</v>
      </c>
      <c r="H274" s="339">
        <f t="shared" si="93"/>
        <v>0</v>
      </c>
      <c r="I274" s="93">
        <f>SUM('31:16'!I274)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SUM('31:16'!O274)</f>
        <v>0</v>
      </c>
      <c r="P274" s="93">
        <f>SUM('31:16'!P274)</f>
        <v>0</v>
      </c>
      <c r="Q274" s="93">
        <f>SUM('31:16'!Q274)</f>
        <v>0</v>
      </c>
      <c r="R274" s="93">
        <f>SUM('31:16'!R274)</f>
        <v>0</v>
      </c>
      <c r="S274" s="93">
        <f>SUM('31:16'!S274)</f>
        <v>0</v>
      </c>
      <c r="T274" s="93">
        <f>SUM('31:16'!T274)</f>
        <v>0</v>
      </c>
      <c r="U274" s="93">
        <f>SUM('31:16'!U274)</f>
        <v>0</v>
      </c>
      <c r="V274" s="206">
        <f t="shared" si="96"/>
        <v>0</v>
      </c>
      <c r="W274" s="33" t="str">
        <f t="shared" si="97"/>
        <v/>
      </c>
      <c r="X274" s="93">
        <f>SUM('31:16'!X274)</f>
        <v>0</v>
      </c>
      <c r="Y274" s="93">
        <f>SUM('31:16'!Y274)</f>
        <v>0</v>
      </c>
      <c r="Z274" s="93">
        <f>SUM('31:16'!Z274)</f>
        <v>0</v>
      </c>
      <c r="AA274" s="93">
        <f>SUM('31:16'!AA274)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SUM('31:16'!G275)</f>
        <v>0</v>
      </c>
      <c r="H275" s="339">
        <f t="shared" si="93"/>
        <v>0</v>
      </c>
      <c r="I275" s="93">
        <f>SUM('31:16'!I275)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SUM('31:16'!O275)</f>
        <v>0</v>
      </c>
      <c r="P275" s="93">
        <f>SUM('31:16'!P275)</f>
        <v>0</v>
      </c>
      <c r="Q275" s="93">
        <f>SUM('31:16'!Q275)</f>
        <v>0</v>
      </c>
      <c r="R275" s="93">
        <f>SUM('31:16'!R275)</f>
        <v>0</v>
      </c>
      <c r="S275" s="93">
        <f>SUM('31:16'!S275)</f>
        <v>0</v>
      </c>
      <c r="T275" s="93">
        <f>SUM('31:16'!T275)</f>
        <v>0</v>
      </c>
      <c r="U275" s="93">
        <f>SUM('31:16'!U275)</f>
        <v>0</v>
      </c>
      <c r="V275" s="206">
        <f t="shared" si="96"/>
        <v>0</v>
      </c>
      <c r="W275" s="33" t="str">
        <f t="shared" si="97"/>
        <v/>
      </c>
      <c r="X275" s="93">
        <f>SUM('31:16'!X275)</f>
        <v>0</v>
      </c>
      <c r="Y275" s="93">
        <f>SUM('31:16'!Y275)</f>
        <v>0</v>
      </c>
      <c r="Z275" s="93">
        <f>SUM('31:16'!Z275)</f>
        <v>0</v>
      </c>
      <c r="AA275" s="93">
        <f>SUM('31:16'!AA275)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SUM('31:16'!G276)</f>
        <v>0</v>
      </c>
      <c r="H276" s="339">
        <f t="shared" si="93"/>
        <v>0</v>
      </c>
      <c r="I276" s="93">
        <f>SUM('31:16'!I276)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SUM('31:16'!O276)</f>
        <v>0</v>
      </c>
      <c r="P276" s="93">
        <f>SUM('31:16'!P276)</f>
        <v>0</v>
      </c>
      <c r="Q276" s="93">
        <f>SUM('31:16'!Q276)</f>
        <v>0</v>
      </c>
      <c r="R276" s="93">
        <f>SUM('31:16'!R276)</f>
        <v>0</v>
      </c>
      <c r="S276" s="93">
        <f>SUM('31:16'!S276)</f>
        <v>0</v>
      </c>
      <c r="T276" s="93">
        <f>SUM('31:16'!T276)</f>
        <v>0</v>
      </c>
      <c r="U276" s="93">
        <f>SUM('31:16'!U276)</f>
        <v>0</v>
      </c>
      <c r="V276" s="206">
        <f t="shared" si="96"/>
        <v>0</v>
      </c>
      <c r="W276" s="33" t="str">
        <f t="shared" si="97"/>
        <v/>
      </c>
      <c r="X276" s="93">
        <f>SUM('31:16'!X276)</f>
        <v>0</v>
      </c>
      <c r="Y276" s="93">
        <f>SUM('31:16'!Y276)</f>
        <v>0</v>
      </c>
      <c r="Z276" s="93">
        <f>SUM('31:16'!Z276)</f>
        <v>0</v>
      </c>
      <c r="AA276" s="93">
        <f>SUM('31:16'!AA276)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304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SUM('31:16'!G277)</f>
        <v>0</v>
      </c>
      <c r="H277" s="339">
        <f t="shared" si="93"/>
        <v>0</v>
      </c>
      <c r="I277" s="93">
        <f>SUM('31:16'!I277)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4"/>
        <v>0</v>
      </c>
      <c r="N277" s="31">
        <f t="shared" si="95"/>
        <v>0</v>
      </c>
      <c r="O277" s="93">
        <f>SUM('31:16'!O277)</f>
        <v>0</v>
      </c>
      <c r="P277" s="93">
        <f>SUM('31:16'!P277)</f>
        <v>0</v>
      </c>
      <c r="Q277" s="93">
        <f>SUM('31:16'!Q277)</f>
        <v>0</v>
      </c>
      <c r="R277" s="93">
        <f>SUM('31:16'!R277)</f>
        <v>0</v>
      </c>
      <c r="S277" s="93">
        <f>SUM('31:16'!S277)</f>
        <v>0</v>
      </c>
      <c r="T277" s="93">
        <f>SUM('31:16'!T277)</f>
        <v>0</v>
      </c>
      <c r="U277" s="93">
        <f>SUM('31:16'!U277)</f>
        <v>0</v>
      </c>
      <c r="V277" s="206">
        <f t="shared" si="96"/>
        <v>0</v>
      </c>
      <c r="W277" s="33" t="str">
        <f t="shared" si="97"/>
        <v/>
      </c>
      <c r="X277" s="93">
        <f>SUM('31:16'!X277)</f>
        <v>0</v>
      </c>
      <c r="Y277" s="93">
        <f>SUM('31:16'!Y277)</f>
        <v>0</v>
      </c>
      <c r="Z277" s="93">
        <f>SUM('31:16'!Z277)</f>
        <v>0</v>
      </c>
      <c r="AA277" s="93">
        <f>SUM('31:16'!AA277)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30400026</v>
      </c>
      <c r="B278" s="190" t="s">
        <v>394</v>
      </c>
      <c r="C278" s="187" t="s">
        <v>396</v>
      </c>
      <c r="D278" s="17">
        <v>5</v>
      </c>
      <c r="E278" s="17"/>
      <c r="F278" s="6"/>
      <c r="G278" s="93">
        <f>SUM('31:16'!G278)</f>
        <v>318</v>
      </c>
      <c r="H278" s="339">
        <f t="shared" si="93"/>
        <v>1590</v>
      </c>
      <c r="I278" s="93">
        <f>SUM('31:16'!I278)</f>
        <v>23.5</v>
      </c>
      <c r="J278" s="31"/>
      <c r="K278" s="35">
        <f t="array" ref="K278">IF(ISERROR(G278/L278),"",G278/L278)</f>
        <v>63.6</v>
      </c>
      <c r="L278" s="87">
        <v>5</v>
      </c>
      <c r="M278" s="36">
        <f t="shared" si="94"/>
        <v>-40.1</v>
      </c>
      <c r="N278" s="31">
        <f t="shared" si="95"/>
        <v>0</v>
      </c>
      <c r="O278" s="93">
        <f>SUM('31:16'!O278)</f>
        <v>0</v>
      </c>
      <c r="P278" s="93">
        <f>SUM('31:16'!P278)</f>
        <v>0</v>
      </c>
      <c r="Q278" s="93">
        <f>SUM('31:16'!Q278)</f>
        <v>0</v>
      </c>
      <c r="R278" s="93">
        <f>SUM('31:16'!R278)</f>
        <v>0</v>
      </c>
      <c r="S278" s="93">
        <f>SUM('31:16'!S278)</f>
        <v>0</v>
      </c>
      <c r="T278" s="93">
        <f>SUM('31:16'!T278)</f>
        <v>0</v>
      </c>
      <c r="U278" s="93">
        <f>SUM('31:16'!U278)</f>
        <v>0</v>
      </c>
      <c r="V278" s="206"/>
      <c r="W278" s="33"/>
      <c r="X278" s="93">
        <f>SUM('31:16'!X278)</f>
        <v>0</v>
      </c>
      <c r="Y278" s="93">
        <f>SUM('31:16'!Y278)</f>
        <v>0</v>
      </c>
      <c r="Z278" s="93">
        <f>SUM('31:16'!Z278)</f>
        <v>0</v>
      </c>
      <c r="AA278" s="93">
        <f>SUM('31:16'!AA278)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30400028</v>
      </c>
      <c r="B279" s="190" t="s">
        <v>393</v>
      </c>
      <c r="C279" s="187" t="s">
        <v>403</v>
      </c>
      <c r="D279" s="17">
        <v>5</v>
      </c>
      <c r="E279" s="17"/>
      <c r="F279" s="6"/>
      <c r="G279" s="93">
        <f>SUM('31:16'!G279)</f>
        <v>562</v>
      </c>
      <c r="H279" s="339">
        <f t="shared" si="93"/>
        <v>2810</v>
      </c>
      <c r="I279" s="93">
        <f>SUM('31:16'!I279)</f>
        <v>79</v>
      </c>
      <c r="J279" s="31"/>
      <c r="K279" s="35">
        <f t="array" ref="K279">IF(ISERROR(G279/L279),"",G279/L279)</f>
        <v>112.4</v>
      </c>
      <c r="L279" s="87">
        <v>5</v>
      </c>
      <c r="M279" s="36">
        <f t="shared" si="94"/>
        <v>-33.400000000000006</v>
      </c>
      <c r="N279" s="31">
        <f t="shared" si="95"/>
        <v>0</v>
      </c>
      <c r="O279" s="93">
        <f>SUM('31:16'!O279)</f>
        <v>0</v>
      </c>
      <c r="P279" s="93">
        <f>SUM('31:16'!P279)</f>
        <v>0</v>
      </c>
      <c r="Q279" s="93">
        <f>SUM('31:16'!Q279)</f>
        <v>0</v>
      </c>
      <c r="R279" s="93">
        <f>SUM('31:16'!R279)</f>
        <v>0</v>
      </c>
      <c r="S279" s="93">
        <f>SUM('31:16'!S279)</f>
        <v>0</v>
      </c>
      <c r="T279" s="93">
        <f>SUM('31:16'!T279)</f>
        <v>0</v>
      </c>
      <c r="U279" s="93">
        <f>SUM('31:16'!U279)</f>
        <v>0</v>
      </c>
      <c r="V279" s="206"/>
      <c r="W279" s="33"/>
      <c r="X279" s="93">
        <f>SUM('31:16'!X279)</f>
        <v>0</v>
      </c>
      <c r="Y279" s="93">
        <f>SUM('31:16'!Y279)</f>
        <v>0</v>
      </c>
      <c r="Z279" s="93">
        <f>SUM('31:16'!Z279)</f>
        <v>0</v>
      </c>
      <c r="AA279" s="93">
        <f>SUM('31:16'!AA279)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>
        <v>30400027</v>
      </c>
      <c r="B280" s="190" t="s">
        <v>404</v>
      </c>
      <c r="C280" s="187" t="s">
        <v>406</v>
      </c>
      <c r="D280" s="17">
        <v>5</v>
      </c>
      <c r="E280" s="17"/>
      <c r="F280" s="6"/>
      <c r="G280" s="93">
        <f>SUM('31:16'!G280)</f>
        <v>373</v>
      </c>
      <c r="H280" s="339">
        <f t="shared" si="93"/>
        <v>1865</v>
      </c>
      <c r="I280" s="93">
        <f>SUM('31:16'!I280)</f>
        <v>189</v>
      </c>
      <c r="J280" s="31"/>
      <c r="K280" s="35">
        <f t="array" ref="K280">IF(ISERROR(G280/L280),"",G280/L280)</f>
        <v>74.599999999999994</v>
      </c>
      <c r="L280" s="87">
        <v>5</v>
      </c>
      <c r="M280" s="36">
        <f t="shared" si="94"/>
        <v>114.4</v>
      </c>
      <c r="N280" s="31">
        <f t="shared" si="95"/>
        <v>0</v>
      </c>
      <c r="O280" s="93">
        <f>SUM('31:16'!O280)</f>
        <v>0</v>
      </c>
      <c r="P280" s="93">
        <f>SUM('31:16'!P280)</f>
        <v>0</v>
      </c>
      <c r="Q280" s="93">
        <f>SUM('31:16'!Q280)</f>
        <v>0</v>
      </c>
      <c r="R280" s="93">
        <f>SUM('31:16'!R280)</f>
        <v>0</v>
      </c>
      <c r="S280" s="93">
        <f>SUM('31:16'!S280)</f>
        <v>0</v>
      </c>
      <c r="T280" s="93">
        <f>SUM('31:16'!T280)</f>
        <v>0</v>
      </c>
      <c r="U280" s="93">
        <f>SUM('31:16'!U280)</f>
        <v>0</v>
      </c>
      <c r="V280" s="206"/>
      <c r="W280" s="33"/>
      <c r="X280" s="93">
        <f>SUM('31:16'!X280)</f>
        <v>0</v>
      </c>
      <c r="Y280" s="93">
        <f>SUM('31:16'!Y280)</f>
        <v>0</v>
      </c>
      <c r="Z280" s="93">
        <f>SUM('31:16'!Z280)</f>
        <v>0</v>
      </c>
      <c r="AA280" s="93">
        <f>SUM('31:16'!AA280)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/>
      <c r="B281" s="61" t="s">
        <v>352</v>
      </c>
      <c r="C281" s="187" t="s">
        <v>372</v>
      </c>
      <c r="D281" s="17">
        <v>5</v>
      </c>
      <c r="E281" s="17"/>
      <c r="F281" s="6"/>
      <c r="G281" s="93">
        <f>SUM('31:16'!G281)</f>
        <v>0</v>
      </c>
      <c r="H281" s="339">
        <f t="shared" si="93"/>
        <v>0</v>
      </c>
      <c r="I281" s="93">
        <f>SUM('31:16'!I281)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SUM('31:16'!O281)</f>
        <v>0</v>
      </c>
      <c r="P281" s="93">
        <f>SUM('31:16'!P281)</f>
        <v>0</v>
      </c>
      <c r="Q281" s="93">
        <f>SUM('31:16'!Q281)</f>
        <v>0</v>
      </c>
      <c r="R281" s="93">
        <f>SUM('31:16'!R281)</f>
        <v>0</v>
      </c>
      <c r="S281" s="93">
        <f>SUM('31:16'!S281)</f>
        <v>0</v>
      </c>
      <c r="T281" s="93">
        <f>SUM('31:16'!T281)</f>
        <v>0</v>
      </c>
      <c r="U281" s="93">
        <f>SUM('31:16'!U281)</f>
        <v>0</v>
      </c>
      <c r="V281" s="206"/>
      <c r="W281" s="33"/>
      <c r="X281" s="93">
        <f>SUM('31:16'!X281)</f>
        <v>0</v>
      </c>
      <c r="Y281" s="93">
        <f>SUM('31:16'!Y281)</f>
        <v>0</v>
      </c>
      <c r="Z281" s="93">
        <f>SUM('31:16'!Z281)</f>
        <v>0</v>
      </c>
      <c r="AA281" s="93">
        <f>SUM('31:16'!AA281)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30600009</v>
      </c>
      <c r="B282" s="61" t="s">
        <v>353</v>
      </c>
      <c r="C282" s="16" t="s">
        <v>354</v>
      </c>
      <c r="D282" s="17">
        <v>5</v>
      </c>
      <c r="E282" s="17"/>
      <c r="F282" s="6"/>
      <c r="G282" s="93">
        <f>SUM('31:16'!G282)</f>
        <v>90</v>
      </c>
      <c r="H282" s="339">
        <f t="shared" si="93"/>
        <v>450</v>
      </c>
      <c r="I282" s="93">
        <f>SUM('31:16'!I282)</f>
        <v>24</v>
      </c>
      <c r="J282" s="31"/>
      <c r="K282" s="35">
        <f t="array" ref="K282">IF(ISERROR(G282/L282),"",G282/L282)</f>
        <v>18</v>
      </c>
      <c r="L282" s="87">
        <v>5</v>
      </c>
      <c r="M282" s="36">
        <f t="shared" si="94"/>
        <v>6</v>
      </c>
      <c r="N282" s="31">
        <f t="shared" si="95"/>
        <v>0</v>
      </c>
      <c r="O282" s="93">
        <f>SUM('31:16'!O282)</f>
        <v>0</v>
      </c>
      <c r="P282" s="93">
        <f>SUM('31:16'!P282)</f>
        <v>0</v>
      </c>
      <c r="Q282" s="93">
        <f>SUM('31:16'!Q282)</f>
        <v>0</v>
      </c>
      <c r="R282" s="93">
        <f>SUM('31:16'!R282)</f>
        <v>0</v>
      </c>
      <c r="S282" s="93">
        <f>SUM('31:16'!S282)</f>
        <v>0</v>
      </c>
      <c r="T282" s="93">
        <f>SUM('31:16'!T282)</f>
        <v>0</v>
      </c>
      <c r="U282" s="93">
        <f>SUM('31:16'!U282)</f>
        <v>0</v>
      </c>
      <c r="V282" s="206"/>
      <c r="W282" s="33"/>
      <c r="X282" s="93">
        <f>SUM('31:16'!X282)</f>
        <v>0</v>
      </c>
      <c r="Y282" s="93">
        <f>SUM('31:16'!Y282)</f>
        <v>0</v>
      </c>
      <c r="Z282" s="93">
        <f>SUM('31:16'!Z282)</f>
        <v>0</v>
      </c>
      <c r="AA282" s="93">
        <f>SUM('31:16'!AA282)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30600010</v>
      </c>
      <c r="B283" s="61" t="s">
        <v>353</v>
      </c>
      <c r="C283" s="16" t="s">
        <v>355</v>
      </c>
      <c r="D283" s="17">
        <v>5</v>
      </c>
      <c r="E283" s="17"/>
      <c r="F283" s="6"/>
      <c r="G283" s="93">
        <f>SUM('31:16'!G283)</f>
        <v>222</v>
      </c>
      <c r="H283" s="339">
        <f t="shared" si="93"/>
        <v>1110</v>
      </c>
      <c r="I283" s="93">
        <f>SUM('31:16'!I283)</f>
        <v>36</v>
      </c>
      <c r="J283" s="31"/>
      <c r="K283" s="35">
        <f t="array" ref="K283">IF(ISERROR(G283/L283),"",G283/L283)</f>
        <v>44.4</v>
      </c>
      <c r="L283" s="87">
        <v>5</v>
      </c>
      <c r="M283" s="36">
        <f t="shared" si="94"/>
        <v>-8.3999999999999986</v>
      </c>
      <c r="N283" s="31">
        <f t="shared" si="95"/>
        <v>0</v>
      </c>
      <c r="O283" s="93">
        <f>SUM('31:16'!O283)</f>
        <v>0</v>
      </c>
      <c r="P283" s="93">
        <f>SUM('31:16'!P283)</f>
        <v>0</v>
      </c>
      <c r="Q283" s="93">
        <f>SUM('31:16'!Q283)</f>
        <v>0</v>
      </c>
      <c r="R283" s="93">
        <f>SUM('31:16'!R283)</f>
        <v>0</v>
      </c>
      <c r="S283" s="93">
        <f>SUM('31:16'!S283)</f>
        <v>0</v>
      </c>
      <c r="T283" s="93">
        <f>SUM('31:16'!T283)</f>
        <v>0</v>
      </c>
      <c r="U283" s="93">
        <f>SUM('31:16'!U283)</f>
        <v>0</v>
      </c>
      <c r="V283" s="206"/>
      <c r="W283" s="33"/>
      <c r="X283" s="93">
        <f>SUM('31:16'!X283)</f>
        <v>0</v>
      </c>
      <c r="Y283" s="93">
        <f>SUM('31:16'!Y283)</f>
        <v>0</v>
      </c>
      <c r="Z283" s="93">
        <f>SUM('31:16'!Z283)</f>
        <v>0</v>
      </c>
      <c r="AA283" s="93">
        <f>SUM('31:16'!AA283)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SUM('31:16'!G284)</f>
        <v>602</v>
      </c>
      <c r="H284" s="339">
        <f t="shared" si="93"/>
        <v>3046.12</v>
      </c>
      <c r="I284" s="93">
        <f>SUM('31:16'!I284)</f>
        <v>65.5</v>
      </c>
      <c r="J284" s="31">
        <f t="array" ref="J284">IF(ISERROR(G284/I284),"",G284/I284)</f>
        <v>9.1908396946564892</v>
      </c>
      <c r="K284" s="35">
        <f t="array" ref="K284">IF(ISERROR(G284/L284),"",G284/L284)</f>
        <v>38.838709677419352</v>
      </c>
      <c r="L284" s="87">
        <v>15.5</v>
      </c>
      <c r="M284" s="36">
        <f t="shared" si="94"/>
        <v>26.661290322580648</v>
      </c>
      <c r="N284" s="31">
        <f t="shared" si="95"/>
        <v>0</v>
      </c>
      <c r="O284" s="93">
        <f>SUM('31:16'!O284)</f>
        <v>0</v>
      </c>
      <c r="P284" s="93">
        <f>SUM('31:16'!P284)</f>
        <v>0</v>
      </c>
      <c r="Q284" s="93">
        <f>SUM('31:16'!Q284)</f>
        <v>0</v>
      </c>
      <c r="R284" s="93">
        <f>SUM('31:16'!R284)</f>
        <v>0</v>
      </c>
      <c r="S284" s="93">
        <f>SUM('31:16'!S284)</f>
        <v>0</v>
      </c>
      <c r="T284" s="93">
        <f>SUM('31:16'!T284)</f>
        <v>0</v>
      </c>
      <c r="U284" s="93">
        <f>SUM('31:16'!U284)</f>
        <v>0</v>
      </c>
      <c r="V284" s="206">
        <f t="shared" ref="V284:V285" si="98">SUM(X284:AA284)</f>
        <v>0</v>
      </c>
      <c r="W284" s="33">
        <f t="shared" ref="W284:W285" si="99">IF(ISERROR(V284/G284),"",V284/G284)</f>
        <v>0</v>
      </c>
      <c r="X284" s="93">
        <f>SUM('31:16'!X284)</f>
        <v>0</v>
      </c>
      <c r="Y284" s="93">
        <f>SUM('31:16'!Y284)</f>
        <v>0</v>
      </c>
      <c r="Z284" s="93">
        <f>SUM('31:16'!Z284)</f>
        <v>0</v>
      </c>
      <c r="AA284" s="93">
        <f>SUM('31:16'!AA284)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SUM('31:16'!G285)</f>
        <v>0</v>
      </c>
      <c r="H285" s="339">
        <f t="shared" si="93"/>
        <v>0</v>
      </c>
      <c r="I285" s="93">
        <f>SUM('31:16'!I285)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4"/>
        <v>0</v>
      </c>
      <c r="N285" s="31">
        <f t="shared" si="95"/>
        <v>0</v>
      </c>
      <c r="O285" s="93">
        <f>SUM('31:16'!O285)</f>
        <v>0</v>
      </c>
      <c r="P285" s="93">
        <f>SUM('31:16'!P285)</f>
        <v>0</v>
      </c>
      <c r="Q285" s="93">
        <f>SUM('31:16'!Q285)</f>
        <v>0</v>
      </c>
      <c r="R285" s="93">
        <f>SUM('31:16'!R285)</f>
        <v>0</v>
      </c>
      <c r="S285" s="93">
        <f>SUM('31:16'!S285)</f>
        <v>0</v>
      </c>
      <c r="T285" s="93">
        <f>SUM('31:16'!T285)</f>
        <v>0</v>
      </c>
      <c r="U285" s="93">
        <f>SUM('31:16'!U285)</f>
        <v>0</v>
      </c>
      <c r="V285" s="206">
        <f t="shared" si="98"/>
        <v>0</v>
      </c>
      <c r="W285" s="33" t="str">
        <f t="shared" si="99"/>
        <v/>
      </c>
      <c r="X285" s="93">
        <f>SUM('31:16'!X285)</f>
        <v>0</v>
      </c>
      <c r="Y285" s="93">
        <f>SUM('31:16'!Y285)</f>
        <v>0</v>
      </c>
      <c r="Z285" s="93">
        <f>SUM('31:16'!Z285)</f>
        <v>0</v>
      </c>
      <c r="AA285" s="93">
        <f>SUM('31:16'!AA285)</f>
        <v>0</v>
      </c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30400004</v>
      </c>
      <c r="B286" s="215" t="s">
        <v>419</v>
      </c>
      <c r="C286" s="187" t="s">
        <v>420</v>
      </c>
      <c r="D286" s="17"/>
      <c r="E286" s="17"/>
      <c r="F286" s="6"/>
      <c r="G286" s="93">
        <f>SUM('31:16'!G286)</f>
        <v>327</v>
      </c>
      <c r="H286" s="339">
        <f t="shared" si="93"/>
        <v>0</v>
      </c>
      <c r="I286" s="93">
        <f>SUM('31:16'!I286)</f>
        <v>127.5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30400003</v>
      </c>
      <c r="B287" s="215" t="s">
        <v>419</v>
      </c>
      <c r="C287" s="187" t="s">
        <v>421</v>
      </c>
      <c r="D287" s="17"/>
      <c r="E287" s="17"/>
      <c r="F287" s="6"/>
      <c r="G287" s="93">
        <f>SUM('31:16'!G287)</f>
        <v>532</v>
      </c>
      <c r="H287" s="339">
        <f t="shared" si="93"/>
        <v>0</v>
      </c>
      <c r="I287" s="93">
        <f>SUM('31:16'!I287)</f>
        <v>100.5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SUM('31:16'!G288)</f>
        <v>260</v>
      </c>
      <c r="H288" s="339">
        <f t="shared" si="93"/>
        <v>0</v>
      </c>
      <c r="I288" s="93">
        <f>SUM('31:16'!I288)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SUM('31:16'!G289)</f>
        <v>460</v>
      </c>
      <c r="H289" s="339">
        <f t="shared" si="93"/>
        <v>2332.2000000000003</v>
      </c>
      <c r="I289" s="93">
        <f>SUM('31:16'!I289)</f>
        <v>98</v>
      </c>
      <c r="J289" s="31">
        <f t="array" ref="J289">IF(ISERROR(G289/I289),"",G289/I289)</f>
        <v>4.6938775510204085</v>
      </c>
      <c r="K289" s="35">
        <f t="array" ref="K289">IF(ISERROR(G289/L289),"",G289/L289)</f>
        <v>51.111111111111114</v>
      </c>
      <c r="L289" s="87">
        <v>9</v>
      </c>
      <c r="M289" s="36">
        <f t="shared" ref="M289:M291" si="100">IF(ISERROR(I289-K289),"",I289-K289)</f>
        <v>46.888888888888886</v>
      </c>
      <c r="N289" s="31">
        <f t="shared" ref="N289:N291" si="101">SUM(O289:U289)</f>
        <v>0</v>
      </c>
      <c r="O289" s="93">
        <f>SUM('31:16'!O289)</f>
        <v>0</v>
      </c>
      <c r="P289" s="93">
        <f>SUM('31:16'!P289)</f>
        <v>0</v>
      </c>
      <c r="Q289" s="93">
        <f>SUM('31:16'!Q289)</f>
        <v>0</v>
      </c>
      <c r="R289" s="93">
        <f>SUM('31:16'!R289)</f>
        <v>0</v>
      </c>
      <c r="S289" s="93">
        <f>SUM('31:16'!S289)</f>
        <v>0</v>
      </c>
      <c r="T289" s="93">
        <f>SUM('31:16'!T289)</f>
        <v>0</v>
      </c>
      <c r="U289" s="93">
        <f>SUM('31:16'!U289)</f>
        <v>0</v>
      </c>
      <c r="V289" s="206">
        <f t="shared" ref="V289:V291" si="102">SUM(X289:AA289)</f>
        <v>0</v>
      </c>
      <c r="W289" s="33">
        <f t="shared" ref="W289:W313" si="103">IF(ISERROR(V289/G289),"",V289/G289)</f>
        <v>0</v>
      </c>
      <c r="X289" s="93">
        <f>SUM('31:16'!X289)</f>
        <v>0</v>
      </c>
      <c r="Y289" s="93">
        <f>SUM('31:16'!Y289)</f>
        <v>0</v>
      </c>
      <c r="Z289" s="93">
        <f>SUM('31:16'!Z289)</f>
        <v>0</v>
      </c>
      <c r="AA289" s="93">
        <f>SUM('31:16'!AA289)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SUM('31:16'!G290)</f>
        <v>0</v>
      </c>
      <c r="H290" s="339">
        <f t="shared" si="93"/>
        <v>0</v>
      </c>
      <c r="I290" s="93">
        <f>SUM('31:16'!I290)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SUM('31:16'!O290)</f>
        <v>0</v>
      </c>
      <c r="P290" s="93">
        <f>SUM('31:16'!P290)</f>
        <v>0</v>
      </c>
      <c r="Q290" s="93">
        <f>SUM('31:16'!Q290)</f>
        <v>0</v>
      </c>
      <c r="R290" s="93">
        <f>SUM('31:16'!R290)</f>
        <v>0</v>
      </c>
      <c r="S290" s="93">
        <f>SUM('31:16'!S290)</f>
        <v>0</v>
      </c>
      <c r="T290" s="93">
        <f>SUM('31:16'!T290)</f>
        <v>0</v>
      </c>
      <c r="U290" s="93">
        <f>SUM('31:16'!U290)</f>
        <v>0</v>
      </c>
      <c r="V290" s="206">
        <f t="shared" si="102"/>
        <v>0</v>
      </c>
      <c r="W290" s="33" t="str">
        <f t="shared" si="103"/>
        <v/>
      </c>
      <c r="X290" s="93">
        <f>SUM('31:16'!X290)</f>
        <v>0</v>
      </c>
      <c r="Y290" s="93">
        <f>SUM('31:16'!Y290)</f>
        <v>0</v>
      </c>
      <c r="Z290" s="93">
        <f>SUM('31:16'!Z290)</f>
        <v>0</v>
      </c>
      <c r="AA290" s="93">
        <f>SUM('31:16'!AA290)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299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SUM('31:16'!G291)</f>
        <v>921</v>
      </c>
      <c r="H291" s="339">
        <f t="shared" si="93"/>
        <v>4660.2599999999993</v>
      </c>
      <c r="I291" s="93">
        <f>SUM('31:16'!I291)</f>
        <v>135.5</v>
      </c>
      <c r="J291" s="31">
        <f t="array" ref="J291">IF(ISERROR(G291/I291),"",G291/I291)</f>
        <v>6.7970479704797047</v>
      </c>
      <c r="K291" s="339">
        <f t="array" ref="K291">IF(ISERROR(G291/L291),"",G291/L291)</f>
        <v>102.33333333333333</v>
      </c>
      <c r="L291" s="87">
        <v>9</v>
      </c>
      <c r="M291" s="36">
        <f t="shared" si="100"/>
        <v>33.166666666666671</v>
      </c>
      <c r="N291" s="31">
        <f t="shared" si="101"/>
        <v>0</v>
      </c>
      <c r="O291" s="93">
        <f>SUM('31:16'!O291)</f>
        <v>0</v>
      </c>
      <c r="P291" s="93">
        <f>SUM('31:16'!P291)</f>
        <v>0</v>
      </c>
      <c r="Q291" s="93">
        <f>SUM('31:16'!Q291)</f>
        <v>0</v>
      </c>
      <c r="R291" s="93">
        <f>SUM('31:16'!R291)</f>
        <v>0</v>
      </c>
      <c r="S291" s="93">
        <f>SUM('31:16'!S291)</f>
        <v>0</v>
      </c>
      <c r="T291" s="93">
        <f>SUM('31:16'!T291)</f>
        <v>0</v>
      </c>
      <c r="U291" s="93">
        <f>SUM('31:16'!U291)</f>
        <v>0</v>
      </c>
      <c r="V291" s="206">
        <f t="shared" si="102"/>
        <v>0</v>
      </c>
      <c r="W291" s="33">
        <f t="shared" si="103"/>
        <v>0</v>
      </c>
      <c r="X291" s="93">
        <f>SUM('31:16'!X291)</f>
        <v>0</v>
      </c>
      <c r="Y291" s="93">
        <f>SUM('31:16'!Y291)</f>
        <v>0</v>
      </c>
      <c r="Z291" s="93">
        <f>SUM('31:16'!Z291)</f>
        <v>0</v>
      </c>
      <c r="AA291" s="93">
        <f>SUM('31:16'!AA291)</f>
        <v>0</v>
      </c>
      <c r="AB291" s="73"/>
      <c r="AC291" s="54"/>
      <c r="AD291" s="346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731" t="s">
        <v>92</v>
      </c>
      <c r="B292" s="732"/>
      <c r="C292" s="342" t="s">
        <v>71</v>
      </c>
      <c r="D292" s="20"/>
      <c r="E292" s="20"/>
      <c r="F292" s="32"/>
      <c r="G292" s="30">
        <f>SUM(G258:G291)</f>
        <v>5405</v>
      </c>
      <c r="H292" s="30">
        <f>SUM(H258:H291)</f>
        <v>21575.719999999998</v>
      </c>
      <c r="I292" s="30">
        <f>SUM(I258:I291)</f>
        <v>1037</v>
      </c>
      <c r="J292" s="31">
        <f t="array" ref="J292">IF(ISERROR(G292/I292),"",G292/I292)</f>
        <v>5.2121504339440694</v>
      </c>
      <c r="K292" s="30">
        <f>SUM(K258:K291)</f>
        <v>584.80905832518738</v>
      </c>
      <c r="L292" s="98"/>
      <c r="M292" s="89">
        <f t="shared" ref="M292:V292" si="104">SUM(M258:M291)</f>
        <v>176.19094167481262</v>
      </c>
      <c r="N292" s="30">
        <f t="shared" si="104"/>
        <v>0</v>
      </c>
      <c r="O292" s="91">
        <f t="shared" si="104"/>
        <v>0</v>
      </c>
      <c r="P292" s="91">
        <f t="shared" si="104"/>
        <v>0</v>
      </c>
      <c r="Q292" s="91">
        <f t="shared" si="104"/>
        <v>0</v>
      </c>
      <c r="R292" s="91">
        <f t="shared" si="104"/>
        <v>0</v>
      </c>
      <c r="S292" s="92">
        <f t="shared" si="104"/>
        <v>0</v>
      </c>
      <c r="T292" s="91">
        <f t="shared" si="104"/>
        <v>0</v>
      </c>
      <c r="U292" s="91">
        <f t="shared" si="104"/>
        <v>0</v>
      </c>
      <c r="V292" s="206">
        <f t="shared" si="104"/>
        <v>0</v>
      </c>
      <c r="W292" s="33">
        <f t="shared" si="103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75"/>
      <c r="AC292" s="70"/>
      <c r="AD292" s="346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SUM('31:16'!G293)</f>
        <v>1272</v>
      </c>
      <c r="H293" s="339">
        <f>D293*G293</f>
        <v>6398.1600000000008</v>
      </c>
      <c r="I293" s="93">
        <f>SUM('31:16'!I293)</f>
        <v>52.239999999999995</v>
      </c>
      <c r="J293" s="31">
        <f t="array" ref="J293">IF(ISERROR(G293/I293),"",G293/I293)</f>
        <v>24.34915773353752</v>
      </c>
      <c r="K293" s="35">
        <f t="array" ref="K293">IF(ISERROR(G293/L293),"",G293/L293)</f>
        <v>50.88</v>
      </c>
      <c r="L293" s="87">
        <v>25</v>
      </c>
      <c r="M293" s="36">
        <f t="shared" ref="M293:M307" si="105">IF(ISERROR(I293-K293),"",I293-K293)</f>
        <v>1.3599999999999923</v>
      </c>
      <c r="N293" s="31">
        <f t="shared" ref="N293:N307" si="106">SUM(O293:U293)</f>
        <v>0</v>
      </c>
      <c r="O293" s="93">
        <f>SUM('31:16'!O293)</f>
        <v>0</v>
      </c>
      <c r="P293" s="93">
        <f>SUM('31:16'!P293)</f>
        <v>0</v>
      </c>
      <c r="Q293" s="93">
        <f>SUM('31:16'!Q293)</f>
        <v>0</v>
      </c>
      <c r="R293" s="93">
        <f>SUM('31:16'!R293)</f>
        <v>0</v>
      </c>
      <c r="S293" s="93">
        <f>SUM('31:16'!S293)</f>
        <v>0</v>
      </c>
      <c r="T293" s="93">
        <f>SUM('31:16'!T293)</f>
        <v>0</v>
      </c>
      <c r="U293" s="93">
        <f>SUM('31:16'!U293)</f>
        <v>0</v>
      </c>
      <c r="V293" s="206">
        <f t="shared" ref="V293:V307" si="107">SUM(X293:AA293)</f>
        <v>0</v>
      </c>
      <c r="W293" s="33">
        <f t="shared" si="103"/>
        <v>0</v>
      </c>
      <c r="X293" s="93">
        <f>SUM('31:16'!X293)</f>
        <v>0</v>
      </c>
      <c r="Y293" s="93">
        <f>SUM('31:16'!Y293)</f>
        <v>0</v>
      </c>
      <c r="Z293" s="93">
        <f>SUM('31:16'!Z293)</f>
        <v>0</v>
      </c>
      <c r="AA293" s="93">
        <f>SUM('31:16'!AA293)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SUM('31:16'!G294)</f>
        <v>1201</v>
      </c>
      <c r="H294" s="339">
        <f t="shared" ref="H294:H307" si="108">D294*G294</f>
        <v>6041.0300000000007</v>
      </c>
      <c r="I294" s="93">
        <f>SUM('31:16'!I294)</f>
        <v>68.12</v>
      </c>
      <c r="J294" s="31">
        <f t="array" ref="J294">IF(ISERROR(G294/I294),"",G294/I294)</f>
        <v>17.630651790957135</v>
      </c>
      <c r="K294" s="35">
        <f t="array" ref="K294">IF(ISERROR(G294/L294),"",G294/L294)</f>
        <v>48.04</v>
      </c>
      <c r="L294" s="87">
        <v>25</v>
      </c>
      <c r="M294" s="36">
        <f t="shared" si="105"/>
        <v>20.080000000000005</v>
      </c>
      <c r="N294" s="31">
        <f t="shared" si="106"/>
        <v>0</v>
      </c>
      <c r="O294" s="93">
        <f>SUM('31:16'!O294)</f>
        <v>0</v>
      </c>
      <c r="P294" s="93">
        <f>SUM('31:16'!P294)</f>
        <v>0</v>
      </c>
      <c r="Q294" s="93">
        <f>SUM('31:16'!Q294)</f>
        <v>0</v>
      </c>
      <c r="R294" s="93">
        <f>SUM('31:16'!R294)</f>
        <v>0</v>
      </c>
      <c r="S294" s="93">
        <f>SUM('31:16'!S294)</f>
        <v>0</v>
      </c>
      <c r="T294" s="93">
        <f>SUM('31:16'!T294)</f>
        <v>0</v>
      </c>
      <c r="U294" s="93">
        <f>SUM('31:16'!U294)</f>
        <v>0</v>
      </c>
      <c r="V294" s="206">
        <f t="shared" si="107"/>
        <v>0</v>
      </c>
      <c r="W294" s="33">
        <f t="shared" si="103"/>
        <v>0</v>
      </c>
      <c r="X294" s="93">
        <f>SUM('31:16'!X294)</f>
        <v>0</v>
      </c>
      <c r="Y294" s="93">
        <f>SUM('31:16'!Y294)</f>
        <v>0</v>
      </c>
      <c r="Z294" s="93">
        <f>SUM('31:16'!Z294)</f>
        <v>0</v>
      </c>
      <c r="AA294" s="93">
        <f>SUM('31:16'!AA294)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SUM('31:16'!G295)</f>
        <v>898</v>
      </c>
      <c r="H295" s="339">
        <f t="shared" si="108"/>
        <v>4525.92</v>
      </c>
      <c r="I295" s="93">
        <f>SUM('31:16'!I295)</f>
        <v>69.5</v>
      </c>
      <c r="J295" s="31">
        <f t="array" ref="J295">IF(ISERROR(G295/I295),"",G295/I295)</f>
        <v>12.920863309352518</v>
      </c>
      <c r="K295" s="35">
        <f t="array" ref="K295">IF(ISERROR(G295/L295),"",G295/L295)</f>
        <v>44.9</v>
      </c>
      <c r="L295" s="87">
        <v>20</v>
      </c>
      <c r="M295" s="36">
        <f t="shared" si="105"/>
        <v>24.6</v>
      </c>
      <c r="N295" s="31">
        <f t="shared" si="106"/>
        <v>0</v>
      </c>
      <c r="O295" s="93">
        <f>SUM('31:16'!O295)</f>
        <v>0</v>
      </c>
      <c r="P295" s="93">
        <f>SUM('31:16'!P295)</f>
        <v>0</v>
      </c>
      <c r="Q295" s="93">
        <f>SUM('31:16'!Q295)</f>
        <v>0</v>
      </c>
      <c r="R295" s="93">
        <f>SUM('31:16'!R295)</f>
        <v>0</v>
      </c>
      <c r="S295" s="93">
        <f>SUM('31:16'!S295)</f>
        <v>0</v>
      </c>
      <c r="T295" s="93">
        <f>SUM('31:16'!T295)</f>
        <v>0</v>
      </c>
      <c r="U295" s="93">
        <f>SUM('31:16'!U295)</f>
        <v>0</v>
      </c>
      <c r="V295" s="206">
        <f t="shared" si="107"/>
        <v>0</v>
      </c>
      <c r="W295" s="33">
        <f t="shared" si="103"/>
        <v>0</v>
      </c>
      <c r="X295" s="93">
        <f>SUM('31:16'!X295)</f>
        <v>0</v>
      </c>
      <c r="Y295" s="93">
        <f>SUM('31:16'!Y295)</f>
        <v>0</v>
      </c>
      <c r="Z295" s="93">
        <f>SUM('31:16'!Z295)</f>
        <v>0</v>
      </c>
      <c r="AA295" s="93">
        <f>SUM('31:16'!AA295)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/>
      <c r="B296" s="63" t="s">
        <v>95</v>
      </c>
      <c r="C296" s="16" t="s">
        <v>82</v>
      </c>
      <c r="D296" s="17">
        <v>5.03</v>
      </c>
      <c r="E296" s="17"/>
      <c r="F296" s="6"/>
      <c r="G296" s="93">
        <f>SUM('31:16'!G296)</f>
        <v>0</v>
      </c>
      <c r="H296" s="339">
        <f t="shared" si="108"/>
        <v>0</v>
      </c>
      <c r="I296" s="93">
        <f>SUM('31:16'!I296)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SUM('31:16'!O296)</f>
        <v>0</v>
      </c>
      <c r="P296" s="93">
        <f>SUM('31:16'!P296)</f>
        <v>0</v>
      </c>
      <c r="Q296" s="93">
        <f>SUM('31:16'!Q296)</f>
        <v>0</v>
      </c>
      <c r="R296" s="93">
        <f>SUM('31:16'!R296)</f>
        <v>0</v>
      </c>
      <c r="S296" s="93">
        <f>SUM('31:16'!S296)</f>
        <v>0</v>
      </c>
      <c r="T296" s="93">
        <f>SUM('31:16'!T296)</f>
        <v>0</v>
      </c>
      <c r="U296" s="93">
        <f>SUM('31:16'!U296)</f>
        <v>0</v>
      </c>
      <c r="V296" s="206">
        <f t="shared" si="107"/>
        <v>0</v>
      </c>
      <c r="W296" s="33" t="str">
        <f t="shared" si="103"/>
        <v/>
      </c>
      <c r="X296" s="93">
        <f>SUM('31:16'!X296)</f>
        <v>0</v>
      </c>
      <c r="Y296" s="93">
        <f>SUM('31:16'!Y296)</f>
        <v>0</v>
      </c>
      <c r="Z296" s="93">
        <f>SUM('31:16'!Z296)</f>
        <v>0</v>
      </c>
      <c r="AA296" s="93">
        <f>SUM('31:16'!AA296)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30100054</v>
      </c>
      <c r="B297" s="63" t="s">
        <v>95</v>
      </c>
      <c r="C297" s="340" t="s">
        <v>72</v>
      </c>
      <c r="D297" s="17">
        <v>5.03</v>
      </c>
      <c r="E297" s="17"/>
      <c r="F297" s="6"/>
      <c r="G297" s="93">
        <f>SUM('31:16'!G297)</f>
        <v>85</v>
      </c>
      <c r="H297" s="339">
        <f t="shared" si="108"/>
        <v>427.55</v>
      </c>
      <c r="I297" s="93">
        <f>SUM('31:16'!I297)</f>
        <v>6</v>
      </c>
      <c r="J297" s="31">
        <f t="array" ref="J297">IF(ISERROR(G297/I297),"",G297/I297)</f>
        <v>14.166666666666666</v>
      </c>
      <c r="K297" s="35">
        <f t="array" ref="K297">IF(ISERROR(G297/L297),"",G297/L297)</f>
        <v>21.25</v>
      </c>
      <c r="L297" s="87">
        <v>4</v>
      </c>
      <c r="M297" s="36">
        <f t="shared" si="105"/>
        <v>-15.25</v>
      </c>
      <c r="N297" s="31">
        <f t="shared" si="106"/>
        <v>0</v>
      </c>
      <c r="O297" s="93">
        <f>SUM('31:16'!O297)</f>
        <v>0</v>
      </c>
      <c r="P297" s="93">
        <f>SUM('31:16'!P297)</f>
        <v>0</v>
      </c>
      <c r="Q297" s="93">
        <f>SUM('31:16'!Q297)</f>
        <v>0</v>
      </c>
      <c r="R297" s="93">
        <f>SUM('31:16'!R297)</f>
        <v>0</v>
      </c>
      <c r="S297" s="93">
        <f>SUM('31:16'!S297)</f>
        <v>0</v>
      </c>
      <c r="T297" s="93">
        <f>SUM('31:16'!T297)</f>
        <v>0</v>
      </c>
      <c r="U297" s="93">
        <f>SUM('31:16'!U297)</f>
        <v>0</v>
      </c>
      <c r="V297" s="206">
        <f t="shared" si="107"/>
        <v>0</v>
      </c>
      <c r="W297" s="33">
        <f t="shared" si="103"/>
        <v>0</v>
      </c>
      <c r="X297" s="93">
        <f>SUM('31:16'!X297)</f>
        <v>0</v>
      </c>
      <c r="Y297" s="93">
        <f>SUM('31:16'!Y297)</f>
        <v>0</v>
      </c>
      <c r="Z297" s="93">
        <f>SUM('31:16'!Z297)</f>
        <v>0</v>
      </c>
      <c r="AA297" s="93">
        <f>SUM('31:16'!AA297)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SUM('31:16'!G298)</f>
        <v>450</v>
      </c>
      <c r="H298" s="339">
        <f t="shared" si="108"/>
        <v>2263.5</v>
      </c>
      <c r="I298" s="93">
        <f>SUM('31:16'!I298)</f>
        <v>44</v>
      </c>
      <c r="J298" s="31">
        <f t="array" ref="J298">IF(ISERROR(G298/I298),"",G298/I298)</f>
        <v>10.227272727272727</v>
      </c>
      <c r="K298" s="35">
        <f t="array" ref="K298">IF(ISERROR(G298/L298),"",G298/L298)</f>
        <v>112.5</v>
      </c>
      <c r="L298" s="87">
        <v>4</v>
      </c>
      <c r="M298" s="36">
        <f t="shared" si="105"/>
        <v>-68.5</v>
      </c>
      <c r="N298" s="31">
        <f t="shared" si="106"/>
        <v>0</v>
      </c>
      <c r="O298" s="93">
        <f>SUM('31:16'!O298)</f>
        <v>0</v>
      </c>
      <c r="P298" s="93">
        <f>SUM('31:16'!P298)</f>
        <v>0</v>
      </c>
      <c r="Q298" s="93">
        <f>SUM('31:16'!Q298)</f>
        <v>0</v>
      </c>
      <c r="R298" s="93">
        <f>SUM('31:16'!R298)</f>
        <v>0</v>
      </c>
      <c r="S298" s="93">
        <f>SUM('31:16'!S298)</f>
        <v>0</v>
      </c>
      <c r="T298" s="93">
        <f>SUM('31:16'!T298)</f>
        <v>0</v>
      </c>
      <c r="U298" s="93">
        <f>SUM('31:16'!U298)</f>
        <v>0</v>
      </c>
      <c r="V298" s="206">
        <f t="shared" si="107"/>
        <v>0</v>
      </c>
      <c r="W298" s="33">
        <f t="shared" si="103"/>
        <v>0</v>
      </c>
      <c r="X298" s="93">
        <f>SUM('31:16'!X298)</f>
        <v>0</v>
      </c>
      <c r="Y298" s="93">
        <f>SUM('31:16'!Y298)</f>
        <v>0</v>
      </c>
      <c r="Z298" s="93">
        <f>SUM('31:16'!Z298)</f>
        <v>0</v>
      </c>
      <c r="AA298" s="93">
        <f>SUM('31:16'!AA298)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16" t="s">
        <v>60</v>
      </c>
      <c r="D299" s="17">
        <v>5.03</v>
      </c>
      <c r="E299" s="17"/>
      <c r="F299" s="6"/>
      <c r="G299" s="93">
        <f>SUM('31:16'!G299)</f>
        <v>0</v>
      </c>
      <c r="H299" s="339">
        <f t="shared" si="108"/>
        <v>0</v>
      </c>
      <c r="I299" s="93">
        <f>SUM('31:16'!I299)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SUM('31:16'!O299)</f>
        <v>0</v>
      </c>
      <c r="P299" s="93">
        <f>SUM('31:16'!P299)</f>
        <v>0</v>
      </c>
      <c r="Q299" s="93">
        <f>SUM('31:16'!Q299)</f>
        <v>0</v>
      </c>
      <c r="R299" s="93">
        <f>SUM('31:16'!R299)</f>
        <v>0</v>
      </c>
      <c r="S299" s="93">
        <f>SUM('31:16'!S299)</f>
        <v>0</v>
      </c>
      <c r="T299" s="93">
        <f>SUM('31:16'!T299)</f>
        <v>0</v>
      </c>
      <c r="U299" s="93">
        <f>SUM('31:16'!U299)</f>
        <v>0</v>
      </c>
      <c r="V299" s="206">
        <f t="shared" si="107"/>
        <v>0</v>
      </c>
      <c r="W299" s="33" t="str">
        <f t="shared" si="103"/>
        <v/>
      </c>
      <c r="X299" s="93">
        <f>SUM('31:16'!X299)</f>
        <v>0</v>
      </c>
      <c r="Y299" s="93">
        <f>SUM('31:16'!Y299)</f>
        <v>0</v>
      </c>
      <c r="Z299" s="93">
        <f>SUM('31:16'!Z299)</f>
        <v>0</v>
      </c>
      <c r="AA299" s="93">
        <f>SUM('31:16'!AA299)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/>
      <c r="B300" s="63" t="s">
        <v>95</v>
      </c>
      <c r="C300" s="340" t="s">
        <v>96</v>
      </c>
      <c r="D300" s="17">
        <v>5.03</v>
      </c>
      <c r="E300" s="17"/>
      <c r="F300" s="6"/>
      <c r="G300" s="93">
        <f>SUM('31:16'!G300)</f>
        <v>0</v>
      </c>
      <c r="H300" s="339">
        <f t="shared" si="108"/>
        <v>0</v>
      </c>
      <c r="I300" s="93">
        <f>SUM('31:16'!I300)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5"/>
        <v>0</v>
      </c>
      <c r="N300" s="31">
        <f t="shared" si="106"/>
        <v>0</v>
      </c>
      <c r="O300" s="93">
        <f>SUM('31:16'!O300)</f>
        <v>0</v>
      </c>
      <c r="P300" s="93">
        <f>SUM('31:16'!P300)</f>
        <v>0</v>
      </c>
      <c r="Q300" s="93">
        <f>SUM('31:16'!Q300)</f>
        <v>0</v>
      </c>
      <c r="R300" s="93">
        <f>SUM('31:16'!R300)</f>
        <v>0</v>
      </c>
      <c r="S300" s="93">
        <f>SUM('31:16'!S300)</f>
        <v>0</v>
      </c>
      <c r="T300" s="93">
        <f>SUM('31:16'!T300)</f>
        <v>0</v>
      </c>
      <c r="U300" s="93">
        <f>SUM('31:16'!U300)</f>
        <v>0</v>
      </c>
      <c r="V300" s="206">
        <f t="shared" si="107"/>
        <v>0</v>
      </c>
      <c r="W300" s="33" t="str">
        <f t="shared" si="103"/>
        <v/>
      </c>
      <c r="X300" s="93">
        <f>SUM('31:16'!X300)</f>
        <v>0</v>
      </c>
      <c r="Y300" s="93">
        <f>SUM('31:16'!Y300)</f>
        <v>0</v>
      </c>
      <c r="Z300" s="93">
        <f>SUM('31:16'!Z300)</f>
        <v>0</v>
      </c>
      <c r="AA300" s="93">
        <f>SUM('31:16'!AA300)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30101067</v>
      </c>
      <c r="B301" s="63" t="s">
        <v>97</v>
      </c>
      <c r="C301" s="340" t="s">
        <v>82</v>
      </c>
      <c r="D301" s="17">
        <v>5.03</v>
      </c>
      <c r="E301" s="17"/>
      <c r="F301" s="6"/>
      <c r="G301" s="93">
        <f>SUM('31:16'!G301)</f>
        <v>0</v>
      </c>
      <c r="H301" s="339">
        <f t="shared" si="108"/>
        <v>0</v>
      </c>
      <c r="I301" s="93">
        <f>SUM('31:16'!I301)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SUM('31:16'!O301)</f>
        <v>0</v>
      </c>
      <c r="P301" s="93">
        <f>SUM('31:16'!P301)</f>
        <v>0</v>
      </c>
      <c r="Q301" s="93">
        <f>SUM('31:16'!Q301)</f>
        <v>0</v>
      </c>
      <c r="R301" s="93">
        <f>SUM('31:16'!R301)</f>
        <v>0</v>
      </c>
      <c r="S301" s="93">
        <f>SUM('31:16'!S301)</f>
        <v>0</v>
      </c>
      <c r="T301" s="93">
        <f>SUM('31:16'!T301)</f>
        <v>0</v>
      </c>
      <c r="U301" s="93">
        <f>SUM('31:16'!U301)</f>
        <v>0</v>
      </c>
      <c r="V301" s="206">
        <f t="shared" si="107"/>
        <v>0</v>
      </c>
      <c r="W301" s="33" t="str">
        <f t="shared" si="103"/>
        <v/>
      </c>
      <c r="X301" s="93">
        <f>SUM('31:16'!X301)</f>
        <v>0</v>
      </c>
      <c r="Y301" s="93">
        <f>SUM('31:16'!Y301)</f>
        <v>0</v>
      </c>
      <c r="Z301" s="93">
        <f>SUM('31:16'!Z301)</f>
        <v>0</v>
      </c>
      <c r="AA301" s="93">
        <f>SUM('31:16'!AA301)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30101068</v>
      </c>
      <c r="B302" s="63" t="s">
        <v>97</v>
      </c>
      <c r="C302" s="340" t="s">
        <v>72</v>
      </c>
      <c r="D302" s="17">
        <v>5.03</v>
      </c>
      <c r="E302" s="17"/>
      <c r="F302" s="6"/>
      <c r="G302" s="93">
        <f>SUM('31:16'!G302)</f>
        <v>0</v>
      </c>
      <c r="H302" s="339">
        <f t="shared" si="108"/>
        <v>0</v>
      </c>
      <c r="I302" s="93">
        <f>SUM('31:16'!I302)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SUM('31:16'!O302)</f>
        <v>0</v>
      </c>
      <c r="P302" s="93">
        <f>SUM('31:16'!P302)</f>
        <v>0</v>
      </c>
      <c r="Q302" s="93">
        <f>SUM('31:16'!Q302)</f>
        <v>0</v>
      </c>
      <c r="R302" s="93">
        <f>SUM('31:16'!R302)</f>
        <v>0</v>
      </c>
      <c r="S302" s="93">
        <f>SUM('31:16'!S302)</f>
        <v>0</v>
      </c>
      <c r="T302" s="93">
        <f>SUM('31:16'!T302)</f>
        <v>0</v>
      </c>
      <c r="U302" s="93">
        <f>SUM('31:16'!U302)</f>
        <v>0</v>
      </c>
      <c r="V302" s="206">
        <f t="shared" si="107"/>
        <v>0</v>
      </c>
      <c r="W302" s="33" t="str">
        <f t="shared" si="103"/>
        <v/>
      </c>
      <c r="X302" s="93">
        <f>SUM('31:16'!X302)</f>
        <v>0</v>
      </c>
      <c r="Y302" s="93">
        <f>SUM('31:16'!Y302)</f>
        <v>0</v>
      </c>
      <c r="Z302" s="93">
        <f>SUM('31:16'!Z302)</f>
        <v>0</v>
      </c>
      <c r="AA302" s="93">
        <f>SUM('31:16'!AA302)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30101069</v>
      </c>
      <c r="B303" s="63" t="s">
        <v>97</v>
      </c>
      <c r="C303" s="340" t="s">
        <v>60</v>
      </c>
      <c r="D303" s="17">
        <v>5.03</v>
      </c>
      <c r="E303" s="17"/>
      <c r="F303" s="6"/>
      <c r="G303" s="93">
        <f>SUM('31:16'!G303)</f>
        <v>0</v>
      </c>
      <c r="H303" s="339">
        <f t="shared" si="108"/>
        <v>0</v>
      </c>
      <c r="I303" s="93">
        <f>SUM('31:16'!I303)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SUM('31:16'!O303)</f>
        <v>0</v>
      </c>
      <c r="P303" s="93">
        <f>SUM('31:16'!P303)</f>
        <v>0</v>
      </c>
      <c r="Q303" s="93">
        <f>SUM('31:16'!Q303)</f>
        <v>0</v>
      </c>
      <c r="R303" s="93">
        <f>SUM('31:16'!R303)</f>
        <v>0</v>
      </c>
      <c r="S303" s="93">
        <f>SUM('31:16'!S303)</f>
        <v>0</v>
      </c>
      <c r="T303" s="93">
        <f>SUM('31:16'!T303)</f>
        <v>0</v>
      </c>
      <c r="U303" s="93">
        <f>SUM('31:16'!U303)</f>
        <v>0</v>
      </c>
      <c r="V303" s="206">
        <f t="shared" si="107"/>
        <v>0</v>
      </c>
      <c r="W303" s="33" t="str">
        <f t="shared" si="103"/>
        <v/>
      </c>
      <c r="X303" s="93">
        <f>SUM('31:16'!X303)</f>
        <v>0</v>
      </c>
      <c r="Y303" s="93">
        <f>SUM('31:16'!Y303)</f>
        <v>0</v>
      </c>
      <c r="Z303" s="93">
        <f>SUM('31:16'!Z303)</f>
        <v>0</v>
      </c>
      <c r="AA303" s="93">
        <f>SUM('31:16'!AA303)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30101070</v>
      </c>
      <c r="B304" s="63" t="s">
        <v>97</v>
      </c>
      <c r="C304" s="340" t="s">
        <v>96</v>
      </c>
      <c r="D304" s="17">
        <v>5.03</v>
      </c>
      <c r="E304" s="17"/>
      <c r="F304" s="6"/>
      <c r="G304" s="93">
        <f>SUM('31:16'!G304)</f>
        <v>0</v>
      </c>
      <c r="H304" s="339">
        <f t="shared" si="108"/>
        <v>0</v>
      </c>
      <c r="I304" s="93">
        <f>SUM('31:16'!I304)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SUM('31:16'!O304)</f>
        <v>0</v>
      </c>
      <c r="P304" s="93">
        <f>SUM('31:16'!P304)</f>
        <v>0</v>
      </c>
      <c r="Q304" s="93">
        <f>SUM('31:16'!Q304)</f>
        <v>0</v>
      </c>
      <c r="R304" s="93">
        <f>SUM('31:16'!R304)</f>
        <v>0</v>
      </c>
      <c r="S304" s="93">
        <f>SUM('31:16'!S304)</f>
        <v>0</v>
      </c>
      <c r="T304" s="93">
        <f>SUM('31:16'!T304)</f>
        <v>0</v>
      </c>
      <c r="U304" s="93">
        <f>SUM('31:16'!U304)</f>
        <v>0</v>
      </c>
      <c r="V304" s="206">
        <f t="shared" si="107"/>
        <v>0</v>
      </c>
      <c r="W304" s="33" t="str">
        <f t="shared" si="103"/>
        <v/>
      </c>
      <c r="X304" s="93">
        <f>SUM('31:16'!X304)</f>
        <v>0</v>
      </c>
      <c r="Y304" s="93">
        <f>SUM('31:16'!Y304)</f>
        <v>0</v>
      </c>
      <c r="Z304" s="93">
        <f>SUM('31:16'!Z304)</f>
        <v>0</v>
      </c>
      <c r="AA304" s="93">
        <f>SUM('31:16'!AA304)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299">
        <v>30101071</v>
      </c>
      <c r="B305" s="63" t="s">
        <v>97</v>
      </c>
      <c r="C305" s="340" t="s">
        <v>73</v>
      </c>
      <c r="D305" s="17">
        <v>5.03</v>
      </c>
      <c r="E305" s="17"/>
      <c r="F305" s="6"/>
      <c r="G305" s="93">
        <f>SUM('31:16'!G305)</f>
        <v>0</v>
      </c>
      <c r="H305" s="339">
        <f t="shared" si="108"/>
        <v>0</v>
      </c>
      <c r="I305" s="93">
        <f>SUM('31:16'!I305)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5"/>
        <v/>
      </c>
      <c r="N305" s="31">
        <f t="shared" si="106"/>
        <v>0</v>
      </c>
      <c r="O305" s="93">
        <f>SUM('31:16'!O305)</f>
        <v>0</v>
      </c>
      <c r="P305" s="93">
        <f>SUM('31:16'!P305)</f>
        <v>0</v>
      </c>
      <c r="Q305" s="93">
        <f>SUM('31:16'!Q305)</f>
        <v>0</v>
      </c>
      <c r="R305" s="93">
        <f>SUM('31:16'!R305)</f>
        <v>0</v>
      </c>
      <c r="S305" s="93">
        <f>SUM('31:16'!S305)</f>
        <v>0</v>
      </c>
      <c r="T305" s="93">
        <f>SUM('31:16'!T305)</f>
        <v>0</v>
      </c>
      <c r="U305" s="93">
        <f>SUM('31:16'!U305)</f>
        <v>0</v>
      </c>
      <c r="V305" s="206">
        <f t="shared" si="107"/>
        <v>0</v>
      </c>
      <c r="W305" s="33" t="str">
        <f t="shared" si="103"/>
        <v/>
      </c>
      <c r="X305" s="93">
        <f>SUM('31:16'!X305)</f>
        <v>0</v>
      </c>
      <c r="Y305" s="93">
        <f>SUM('31:16'!Y305)</f>
        <v>0</v>
      </c>
      <c r="Z305" s="93">
        <f>SUM('31:16'!Z305)</f>
        <v>0</v>
      </c>
      <c r="AA305" s="93">
        <f>SUM('31:16'!AA305)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SUM('31:16'!G306)</f>
        <v>3526</v>
      </c>
      <c r="H306" s="339">
        <f t="shared" si="108"/>
        <v>17841.559999999998</v>
      </c>
      <c r="I306" s="93">
        <f>SUM('31:16'!I306)</f>
        <v>199.5</v>
      </c>
      <c r="J306" s="31">
        <f t="array" ref="J306">IF(ISERROR(G306/I306),"",G306/I306)</f>
        <v>17.674185463659146</v>
      </c>
      <c r="K306" s="35">
        <f t="array" ref="K306">IF(ISERROR(G306/L306),"",G306/L306)</f>
        <v>141.04</v>
      </c>
      <c r="L306" s="87">
        <v>25</v>
      </c>
      <c r="M306" s="36">
        <f t="shared" si="105"/>
        <v>58.460000000000008</v>
      </c>
      <c r="N306" s="31">
        <f t="shared" si="106"/>
        <v>0</v>
      </c>
      <c r="O306" s="93">
        <f>SUM('31:16'!O306)</f>
        <v>0</v>
      </c>
      <c r="P306" s="93">
        <f>SUM('31:16'!P306)</f>
        <v>0</v>
      </c>
      <c r="Q306" s="93">
        <f>SUM('31:16'!Q306)</f>
        <v>0</v>
      </c>
      <c r="R306" s="93">
        <f>SUM('31:16'!R306)</f>
        <v>0</v>
      </c>
      <c r="S306" s="93">
        <f>SUM('31:16'!S306)</f>
        <v>0</v>
      </c>
      <c r="T306" s="93">
        <f>SUM('31:16'!T306)</f>
        <v>0</v>
      </c>
      <c r="U306" s="93">
        <f>SUM('31:16'!U306)</f>
        <v>0</v>
      </c>
      <c r="V306" s="206">
        <f t="shared" si="107"/>
        <v>0</v>
      </c>
      <c r="W306" s="33">
        <f t="shared" si="103"/>
        <v>0</v>
      </c>
      <c r="X306" s="93">
        <f>SUM('31:16'!X306)</f>
        <v>0</v>
      </c>
      <c r="Y306" s="93">
        <f>SUM('31:16'!Y306)</f>
        <v>0</v>
      </c>
      <c r="Z306" s="93">
        <f>SUM('31:16'!Z306)</f>
        <v>0</v>
      </c>
      <c r="AA306" s="93">
        <f>SUM('31:16'!AA306)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300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SUM('31:16'!G307)</f>
        <v>3557</v>
      </c>
      <c r="H307" s="339">
        <f t="shared" si="108"/>
        <v>17998.419999999998</v>
      </c>
      <c r="I307" s="93">
        <f>SUM('31:16'!I307)</f>
        <v>176</v>
      </c>
      <c r="J307" s="31">
        <f t="array" ref="J307">IF(ISERROR(G307/I307),"",G307/I307)</f>
        <v>20.210227272727273</v>
      </c>
      <c r="K307" s="35">
        <f t="array" ref="K307">IF(ISERROR(G307/L307),"",G307/L307)</f>
        <v>142.28</v>
      </c>
      <c r="L307" s="87">
        <v>25</v>
      </c>
      <c r="M307" s="36">
        <f t="shared" si="105"/>
        <v>33.72</v>
      </c>
      <c r="N307" s="31">
        <f t="shared" si="106"/>
        <v>0</v>
      </c>
      <c r="O307" s="93">
        <f>SUM('31:16'!O307)</f>
        <v>0</v>
      </c>
      <c r="P307" s="93">
        <f>SUM('31:16'!P307)</f>
        <v>0</v>
      </c>
      <c r="Q307" s="93">
        <f>SUM('31:16'!Q307)</f>
        <v>0</v>
      </c>
      <c r="R307" s="93">
        <f>SUM('31:16'!R307)</f>
        <v>0</v>
      </c>
      <c r="S307" s="93">
        <f>SUM('31:16'!S307)</f>
        <v>0</v>
      </c>
      <c r="T307" s="93">
        <f>SUM('31:16'!T307)</f>
        <v>0</v>
      </c>
      <c r="U307" s="93">
        <f>SUM('31:16'!U307)</f>
        <v>0</v>
      </c>
      <c r="V307" s="206">
        <f t="shared" si="107"/>
        <v>0</v>
      </c>
      <c r="W307" s="33">
        <f t="shared" si="103"/>
        <v>0</v>
      </c>
      <c r="X307" s="93">
        <f>SUM('31:16'!X307)</f>
        <v>0</v>
      </c>
      <c r="Y307" s="93">
        <f>SUM('31:16'!Y307)</f>
        <v>0</v>
      </c>
      <c r="Z307" s="93">
        <f>SUM('31:16'!Z307)</f>
        <v>0</v>
      </c>
      <c r="AA307" s="93">
        <f>SUM('31:16'!AA307)</f>
        <v>0</v>
      </c>
      <c r="AB307" s="73"/>
      <c r="AC307" s="54"/>
      <c r="AD307" s="346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731" t="s">
        <v>99</v>
      </c>
      <c r="B308" s="732"/>
      <c r="C308" s="342" t="s">
        <v>71</v>
      </c>
      <c r="D308" s="20"/>
      <c r="E308" s="20"/>
      <c r="F308" s="32"/>
      <c r="G308" s="99">
        <f>SUM(G293:G307)</f>
        <v>10989</v>
      </c>
      <c r="H308" s="30">
        <f>SUM(H293:H307)</f>
        <v>55496.14</v>
      </c>
      <c r="I308" s="30">
        <f>SUM(I293:I307)</f>
        <v>615.36</v>
      </c>
      <c r="J308" s="31">
        <f t="array" ref="J308">IF(ISERROR(G308/I308),"",G308/I308)</f>
        <v>17.857839313572544</v>
      </c>
      <c r="K308" s="30">
        <f>SUM(K293:K307)</f>
        <v>560.89</v>
      </c>
      <c r="L308" s="30"/>
      <c r="M308" s="89">
        <f t="shared" ref="M308:V308" si="109">SUM(M293:M307)</f>
        <v>54.470000000000006</v>
      </c>
      <c r="N308" s="30">
        <f t="shared" si="109"/>
        <v>0</v>
      </c>
      <c r="O308" s="30">
        <f t="shared" si="109"/>
        <v>0</v>
      </c>
      <c r="P308" s="30">
        <f t="shared" si="109"/>
        <v>0</v>
      </c>
      <c r="Q308" s="30">
        <f t="shared" si="109"/>
        <v>0</v>
      </c>
      <c r="R308" s="30">
        <f t="shared" si="109"/>
        <v>0</v>
      </c>
      <c r="S308" s="30">
        <f t="shared" si="109"/>
        <v>0</v>
      </c>
      <c r="T308" s="30">
        <f t="shared" si="109"/>
        <v>0</v>
      </c>
      <c r="U308" s="30">
        <f t="shared" si="109"/>
        <v>0</v>
      </c>
      <c r="V308" s="208">
        <f t="shared" si="109"/>
        <v>0</v>
      </c>
      <c r="W308" s="33">
        <f t="shared" si="103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75"/>
      <c r="AC308" s="70"/>
      <c r="AD308" s="346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SUM('31:16'!G309)</f>
        <v>0</v>
      </c>
      <c r="H309" s="339">
        <f t="shared" ref="H309:H318" si="110">D309*G309</f>
        <v>0</v>
      </c>
      <c r="I309" s="93">
        <f>SUM('31:16'!I309)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3" si="111">IF(ISERROR(I309-K309),"",I309-K309)</f>
        <v>0</v>
      </c>
      <c r="N309" s="31">
        <f t="shared" ref="N309:N313" si="112">SUM(O309:U309)</f>
        <v>0</v>
      </c>
      <c r="O309" s="93">
        <f>SUM('31:16'!O309)</f>
        <v>0</v>
      </c>
      <c r="P309" s="93">
        <f>SUM('31:16'!P309)</f>
        <v>0</v>
      </c>
      <c r="Q309" s="93">
        <f>SUM('31:16'!Q309)</f>
        <v>0</v>
      </c>
      <c r="R309" s="93">
        <f>SUM('31:16'!R309)</f>
        <v>0</v>
      </c>
      <c r="S309" s="93">
        <f>SUM('31:16'!S309)</f>
        <v>0</v>
      </c>
      <c r="T309" s="93">
        <f>SUM('31:16'!T309)</f>
        <v>0</v>
      </c>
      <c r="U309" s="93">
        <f>SUM('31:16'!U309)</f>
        <v>0</v>
      </c>
      <c r="V309" s="206">
        <f t="shared" ref="V309:V313" si="113">SUM(X309:AA309)</f>
        <v>0</v>
      </c>
      <c r="W309" s="33" t="str">
        <f t="shared" si="103"/>
        <v/>
      </c>
      <c r="X309" s="93">
        <f>SUM('31:16'!X309)</f>
        <v>0</v>
      </c>
      <c r="Y309" s="93">
        <f>SUM('31:16'!Y309)</f>
        <v>0</v>
      </c>
      <c r="Z309" s="93">
        <f>SUM('31:16'!Z309)</f>
        <v>0</v>
      </c>
      <c r="AA309" s="93">
        <f>SUM('31:16'!AA309)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SUM('31:16'!G310)</f>
        <v>0</v>
      </c>
      <c r="H310" s="339">
        <f t="shared" si="110"/>
        <v>0</v>
      </c>
      <c r="I310" s="93">
        <f>SUM('31:16'!I310)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1"/>
        <v>0</v>
      </c>
      <c r="N310" s="31">
        <f t="shared" si="112"/>
        <v>0</v>
      </c>
      <c r="O310" s="93">
        <f>SUM('31:16'!O310)</f>
        <v>0</v>
      </c>
      <c r="P310" s="93">
        <f>SUM('31:16'!P310)</f>
        <v>0</v>
      </c>
      <c r="Q310" s="93">
        <f>SUM('31:16'!Q310)</f>
        <v>0</v>
      </c>
      <c r="R310" s="93">
        <f>SUM('31:16'!R310)</f>
        <v>0</v>
      </c>
      <c r="S310" s="93">
        <f>SUM('31:16'!S310)</f>
        <v>0</v>
      </c>
      <c r="T310" s="93">
        <f>SUM('31:16'!T310)</f>
        <v>0</v>
      </c>
      <c r="U310" s="93">
        <f>SUM('31:16'!U310)</f>
        <v>0</v>
      </c>
      <c r="V310" s="206">
        <f t="shared" si="113"/>
        <v>0</v>
      </c>
      <c r="W310" s="33" t="str">
        <f t="shared" si="103"/>
        <v/>
      </c>
      <c r="X310" s="93">
        <f>SUM('31:16'!X310)</f>
        <v>0</v>
      </c>
      <c r="Y310" s="93">
        <f>SUM('31:16'!Y310)</f>
        <v>0</v>
      </c>
      <c r="Z310" s="93">
        <f>SUM('31:16'!Z310)</f>
        <v>0</v>
      </c>
      <c r="AA310" s="93">
        <f>SUM('31:16'!AA310)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SUM('31:16'!G311)</f>
        <v>0</v>
      </c>
      <c r="H311" s="339">
        <f t="shared" si="110"/>
        <v>0</v>
      </c>
      <c r="I311" s="93">
        <f>SUM('31:16'!I311)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SUM('31:16'!O311)</f>
        <v>0</v>
      </c>
      <c r="P311" s="93">
        <f>SUM('31:16'!P311)</f>
        <v>0</v>
      </c>
      <c r="Q311" s="93">
        <f>SUM('31:16'!Q311)</f>
        <v>0</v>
      </c>
      <c r="R311" s="93">
        <f>SUM('31:16'!R311)</f>
        <v>0</v>
      </c>
      <c r="S311" s="93">
        <f>SUM('31:16'!S311)</f>
        <v>0</v>
      </c>
      <c r="T311" s="93">
        <f>SUM('31:16'!T311)</f>
        <v>0</v>
      </c>
      <c r="U311" s="93">
        <f>SUM('31:16'!U311)</f>
        <v>0</v>
      </c>
      <c r="V311" s="206">
        <f t="shared" si="113"/>
        <v>0</v>
      </c>
      <c r="W311" s="33" t="str">
        <f t="shared" si="103"/>
        <v/>
      </c>
      <c r="X311" s="93">
        <f>SUM('31:16'!X311)</f>
        <v>0</v>
      </c>
      <c r="Y311" s="93">
        <f>SUM('31:16'!Y311)</f>
        <v>0</v>
      </c>
      <c r="Z311" s="93">
        <f>SUM('31:16'!Z311)</f>
        <v>0</v>
      </c>
      <c r="AA311" s="93">
        <f>SUM('31:16'!AA311)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66</v>
      </c>
      <c r="D312" s="17">
        <v>5.04</v>
      </c>
      <c r="E312" s="17"/>
      <c r="F312" s="6"/>
      <c r="G312" s="93">
        <f>SUM('31:16'!G312)</f>
        <v>0</v>
      </c>
      <c r="H312" s="339">
        <f t="shared" si="110"/>
        <v>0</v>
      </c>
      <c r="I312" s="93">
        <f>SUM('31:16'!I312)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SUM('31:16'!O312)</f>
        <v>0</v>
      </c>
      <c r="P312" s="93">
        <f>SUM('31:16'!P312)</f>
        <v>0</v>
      </c>
      <c r="Q312" s="93">
        <f>SUM('31:16'!Q312)</f>
        <v>0</v>
      </c>
      <c r="R312" s="93">
        <f>SUM('31:16'!R312)</f>
        <v>0</v>
      </c>
      <c r="S312" s="93">
        <f>SUM('31:16'!S312)</f>
        <v>0</v>
      </c>
      <c r="T312" s="93">
        <f>SUM('31:16'!T312)</f>
        <v>0</v>
      </c>
      <c r="U312" s="93">
        <f>SUM('31:16'!U312)</f>
        <v>0</v>
      </c>
      <c r="V312" s="206">
        <f t="shared" si="113"/>
        <v>0</v>
      </c>
      <c r="W312" s="33" t="str">
        <f t="shared" si="103"/>
        <v/>
      </c>
      <c r="X312" s="93">
        <f>SUM('31:16'!X312)</f>
        <v>0</v>
      </c>
      <c r="Y312" s="93">
        <f>SUM('31:16'!Y312)</f>
        <v>0</v>
      </c>
      <c r="Z312" s="93">
        <f>SUM('31:16'!Z312)</f>
        <v>0</v>
      </c>
      <c r="AA312" s="93">
        <f>SUM('31:16'!AA312)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SUM('31:16'!G313)</f>
        <v>0</v>
      </c>
      <c r="H313" s="339">
        <f t="shared" si="110"/>
        <v>0</v>
      </c>
      <c r="I313" s="93">
        <f>SUM('31:16'!I313)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1"/>
        <v>0</v>
      </c>
      <c r="N313" s="31">
        <f t="shared" si="112"/>
        <v>0</v>
      </c>
      <c r="O313" s="93">
        <f>SUM('31:16'!O313)</f>
        <v>0</v>
      </c>
      <c r="P313" s="93">
        <f>SUM('31:16'!P313)</f>
        <v>0</v>
      </c>
      <c r="Q313" s="93">
        <f>SUM('31:16'!Q313)</f>
        <v>0</v>
      </c>
      <c r="R313" s="93">
        <f>SUM('31:16'!R313)</f>
        <v>0</v>
      </c>
      <c r="S313" s="93">
        <f>SUM('31:16'!S313)</f>
        <v>0</v>
      </c>
      <c r="T313" s="93">
        <f>SUM('31:16'!T313)</f>
        <v>0</v>
      </c>
      <c r="U313" s="93">
        <f>SUM('31:16'!U313)</f>
        <v>0</v>
      </c>
      <c r="V313" s="206">
        <f t="shared" si="113"/>
        <v>0</v>
      </c>
      <c r="W313" s="33" t="str">
        <f t="shared" si="103"/>
        <v/>
      </c>
      <c r="X313" s="93">
        <f>SUM('31:16'!X313)</f>
        <v>0</v>
      </c>
      <c r="Y313" s="93">
        <f>SUM('31:16'!Y313)</f>
        <v>0</v>
      </c>
      <c r="Z313" s="93">
        <f>SUM('31:16'!Z313)</f>
        <v>0</v>
      </c>
      <c r="AA313" s="93">
        <f>SUM('31:16'!AA313)</f>
        <v>0</v>
      </c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SUM('31:16'!G314)</f>
        <v>1292</v>
      </c>
      <c r="H314" s="374">
        <f t="shared" si="110"/>
        <v>6498.76</v>
      </c>
      <c r="I314" s="93">
        <f>SUM('31:16'!I314)</f>
        <v>96.15</v>
      </c>
      <c r="J314" s="31">
        <f t="array" ref="J314">IF(ISERROR(G314/I314),"",G314/I314)</f>
        <v>13.43733749349974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346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SUM('31:16'!G315)</f>
        <v>1281</v>
      </c>
      <c r="H315" s="374">
        <f t="shared" si="110"/>
        <v>6443.43</v>
      </c>
      <c r="I315" s="93">
        <f>SUM('31:16'!I315)</f>
        <v>97</v>
      </c>
      <c r="J315" s="31">
        <f t="array" ref="J315">IF(ISERROR(G315/I315),"",G315/I315)</f>
        <v>13.206185567010309</v>
      </c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SUM('31:16'!G316)</f>
        <v>1281</v>
      </c>
      <c r="H316" s="378">
        <f t="shared" si="110"/>
        <v>6443.43</v>
      </c>
      <c r="I316" s="93">
        <f>SUM('31:16'!I316)</f>
        <v>104</v>
      </c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73"/>
      <c r="AC316" s="54"/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300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SUM('31:16'!G317)</f>
        <v>1350</v>
      </c>
      <c r="H317" s="450">
        <f t="shared" si="110"/>
        <v>6790.5</v>
      </c>
      <c r="I317" s="93">
        <f>SUM('31:16'!I317)</f>
        <v>100.5</v>
      </c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73"/>
      <c r="AC317" s="54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300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SUM('31:16'!G318)</f>
        <v>0</v>
      </c>
      <c r="H318" s="339">
        <f t="shared" si="110"/>
        <v>0</v>
      </c>
      <c r="I318" s="93">
        <f>SUM('31:16'!I318)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ref="M318" si="114">IF(ISERROR(I318-K318),"",I318-K318)</f>
        <v>0</v>
      </c>
      <c r="N318" s="31">
        <f t="shared" ref="N318" si="115">SUM(O318:U318)</f>
        <v>0</v>
      </c>
      <c r="O318" s="93">
        <f>SUM('31:16'!O318)</f>
        <v>0</v>
      </c>
      <c r="P318" s="93">
        <f>SUM('31:16'!P318)</f>
        <v>0</v>
      </c>
      <c r="Q318" s="93">
        <f>SUM('31:16'!Q318)</f>
        <v>0</v>
      </c>
      <c r="R318" s="93">
        <f>SUM('31:16'!R318)</f>
        <v>0</v>
      </c>
      <c r="S318" s="93">
        <f>SUM('31:16'!S318)</f>
        <v>0</v>
      </c>
      <c r="T318" s="93">
        <f>SUM('31:16'!T318)</f>
        <v>0</v>
      </c>
      <c r="U318" s="93">
        <f>SUM('31:16'!U318)</f>
        <v>0</v>
      </c>
      <c r="V318" s="206">
        <f t="shared" ref="V318" si="116">SUM(X318:AA318)</f>
        <v>0</v>
      </c>
      <c r="W318" s="33" t="str">
        <f t="shared" ref="W318:W323" si="117">IF(ISERROR(V318/G318),"",V318/G318)</f>
        <v/>
      </c>
      <c r="X318" s="93">
        <f>SUM('31:16'!X318)</f>
        <v>0</v>
      </c>
      <c r="Y318" s="93">
        <f>SUM('31:16'!Y318)</f>
        <v>0</v>
      </c>
      <c r="Z318" s="93">
        <f>SUM('31:16'!Z318)</f>
        <v>0</v>
      </c>
      <c r="AA318" s="93">
        <f>SUM('31:16'!AA318)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731" t="s">
        <v>102</v>
      </c>
      <c r="B319" s="732"/>
      <c r="C319" s="342" t="s">
        <v>71</v>
      </c>
      <c r="D319" s="20"/>
      <c r="E319" s="20"/>
      <c r="F319" s="32"/>
      <c r="G319" s="103">
        <f>SUM(G309:G318)</f>
        <v>5204</v>
      </c>
      <c r="H319" s="30">
        <f>SUM(H309:H318)</f>
        <v>26176.120000000003</v>
      </c>
      <c r="I319" s="30">
        <f>SUM(I309:I318)</f>
        <v>397.65</v>
      </c>
      <c r="J319" s="31">
        <f t="array" ref="J319">IF(ISERROR(G319/I319),"",G319/I319)</f>
        <v>13.086885452030682</v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17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75"/>
      <c r="AC319" s="70"/>
      <c r="AD319" s="346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30700013</v>
      </c>
      <c r="B320" s="64" t="s">
        <v>103</v>
      </c>
      <c r="C320" s="335"/>
      <c r="D320" s="17">
        <v>3.65</v>
      </c>
      <c r="E320" s="17"/>
      <c r="F320" s="53"/>
      <c r="G320" s="93">
        <f>SUM('31:16'!G320)</f>
        <v>0</v>
      </c>
      <c r="H320" s="339">
        <f>D320*G320</f>
        <v>0</v>
      </c>
      <c r="I320" s="93">
        <f>SUM('31:16'!I320)</f>
        <v>0</v>
      </c>
      <c r="J320" s="31" t="str">
        <f t="array" ref="J320">IF(ISERROR(G320/I320),"",G320/I320)</f>
        <v/>
      </c>
      <c r="K320" s="339">
        <f t="array" ref="K320">IF(ISERROR(G320/L320),"",G320/L320)</f>
        <v>0</v>
      </c>
      <c r="L320" s="87">
        <v>5</v>
      </c>
      <c r="M320" s="36">
        <f t="shared" ref="M320:M323" si="118">IF(ISERROR(I320-K320),"",I320-K320)</f>
        <v>0</v>
      </c>
      <c r="N320" s="31">
        <f t="shared" ref="N320:N323" si="119">SUM(O320:U320)</f>
        <v>0</v>
      </c>
      <c r="O320" s="93">
        <f>SUM('31:16'!O320)</f>
        <v>0</v>
      </c>
      <c r="P320" s="93">
        <f>SUM('31:16'!P320)</f>
        <v>0</v>
      </c>
      <c r="Q320" s="93">
        <f>SUM('31:16'!Q320)</f>
        <v>0</v>
      </c>
      <c r="R320" s="93">
        <f>SUM('31:16'!R320)</f>
        <v>0</v>
      </c>
      <c r="S320" s="93">
        <f>SUM('31:16'!S320)</f>
        <v>0</v>
      </c>
      <c r="T320" s="93">
        <f>SUM('31:16'!T320)</f>
        <v>0</v>
      </c>
      <c r="U320" s="93">
        <f>SUM('31:16'!U320)</f>
        <v>0</v>
      </c>
      <c r="V320" s="206">
        <f t="shared" ref="V320:V323" si="120">SUM(X320:AA320)</f>
        <v>0</v>
      </c>
      <c r="W320" s="33" t="str">
        <f t="shared" si="117"/>
        <v/>
      </c>
      <c r="X320" s="93">
        <f>SUM('31:16'!X320)</f>
        <v>0</v>
      </c>
      <c r="Y320" s="93">
        <f>SUM('31:16'!Y320)</f>
        <v>0</v>
      </c>
      <c r="Z320" s="93">
        <f>SUM('31:16'!Z320)</f>
        <v>0</v>
      </c>
      <c r="AA320" s="93">
        <f>SUM('31:16'!AA320)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30700014</v>
      </c>
      <c r="B321" s="64" t="s">
        <v>0</v>
      </c>
      <c r="C321" s="335"/>
      <c r="D321" s="17">
        <v>6.58</v>
      </c>
      <c r="E321" s="17"/>
      <c r="F321" s="6"/>
      <c r="G321" s="93">
        <f>SUM('31:16'!G321)</f>
        <v>352</v>
      </c>
      <c r="H321" s="339">
        <f t="shared" ref="H321:H333" si="121">D321*G321</f>
        <v>2316.16</v>
      </c>
      <c r="I321" s="93">
        <f>SUM('31:16'!I321)</f>
        <v>72</v>
      </c>
      <c r="J321" s="31">
        <f t="array" ref="J321">IF(ISERROR(G321/I321),"",G321/I321)</f>
        <v>4.8888888888888893</v>
      </c>
      <c r="K321" s="35">
        <f t="array" ref="K321">IF(ISERROR(G321/L321),"",G321/L321)</f>
        <v>70.400000000000006</v>
      </c>
      <c r="L321" s="87">
        <v>5</v>
      </c>
      <c r="M321" s="36">
        <f t="shared" si="118"/>
        <v>1.5999999999999943</v>
      </c>
      <c r="N321" s="31">
        <f t="shared" si="119"/>
        <v>0</v>
      </c>
      <c r="O321" s="93">
        <f>SUM('31:16'!O321)</f>
        <v>0</v>
      </c>
      <c r="P321" s="93">
        <f>SUM('31:16'!P321)</f>
        <v>0</v>
      </c>
      <c r="Q321" s="93">
        <f>SUM('31:16'!Q321)</f>
        <v>0</v>
      </c>
      <c r="R321" s="93">
        <f>SUM('31:16'!R321)</f>
        <v>0</v>
      </c>
      <c r="S321" s="93">
        <f>SUM('31:16'!S321)</f>
        <v>0</v>
      </c>
      <c r="T321" s="93">
        <f>SUM('31:16'!T321)</f>
        <v>0</v>
      </c>
      <c r="U321" s="93">
        <f>SUM('31:16'!U321)</f>
        <v>0</v>
      </c>
      <c r="V321" s="206">
        <f t="shared" si="120"/>
        <v>0</v>
      </c>
      <c r="W321" s="33">
        <f t="shared" si="117"/>
        <v>0</v>
      </c>
      <c r="X321" s="93">
        <f>SUM('31:16'!X321)</f>
        <v>0</v>
      </c>
      <c r="Y321" s="93">
        <f>SUM('31:16'!Y321)</f>
        <v>0</v>
      </c>
      <c r="Z321" s="93">
        <f>SUM('31:16'!Z321)</f>
        <v>0</v>
      </c>
      <c r="AA321" s="93">
        <f>SUM('31:16'!AA321)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30700016</v>
      </c>
      <c r="B322" s="64" t="s">
        <v>1</v>
      </c>
      <c r="C322" s="335"/>
      <c r="D322" s="17">
        <v>7.8</v>
      </c>
      <c r="E322" s="17"/>
      <c r="F322" s="6"/>
      <c r="G322" s="93">
        <f>SUM('31:16'!G322)</f>
        <v>748</v>
      </c>
      <c r="H322" s="339">
        <f t="shared" si="121"/>
        <v>5834.4</v>
      </c>
      <c r="I322" s="93">
        <f>SUM('31:16'!I322)</f>
        <v>169</v>
      </c>
      <c r="J322" s="31">
        <f t="array" ref="J322">IF(ISERROR(G322/I322),"",G322/I322)</f>
        <v>4.4260355029585803</v>
      </c>
      <c r="K322" s="35">
        <f t="array" ref="K322">IF(ISERROR(G322/L322),"",G322/L322)</f>
        <v>162.60869565217394</v>
      </c>
      <c r="L322" s="87">
        <v>4.5999999999999996</v>
      </c>
      <c r="M322" s="36">
        <f t="shared" si="118"/>
        <v>6.3913043478260647</v>
      </c>
      <c r="N322" s="31">
        <f t="shared" si="119"/>
        <v>0</v>
      </c>
      <c r="O322" s="93">
        <f>SUM('31:16'!O322)</f>
        <v>0</v>
      </c>
      <c r="P322" s="93">
        <f>SUM('31:16'!P322)</f>
        <v>0</v>
      </c>
      <c r="Q322" s="93">
        <f>SUM('31:16'!Q322)</f>
        <v>0</v>
      </c>
      <c r="R322" s="93">
        <f>SUM('31:16'!R322)</f>
        <v>0</v>
      </c>
      <c r="S322" s="93">
        <f>SUM('31:16'!S322)</f>
        <v>0</v>
      </c>
      <c r="T322" s="93">
        <f>SUM('31:16'!T322)</f>
        <v>0</v>
      </c>
      <c r="U322" s="93">
        <f>SUM('31:16'!U322)</f>
        <v>0</v>
      </c>
      <c r="V322" s="206">
        <f t="shared" si="120"/>
        <v>0</v>
      </c>
      <c r="W322" s="33">
        <f t="shared" si="117"/>
        <v>0</v>
      </c>
      <c r="X322" s="93">
        <f>SUM('31:16'!X322)</f>
        <v>0</v>
      </c>
      <c r="Y322" s="93">
        <f>SUM('31:16'!Y322)</f>
        <v>0</v>
      </c>
      <c r="Z322" s="93">
        <f>SUM('31:16'!Z322)</f>
        <v>0</v>
      </c>
      <c r="AA322" s="93">
        <f>SUM('31:16'!AA322)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299">
        <v>30700017</v>
      </c>
      <c r="B323" s="64" t="s">
        <v>2</v>
      </c>
      <c r="C323" s="335"/>
      <c r="D323" s="17">
        <v>4.4000000000000004</v>
      </c>
      <c r="E323" s="17"/>
      <c r="F323" s="6"/>
      <c r="G323" s="93">
        <f>SUM('31:16'!G323)</f>
        <v>333</v>
      </c>
      <c r="H323" s="339">
        <f t="shared" si="121"/>
        <v>1465.2</v>
      </c>
      <c r="I323" s="93">
        <f>SUM('31:16'!I323)</f>
        <v>57</v>
      </c>
      <c r="J323" s="31">
        <f t="array" ref="J323">IF(ISERROR(G323/I323),"",G323/I323)</f>
        <v>5.8421052631578947</v>
      </c>
      <c r="K323" s="35">
        <f t="array" ref="K323">IF(ISERROR(G323/L323),"",G323/L323)</f>
        <v>57.413793103448278</v>
      </c>
      <c r="L323" s="87">
        <v>5.8</v>
      </c>
      <c r="M323" s="36">
        <f t="shared" si="118"/>
        <v>-0.41379310344827758</v>
      </c>
      <c r="N323" s="31">
        <f t="shared" si="119"/>
        <v>0</v>
      </c>
      <c r="O323" s="93">
        <f>SUM('31:16'!O323)</f>
        <v>0</v>
      </c>
      <c r="P323" s="93">
        <f>SUM('31:16'!P323)</f>
        <v>0</v>
      </c>
      <c r="Q323" s="93">
        <f>SUM('31:16'!Q323)</f>
        <v>0</v>
      </c>
      <c r="R323" s="93">
        <f>SUM('31:16'!R323)</f>
        <v>0</v>
      </c>
      <c r="S323" s="93">
        <f>SUM('31:16'!S323)</f>
        <v>0</v>
      </c>
      <c r="T323" s="93">
        <f>SUM('31:16'!T323)</f>
        <v>0</v>
      </c>
      <c r="U323" s="93">
        <f>SUM('31:16'!U323)</f>
        <v>0</v>
      </c>
      <c r="V323" s="206">
        <f t="shared" si="120"/>
        <v>0</v>
      </c>
      <c r="W323" s="33">
        <f t="shared" si="117"/>
        <v>0</v>
      </c>
      <c r="X323" s="93">
        <f>SUM('31:16'!X323)</f>
        <v>0</v>
      </c>
      <c r="Y323" s="93">
        <f>SUM('31:16'!Y323)</f>
        <v>0</v>
      </c>
      <c r="Z323" s="93">
        <f>SUM('31:16'!Z323)</f>
        <v>0</v>
      </c>
      <c r="AA323" s="93">
        <f>SUM('31:16'!AA323)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299">
        <v>30700001</v>
      </c>
      <c r="B324" s="191" t="s">
        <v>359</v>
      </c>
      <c r="C324" s="335"/>
      <c r="D324" s="17"/>
      <c r="E324" s="17"/>
      <c r="F324" s="6"/>
      <c r="G324" s="93">
        <f>SUM('31:16'!G324)</f>
        <v>0</v>
      </c>
      <c r="H324" s="339">
        <f t="shared" si="121"/>
        <v>0</v>
      </c>
      <c r="I324" s="93">
        <f>SUM('31:16'!I324)</f>
        <v>0</v>
      </c>
      <c r="J324" s="31"/>
      <c r="K324" s="35"/>
      <c r="L324" s="87">
        <v>6</v>
      </c>
      <c r="M324" s="36"/>
      <c r="N324" s="31"/>
      <c r="O324" s="93">
        <f>SUM('31:16'!O324)</f>
        <v>0</v>
      </c>
      <c r="P324" s="93">
        <f>SUM('31:16'!P324)</f>
        <v>0</v>
      </c>
      <c r="Q324" s="93">
        <f>SUM('31:16'!Q324)</f>
        <v>0</v>
      </c>
      <c r="R324" s="93">
        <f>SUM('31:16'!R324)</f>
        <v>0</v>
      </c>
      <c r="S324" s="93">
        <f>SUM('31:16'!S324)</f>
        <v>0</v>
      </c>
      <c r="T324" s="93">
        <f>SUM('31:16'!T324)</f>
        <v>0</v>
      </c>
      <c r="U324" s="93">
        <f>SUM('31:16'!U324)</f>
        <v>0</v>
      </c>
      <c r="V324" s="206"/>
      <c r="W324" s="33"/>
      <c r="X324" s="93">
        <f>SUM('31:16'!X324)</f>
        <v>0</v>
      </c>
      <c r="Y324" s="93">
        <f>SUM('31:16'!Y324)</f>
        <v>0</v>
      </c>
      <c r="Z324" s="93">
        <f>SUM('31:16'!Z324)</f>
        <v>0</v>
      </c>
      <c r="AA324" s="93">
        <f>SUM('31:16'!AA324)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/>
      <c r="B325" s="66" t="s">
        <v>104</v>
      </c>
      <c r="C325" s="335" t="s">
        <v>53</v>
      </c>
      <c r="D325" s="17">
        <v>6.04</v>
      </c>
      <c r="E325" s="17"/>
      <c r="F325" s="6"/>
      <c r="G325" s="93">
        <f>SUM('31:16'!G325)</f>
        <v>0</v>
      </c>
      <c r="H325" s="339">
        <f t="shared" si="121"/>
        <v>0</v>
      </c>
      <c r="I325" s="93">
        <f>SUM('31:16'!I325)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2">IF(ISERROR(I325-K325),"",I325-K325)</f>
        <v>0</v>
      </c>
      <c r="N325" s="31">
        <f t="shared" ref="N325:N326" si="123">SUM(O325:U325)</f>
        <v>0</v>
      </c>
      <c r="O325" s="93">
        <f>SUM('31:16'!O325)</f>
        <v>0</v>
      </c>
      <c r="P325" s="93">
        <f>SUM('31:16'!P325)</f>
        <v>0</v>
      </c>
      <c r="Q325" s="93">
        <f>SUM('31:16'!Q325)</f>
        <v>0</v>
      </c>
      <c r="R325" s="93">
        <f>SUM('31:16'!R325)</f>
        <v>0</v>
      </c>
      <c r="S325" s="93">
        <f>SUM('31:16'!S325)</f>
        <v>0</v>
      </c>
      <c r="T325" s="93">
        <f>SUM('31:16'!T325)</f>
        <v>0</v>
      </c>
      <c r="U325" s="93">
        <f>SUM('31:16'!U325)</f>
        <v>0</v>
      </c>
      <c r="V325" s="206">
        <f t="shared" ref="V325:V326" si="124">SUM(X325:AA325)</f>
        <v>0</v>
      </c>
      <c r="W325" s="33" t="str">
        <f t="shared" ref="W325:W326" si="125">IF(ISERROR(V325/G325),"",V325/G325)</f>
        <v/>
      </c>
      <c r="X325" s="93">
        <f>SUM('31:16'!X325)</f>
        <v>0</v>
      </c>
      <c r="Y325" s="93">
        <f>SUM('31:16'!Y325)</f>
        <v>0</v>
      </c>
      <c r="Z325" s="93">
        <f>SUM('31:16'!Z325)</f>
        <v>0</v>
      </c>
      <c r="AA325" s="93">
        <f>SUM('31:16'!AA325)</f>
        <v>0</v>
      </c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30700019</v>
      </c>
      <c r="B326" s="66" t="s">
        <v>104</v>
      </c>
      <c r="C326" s="335" t="s">
        <v>60</v>
      </c>
      <c r="D326" s="17">
        <v>6.04</v>
      </c>
      <c r="E326" s="17"/>
      <c r="F326" s="6"/>
      <c r="G326" s="93">
        <f>SUM('31:16'!G326)</f>
        <v>0</v>
      </c>
      <c r="H326" s="339">
        <f t="shared" si="121"/>
        <v>0</v>
      </c>
      <c r="I326" s="93">
        <f>SUM('31:16'!I326)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2"/>
        <v>0</v>
      </c>
      <c r="N326" s="31">
        <f t="shared" si="123"/>
        <v>0</v>
      </c>
      <c r="O326" s="93">
        <f>SUM('31:16'!O326)</f>
        <v>0</v>
      </c>
      <c r="P326" s="93">
        <f>SUM('31:16'!P326)</f>
        <v>0</v>
      </c>
      <c r="Q326" s="93">
        <f>SUM('31:16'!Q326)</f>
        <v>0</v>
      </c>
      <c r="R326" s="93">
        <f>SUM('31:16'!R326)</f>
        <v>0</v>
      </c>
      <c r="S326" s="93">
        <f>SUM('31:16'!S326)</f>
        <v>0</v>
      </c>
      <c r="T326" s="93">
        <f>SUM('31:16'!T326)</f>
        <v>0</v>
      </c>
      <c r="U326" s="93">
        <f>SUM('31:16'!U326)</f>
        <v>0</v>
      </c>
      <c r="V326" s="206">
        <f t="shared" si="124"/>
        <v>0</v>
      </c>
      <c r="W326" s="33" t="str">
        <f t="shared" si="125"/>
        <v/>
      </c>
      <c r="X326" s="93">
        <f>SUM('31:16'!X326)</f>
        <v>0</v>
      </c>
      <c r="Y326" s="93">
        <f>SUM('31:16'!Y326)</f>
        <v>0</v>
      </c>
      <c r="Z326" s="93">
        <f>SUM('31:16'!Z326)</f>
        <v>0</v>
      </c>
      <c r="AA326" s="93">
        <f>SUM('31:16'!AA326)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305">
        <v>30601015</v>
      </c>
      <c r="B327" s="281" t="s">
        <v>443</v>
      </c>
      <c r="C327" s="335" t="s">
        <v>53</v>
      </c>
      <c r="D327" s="17">
        <v>6</v>
      </c>
      <c r="E327" s="17"/>
      <c r="F327" s="6"/>
      <c r="G327" s="93">
        <f>SUM('31:16'!G327)</f>
        <v>214</v>
      </c>
      <c r="H327" s="339">
        <f t="shared" si="121"/>
        <v>1284</v>
      </c>
      <c r="I327" s="93">
        <f>SUM('31:16'!I327)</f>
        <v>112</v>
      </c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305">
        <v>30101016</v>
      </c>
      <c r="B328" s="281" t="s">
        <v>443</v>
      </c>
      <c r="C328" s="335" t="s">
        <v>421</v>
      </c>
      <c r="D328" s="17">
        <v>6</v>
      </c>
      <c r="E328" s="17"/>
      <c r="F328" s="6"/>
      <c r="G328" s="93">
        <f>SUM('31:16'!G328)</f>
        <v>429</v>
      </c>
      <c r="H328" s="339">
        <f t="shared" si="121"/>
        <v>2574</v>
      </c>
      <c r="I328" s="93">
        <f>SUM('31:16'!I328)</f>
        <v>116</v>
      </c>
      <c r="J328" s="31"/>
      <c r="K328" s="35">
        <f t="array" ref="K328">IF(ISERROR(G328/L328),"",G328/L328)</f>
        <v>71.5</v>
      </c>
      <c r="L328" s="87">
        <v>6</v>
      </c>
      <c r="M328" s="36"/>
      <c r="N328" s="31"/>
      <c r="O328" s="93">
        <f>SUM('31:16'!O328)</f>
        <v>0</v>
      </c>
      <c r="P328" s="93">
        <f>SUM('31:16'!P328)</f>
        <v>0</v>
      </c>
      <c r="Q328" s="93">
        <f>SUM('31:16'!Q328)</f>
        <v>0</v>
      </c>
      <c r="R328" s="93">
        <f>SUM('31:16'!R328)</f>
        <v>0</v>
      </c>
      <c r="S328" s="93">
        <f>SUM('31:16'!S328)</f>
        <v>0</v>
      </c>
      <c r="T328" s="93">
        <f>SUM('31:16'!T328)</f>
        <v>0</v>
      </c>
      <c r="U328" s="93">
        <f>SUM('31:16'!U328)</f>
        <v>0</v>
      </c>
      <c r="V328" s="206"/>
      <c r="W328" s="33"/>
      <c r="X328" s="93">
        <f>SUM('31:16'!X328)</f>
        <v>0</v>
      </c>
      <c r="Y328" s="93">
        <f>SUM('31:16'!Y328)</f>
        <v>0</v>
      </c>
      <c r="Z328" s="93">
        <f>SUM('31:16'!Z328)</f>
        <v>0</v>
      </c>
      <c r="AA328" s="93">
        <f>SUM('31:16'!AA328)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339">
        <f t="shared" si="121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SUM('31:16'!G330)</f>
        <v>0</v>
      </c>
      <c r="H330" s="339">
        <f t="shared" si="121"/>
        <v>0</v>
      </c>
      <c r="I330" s="93">
        <f>SUM('31:16'!I330)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6">IF(ISERROR(I330-K330),"",I330-K330)</f>
        <v>0</v>
      </c>
      <c r="N330" s="31">
        <f t="shared" ref="N330" si="127">SUM(O330:U330)</f>
        <v>0</v>
      </c>
      <c r="O330" s="93">
        <f>SUM('31:16'!O330)</f>
        <v>0</v>
      </c>
      <c r="P330" s="93">
        <f>SUM('31:16'!P330)</f>
        <v>0</v>
      </c>
      <c r="Q330" s="93">
        <f>SUM('31:16'!Q330)</f>
        <v>0</v>
      </c>
      <c r="R330" s="93">
        <f>SUM('31:16'!R330)</f>
        <v>0</v>
      </c>
      <c r="S330" s="93">
        <f>SUM('31:16'!S330)</f>
        <v>0</v>
      </c>
      <c r="T330" s="93">
        <f>SUM('31:16'!T330)</f>
        <v>0</v>
      </c>
      <c r="U330" s="93">
        <f>SUM('31:16'!U330)</f>
        <v>0</v>
      </c>
      <c r="V330" s="206">
        <f t="shared" ref="V330" si="128">SUM(X330:AA330)</f>
        <v>0</v>
      </c>
      <c r="W330" s="33" t="str">
        <f t="shared" ref="W330" si="129">IF(ISERROR(V330/G330),"",V330/G330)</f>
        <v/>
      </c>
      <c r="X330" s="93">
        <f>SUM('31:16'!X330)</f>
        <v>0</v>
      </c>
      <c r="Y330" s="93">
        <f>SUM('31:16'!Y330)</f>
        <v>0</v>
      </c>
      <c r="Z330" s="93">
        <f>SUM('31:16'!Z330)</f>
        <v>0</v>
      </c>
      <c r="AA330" s="93">
        <f>SUM('31:16'!AA330)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>
        <v>30700015</v>
      </c>
      <c r="B331" s="336" t="s">
        <v>159</v>
      </c>
      <c r="C331" s="16"/>
      <c r="D331" s="17">
        <v>4.5</v>
      </c>
      <c r="E331" s="17"/>
      <c r="F331" s="6"/>
      <c r="G331" s="93">
        <f>SUM('31:16'!G331)</f>
        <v>0</v>
      </c>
      <c r="H331" s="339">
        <f t="shared" si="121"/>
        <v>0</v>
      </c>
      <c r="I331" s="93">
        <f>SUM('31:16'!I331)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SUM('31:16'!O331)</f>
        <v>0</v>
      </c>
      <c r="P331" s="93">
        <f>SUM('31:16'!P331)</f>
        <v>0</v>
      </c>
      <c r="Q331" s="93">
        <f>SUM('31:16'!Q331)</f>
        <v>0</v>
      </c>
      <c r="R331" s="93">
        <f>SUM('31:16'!R331)</f>
        <v>0</v>
      </c>
      <c r="S331" s="93">
        <f>SUM('31:16'!S331)</f>
        <v>0</v>
      </c>
      <c r="T331" s="93">
        <f>SUM('31:16'!T331)</f>
        <v>0</v>
      </c>
      <c r="U331" s="93">
        <f>SUM('31:16'!U331)</f>
        <v>0</v>
      </c>
      <c r="V331" s="206"/>
      <c r="W331" s="33"/>
      <c r="X331" s="93">
        <f>SUM('31:16'!X331)</f>
        <v>0</v>
      </c>
      <c r="Y331" s="93">
        <f>SUM('31:16'!Y331)</f>
        <v>0</v>
      </c>
      <c r="Z331" s="93">
        <f>SUM('31:16'!Z331)</f>
        <v>0</v>
      </c>
      <c r="AA331" s="93">
        <f>SUM('31:16'!AA331)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299">
        <v>30700012</v>
      </c>
      <c r="B332" s="336" t="s">
        <v>160</v>
      </c>
      <c r="C332" s="16"/>
      <c r="D332" s="17">
        <v>4.5</v>
      </c>
      <c r="E332" s="17"/>
      <c r="F332" s="6"/>
      <c r="G332" s="93">
        <f>SUM('31:16'!G332)</f>
        <v>0</v>
      </c>
      <c r="H332" s="339">
        <f t="shared" si="121"/>
        <v>0</v>
      </c>
      <c r="I332" s="93">
        <f>SUM('31:16'!I332)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SUM('31:16'!O332)</f>
        <v>0</v>
      </c>
      <c r="P332" s="93">
        <f>SUM('31:16'!P332)</f>
        <v>0</v>
      </c>
      <c r="Q332" s="93">
        <f>SUM('31:16'!Q332)</f>
        <v>0</v>
      </c>
      <c r="R332" s="93">
        <f>SUM('31:16'!R332)</f>
        <v>0</v>
      </c>
      <c r="S332" s="93">
        <f>SUM('31:16'!S332)</f>
        <v>0</v>
      </c>
      <c r="T332" s="93">
        <f>SUM('31:16'!T332)</f>
        <v>0</v>
      </c>
      <c r="U332" s="93">
        <f>SUM('31:16'!U332)</f>
        <v>0</v>
      </c>
      <c r="V332" s="206"/>
      <c r="W332" s="33"/>
      <c r="X332" s="93">
        <f>SUM('31:16'!X332)</f>
        <v>0</v>
      </c>
      <c r="Y332" s="93">
        <f>SUM('31:16'!Y332)</f>
        <v>0</v>
      </c>
      <c r="Z332" s="93">
        <f>SUM('31:16'!Z332)</f>
        <v>0</v>
      </c>
      <c r="AA332" s="93">
        <f>SUM('31:16'!AA332)</f>
        <v>0</v>
      </c>
      <c r="AB332" s="73"/>
      <c r="AC332" s="54"/>
      <c r="AD332" s="346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>
      <c r="A333" s="299"/>
      <c r="B333" s="199" t="s">
        <v>438</v>
      </c>
      <c r="C333" s="16"/>
      <c r="D333" s="17">
        <v>4.5</v>
      </c>
      <c r="E333" s="17"/>
      <c r="F333" s="6"/>
      <c r="G333" s="93">
        <f>SUM('31:16'!G333)</f>
        <v>0</v>
      </c>
      <c r="H333" s="339">
        <f t="shared" si="121"/>
        <v>0</v>
      </c>
      <c r="I333" s="93">
        <f>SUM('31:16'!I333)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SUM('31:16'!O333)</f>
        <v>0</v>
      </c>
      <c r="P333" s="93">
        <f>SUM('31:16'!P333)</f>
        <v>0</v>
      </c>
      <c r="Q333" s="93">
        <f>SUM('31:16'!Q333)</f>
        <v>0</v>
      </c>
      <c r="R333" s="93">
        <f>SUM('31:16'!R333)</f>
        <v>0</v>
      </c>
      <c r="S333" s="93">
        <f>SUM('31:16'!S333)</f>
        <v>0</v>
      </c>
      <c r="T333" s="93">
        <f>SUM('31:16'!T333)</f>
        <v>0</v>
      </c>
      <c r="U333" s="93">
        <f>SUM('31:16'!U333)</f>
        <v>0</v>
      </c>
      <c r="V333" s="206"/>
      <c r="W333" s="33"/>
      <c r="X333" s="93">
        <f>SUM('31:16'!X333)</f>
        <v>0</v>
      </c>
      <c r="Y333" s="93">
        <f>SUM('31:16'!Y333)</f>
        <v>0</v>
      </c>
      <c r="Z333" s="93">
        <f>SUM('31:16'!Z333)</f>
        <v>0</v>
      </c>
      <c r="AA333" s="93">
        <f>SUM('31:16'!AA333)</f>
        <v>0</v>
      </c>
      <c r="AB333" s="73"/>
      <c r="AC333" s="54"/>
      <c r="AD333" s="346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>
      <c r="A334" s="731" t="s">
        <v>106</v>
      </c>
      <c r="B334" s="732"/>
      <c r="C334" s="342" t="s">
        <v>71</v>
      </c>
      <c r="D334" s="20"/>
      <c r="E334" s="20"/>
      <c r="F334" s="32"/>
      <c r="G334" s="94">
        <f>SUM(G320:G333)</f>
        <v>2076</v>
      </c>
      <c r="H334" s="30">
        <f>SUM(H320:H333)</f>
        <v>13473.76</v>
      </c>
      <c r="I334" s="30">
        <f>SUM(I320:I333)</f>
        <v>526</v>
      </c>
      <c r="J334" s="31">
        <f t="array" ref="J334">IF(ISERROR(G334/I334),"",G334/I334)</f>
        <v>3.9467680608365021</v>
      </c>
      <c r="K334" s="30">
        <f>SUM(K320:K330)</f>
        <v>361.92248875562223</v>
      </c>
      <c r="L334" s="98"/>
      <c r="M334" s="89">
        <f t="shared" ref="M334:V334" si="130">SUM(M320:M330)</f>
        <v>7.5775112443777815</v>
      </c>
      <c r="N334" s="20">
        <f t="shared" si="130"/>
        <v>0</v>
      </c>
      <c r="O334" s="91">
        <f t="shared" si="130"/>
        <v>0</v>
      </c>
      <c r="P334" s="91">
        <f t="shared" si="130"/>
        <v>0</v>
      </c>
      <c r="Q334" s="91">
        <f t="shared" si="130"/>
        <v>0</v>
      </c>
      <c r="R334" s="91">
        <f t="shared" si="130"/>
        <v>0</v>
      </c>
      <c r="S334" s="92">
        <f t="shared" si="130"/>
        <v>0</v>
      </c>
      <c r="T334" s="91">
        <f t="shared" si="130"/>
        <v>0</v>
      </c>
      <c r="U334" s="91">
        <f t="shared" si="130"/>
        <v>0</v>
      </c>
      <c r="V334" s="206">
        <f t="shared" si="130"/>
        <v>0</v>
      </c>
      <c r="W334" s="33">
        <f t="shared" ref="W334" si="131">IF(ISERROR(V334/G334),"",V334/G334)</f>
        <v>0</v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70"/>
      <c r="AC334" s="70"/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>
      <c r="A335" s="733" t="s">
        <v>108</v>
      </c>
      <c r="B335" s="734"/>
      <c r="C335" s="734"/>
      <c r="D335" s="734"/>
      <c r="E335" s="734"/>
      <c r="F335" s="735"/>
      <c r="G335" s="193">
        <f>SUM(G199,G257,G292,G308,G319,G334)</f>
        <v>91292</v>
      </c>
      <c r="H335" s="193">
        <f>SUM(H199,H257,H292,H308,H319,H334)</f>
        <v>457947.32999999996</v>
      </c>
      <c r="I335" s="193">
        <f>SUM(I199,I257,I292,I308,I319,I334)</f>
        <v>5500.8099999999995</v>
      </c>
      <c r="J335" s="52">
        <f t="array" ref="J335">IF(ISERROR(G335/I335),"",G335/I335)</f>
        <v>16.596101301444698</v>
      </c>
      <c r="K335" s="193">
        <f>SUM(K199,K257,K292,K308,K319,K334)</f>
        <v>4062.7759585874328</v>
      </c>
      <c r="L335" s="52">
        <f>IF(ISERROR(G335/K335),"",G335/K335)</f>
        <v>22.470350551089922</v>
      </c>
      <c r="M335" s="193">
        <f t="shared" ref="M335:AA335" si="132">SUM(M199,M257,M292,M308,M319,M334)</f>
        <v>511.38404141256746</v>
      </c>
      <c r="N335" s="193">
        <f t="shared" si="132"/>
        <v>0</v>
      </c>
      <c r="O335" s="193">
        <f t="shared" si="132"/>
        <v>0</v>
      </c>
      <c r="P335" s="193">
        <f t="shared" si="132"/>
        <v>0</v>
      </c>
      <c r="Q335" s="193">
        <f t="shared" si="132"/>
        <v>0</v>
      </c>
      <c r="R335" s="193">
        <f t="shared" si="132"/>
        <v>0</v>
      </c>
      <c r="S335" s="193">
        <f t="shared" si="132"/>
        <v>0</v>
      </c>
      <c r="T335" s="193">
        <f t="shared" si="132"/>
        <v>0</v>
      </c>
      <c r="U335" s="193">
        <f t="shared" si="132"/>
        <v>0</v>
      </c>
      <c r="V335" s="193">
        <f t="shared" si="132"/>
        <v>0</v>
      </c>
      <c r="W335" s="193">
        <f t="shared" si="132"/>
        <v>0</v>
      </c>
      <c r="X335" s="193">
        <f t="shared" si="132"/>
        <v>0</v>
      </c>
      <c r="Y335" s="193">
        <f t="shared" si="132"/>
        <v>0</v>
      </c>
      <c r="Z335" s="193">
        <f t="shared" si="132"/>
        <v>0</v>
      </c>
      <c r="AA335" s="193">
        <f t="shared" si="132"/>
        <v>0</v>
      </c>
      <c r="AB335" s="76"/>
      <c r="AC335" s="71"/>
      <c r="AD335" s="346"/>
      <c r="AE335" s="77"/>
      <c r="AF335" s="77"/>
      <c r="AG335" s="77"/>
      <c r="AH335" s="77"/>
      <c r="AI335" s="57"/>
      <c r="AJ335" s="57"/>
      <c r="AK335" s="57"/>
      <c r="AL335" s="736"/>
      <c r="AM335" s="736"/>
      <c r="AN335" s="736"/>
      <c r="AO335" s="736"/>
      <c r="AP335" s="736"/>
      <c r="AQ335" s="736"/>
      <c r="AR335" s="736"/>
      <c r="AS335" s="736"/>
      <c r="AT335" s="736"/>
      <c r="AU335" s="736"/>
      <c r="AV335" s="736"/>
      <c r="AW335" s="736"/>
      <c r="AX335" s="736"/>
      <c r="AY335" s="736"/>
      <c r="AZ335" s="736"/>
      <c r="BA335" s="736"/>
    </row>
    <row r="336" spans="1:53" ht="15.75" customHeight="1">
      <c r="A336" s="623" t="s">
        <v>503</v>
      </c>
      <c r="B336" s="337" t="s">
        <v>110</v>
      </c>
      <c r="C336" s="714" t="s">
        <v>111</v>
      </c>
      <c r="D336" s="714"/>
      <c r="E336" s="724" t="s">
        <v>112</v>
      </c>
      <c r="F336" s="724"/>
      <c r="G336" s="694" t="s">
        <v>113</v>
      </c>
      <c r="H336" s="694"/>
      <c r="I336" s="724" t="s">
        <v>114</v>
      </c>
      <c r="J336" s="724"/>
      <c r="K336" s="724" t="s">
        <v>36</v>
      </c>
      <c r="L336" s="724"/>
      <c r="M336" s="724" t="s">
        <v>115</v>
      </c>
      <c r="N336" s="724"/>
      <c r="O336" s="724" t="s">
        <v>116</v>
      </c>
      <c r="P336" s="694" t="s">
        <v>117</v>
      </c>
      <c r="Q336" s="694"/>
      <c r="R336" s="694" t="s">
        <v>36</v>
      </c>
      <c r="S336" s="694"/>
      <c r="T336" s="694" t="s">
        <v>118</v>
      </c>
      <c r="U336" s="694"/>
      <c r="V336" s="694" t="s">
        <v>119</v>
      </c>
      <c r="W336" s="694"/>
      <c r="X336" s="694" t="s">
        <v>36</v>
      </c>
      <c r="Y336" s="694"/>
      <c r="Z336" s="694" t="s">
        <v>118</v>
      </c>
      <c r="AA336" s="694"/>
      <c r="AB336" s="12"/>
      <c r="AC336" s="12"/>
      <c r="AD336" s="12"/>
      <c r="AE336" s="3"/>
      <c r="AF336" s="3"/>
      <c r="AG336" s="3"/>
      <c r="AH336" s="34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5.75" customHeight="1">
      <c r="A337" s="624"/>
      <c r="B337" s="337" t="s">
        <v>120</v>
      </c>
      <c r="C337" s="729">
        <f>SUM('31:16'!C337)</f>
        <v>17</v>
      </c>
      <c r="D337" s="730"/>
      <c r="E337" s="728">
        <f>D337*11</f>
        <v>0</v>
      </c>
      <c r="F337" s="728"/>
      <c r="G337" s="729">
        <f>SUM('31:16'!G337)</f>
        <v>17</v>
      </c>
      <c r="H337" s="730"/>
      <c r="I337" s="724">
        <f>G337*11</f>
        <v>187</v>
      </c>
      <c r="J337" s="724"/>
      <c r="K337" s="724">
        <f>E337-I337</f>
        <v>-187</v>
      </c>
      <c r="L337" s="724"/>
      <c r="M337" s="726" t="str">
        <f>IF(ISERROR(K337/E337),"",K337/E337)</f>
        <v/>
      </c>
      <c r="N337" s="726"/>
      <c r="O337" s="724"/>
      <c r="P337" s="694" t="s">
        <v>70</v>
      </c>
      <c r="Q337" s="694"/>
      <c r="R337" s="717">
        <f>SUM(O199:U199)</f>
        <v>0</v>
      </c>
      <c r="S337" s="717"/>
      <c r="T337" s="725" t="str">
        <f t="array" ref="T337">IF(ISERROR(R337/R344),"",R337/R344)</f>
        <v/>
      </c>
      <c r="U337" s="725"/>
      <c r="V337" s="694" t="s">
        <v>41</v>
      </c>
      <c r="W337" s="694"/>
      <c r="X337" s="705">
        <f>SUM(P198,P256,P291,P307,P318,P333)</f>
        <v>0</v>
      </c>
      <c r="Y337" s="704"/>
      <c r="Z337" s="725" t="str">
        <f t="array" ref="Z337">IF(ISERROR(X337/X344),"",X337/X344)</f>
        <v/>
      </c>
      <c r="AA337" s="725"/>
      <c r="AB337" s="12"/>
      <c r="AC337" s="22"/>
      <c r="AD337" s="22"/>
      <c r="AE337" s="3"/>
      <c r="AF337" s="3"/>
      <c r="AG337" s="3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624"/>
      <c r="B338" s="337" t="s">
        <v>121</v>
      </c>
      <c r="C338" s="729">
        <f>SUM('31:16'!C338)</f>
        <v>0</v>
      </c>
      <c r="D338" s="730"/>
      <c r="E338" s="728">
        <f>D338*11</f>
        <v>0</v>
      </c>
      <c r="F338" s="728"/>
      <c r="G338" s="729">
        <f>SUM('31:16'!G338)</f>
        <v>0</v>
      </c>
      <c r="H338" s="730"/>
      <c r="I338" s="724">
        <f>G338*11</f>
        <v>0</v>
      </c>
      <c r="J338" s="724"/>
      <c r="K338" s="724">
        <f>E338-I338</f>
        <v>0</v>
      </c>
      <c r="L338" s="724"/>
      <c r="M338" s="726" t="str">
        <f>IF(ISERROR(K338/E338),"",K338/E338)</f>
        <v/>
      </c>
      <c r="N338" s="726"/>
      <c r="O338" s="724"/>
      <c r="P338" s="694" t="s">
        <v>86</v>
      </c>
      <c r="Q338" s="694"/>
      <c r="R338" s="717">
        <f>SUM(O257:U257)</f>
        <v>0</v>
      </c>
      <c r="S338" s="717"/>
      <c r="T338" s="725" t="str">
        <f>IF(ISERROR(R338/R344),"",R338/R344)</f>
        <v/>
      </c>
      <c r="U338" s="725"/>
      <c r="V338" s="694" t="s">
        <v>42</v>
      </c>
      <c r="W338" s="694"/>
      <c r="X338" s="705">
        <f>SUM(P199,P257,P292,P308,P319,P334)</f>
        <v>0</v>
      </c>
      <c r="Y338" s="704"/>
      <c r="Z338" s="725" t="str">
        <f>IF(ISERROR(X338/X344),"",X338/X344)</f>
        <v/>
      </c>
      <c r="AA338" s="725"/>
      <c r="AB338" s="12"/>
      <c r="AC338" s="22"/>
      <c r="AD338" s="22"/>
      <c r="AE338" s="3"/>
      <c r="AF338" s="3"/>
      <c r="AG338" s="3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624"/>
      <c r="B339" s="337" t="s">
        <v>122</v>
      </c>
      <c r="C339" s="729">
        <f>SUM('31:16'!C339)</f>
        <v>0</v>
      </c>
      <c r="D339" s="730"/>
      <c r="E339" s="728">
        <f>D339*11</f>
        <v>0</v>
      </c>
      <c r="F339" s="728"/>
      <c r="G339" s="729">
        <f>SUM('31:16'!G339)</f>
        <v>17</v>
      </c>
      <c r="H339" s="730"/>
      <c r="I339" s="724">
        <f>G339*8</f>
        <v>136</v>
      </c>
      <c r="J339" s="724"/>
      <c r="K339" s="724">
        <f>E339-I339</f>
        <v>-136</v>
      </c>
      <c r="L339" s="724"/>
      <c r="M339" s="726" t="str">
        <f>IF(ISERROR(K339/E339),"",K339/E339)</f>
        <v/>
      </c>
      <c r="N339" s="726"/>
      <c r="O339" s="724"/>
      <c r="P339" s="694" t="s">
        <v>92</v>
      </c>
      <c r="Q339" s="694"/>
      <c r="R339" s="717">
        <f>SUM(O292:U292)</f>
        <v>0</v>
      </c>
      <c r="S339" s="717"/>
      <c r="T339" s="725" t="str">
        <f>IF(ISERROR(R339/R344),"",R339/R344)</f>
        <v/>
      </c>
      <c r="U339" s="725"/>
      <c r="V339" s="694" t="s">
        <v>43</v>
      </c>
      <c r="W339" s="694"/>
      <c r="X339" s="705">
        <f>SUM(P200,P258,P293,P309,P320,P335)</f>
        <v>0</v>
      </c>
      <c r="Y339" s="704"/>
      <c r="Z339" s="725" t="str">
        <f>IF(ISERROR(X339/X344),"",X339/X344)</f>
        <v/>
      </c>
      <c r="AA339" s="725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>
      <c r="A340" s="624"/>
      <c r="B340" s="337" t="s">
        <v>47</v>
      </c>
      <c r="C340" s="729">
        <f>SUM('31:16'!C340)</f>
        <v>17</v>
      </c>
      <c r="D340" s="730"/>
      <c r="E340" s="728">
        <f>D340*11</f>
        <v>0</v>
      </c>
      <c r="F340" s="728"/>
      <c r="G340" s="729">
        <f>SUM('31:16'!G340)</f>
        <v>17</v>
      </c>
      <c r="H340" s="730"/>
      <c r="I340" s="724">
        <f>G340*11</f>
        <v>187</v>
      </c>
      <c r="J340" s="724"/>
      <c r="K340" s="724">
        <f>E340-I340</f>
        <v>-187</v>
      </c>
      <c r="L340" s="724"/>
      <c r="M340" s="726" t="str">
        <f>IF(ISERROR(K340/E340),"",K340/E340)</f>
        <v/>
      </c>
      <c r="N340" s="726"/>
      <c r="O340" s="724"/>
      <c r="P340" s="694" t="s">
        <v>99</v>
      </c>
      <c r="Q340" s="694"/>
      <c r="R340" s="717">
        <f>SUM(O308:U308)</f>
        <v>0</v>
      </c>
      <c r="S340" s="717"/>
      <c r="T340" s="725" t="str">
        <f>IF(ISERROR(R340/R344),"",R340/R344)</f>
        <v/>
      </c>
      <c r="U340" s="725"/>
      <c r="V340" s="694" t="s">
        <v>44</v>
      </c>
      <c r="W340" s="694"/>
      <c r="X340" s="705">
        <f>SUM(P202,P259,P294,P310,P321,P336)</f>
        <v>0</v>
      </c>
      <c r="Y340" s="704"/>
      <c r="Z340" s="725" t="str">
        <f>IF(ISERROR(X340/X344),"",X340/X344)</f>
        <v/>
      </c>
      <c r="AA340" s="725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>
      <c r="A341" s="625"/>
      <c r="B341" s="337" t="s">
        <v>123</v>
      </c>
      <c r="C341" s="727">
        <f>SUM(C337:D340)</f>
        <v>34</v>
      </c>
      <c r="D341" s="724"/>
      <c r="E341" s="728">
        <f>SUM(F337:F340)</f>
        <v>0</v>
      </c>
      <c r="F341" s="724"/>
      <c r="G341" s="727">
        <f>SUM(G337:H340)</f>
        <v>51</v>
      </c>
      <c r="H341" s="724"/>
      <c r="I341" s="724">
        <f>SUM(I337:J340)</f>
        <v>510</v>
      </c>
      <c r="J341" s="724"/>
      <c r="K341" s="724">
        <f>SUM(K337:L340)</f>
        <v>-510</v>
      </c>
      <c r="L341" s="724"/>
      <c r="M341" s="726" t="str">
        <f>IF(ISERROR(K341/E341),"",K341/E341)</f>
        <v/>
      </c>
      <c r="N341" s="726"/>
      <c r="O341" s="724"/>
      <c r="P341" s="694" t="s">
        <v>102</v>
      </c>
      <c r="Q341" s="694"/>
      <c r="R341" s="717">
        <f>SUM(O319:U319)</f>
        <v>0</v>
      </c>
      <c r="S341" s="717"/>
      <c r="T341" s="725" t="str">
        <f>IF(ISERROR(R341/R344),"",R341/R344)</f>
        <v/>
      </c>
      <c r="U341" s="725"/>
      <c r="V341" s="694" t="s">
        <v>45</v>
      </c>
      <c r="W341" s="694"/>
      <c r="X341" s="705">
        <f>SUM(P203,P260,P295,P311,P322,P337)</f>
        <v>0</v>
      </c>
      <c r="Y341" s="704"/>
      <c r="Z341" s="725" t="str">
        <f>IF(ISERROR(X341/X344),"",X341/X344)</f>
        <v/>
      </c>
      <c r="AA341" s="725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7.25">
      <c r="A342" s="309" t="s">
        <v>504</v>
      </c>
      <c r="B342" s="337">
        <f>G335</f>
        <v>91292</v>
      </c>
      <c r="C342" s="717" t="s">
        <v>155</v>
      </c>
      <c r="D342" s="717"/>
      <c r="E342" s="694">
        <f>H335</f>
        <v>457947.32999999996</v>
      </c>
      <c r="F342" s="694"/>
      <c r="G342" s="694" t="s">
        <v>34</v>
      </c>
      <c r="H342" s="694"/>
      <c r="I342" s="723">
        <f>L335</f>
        <v>22.470350551089922</v>
      </c>
      <c r="J342" s="723"/>
      <c r="K342" s="724" t="s">
        <v>32</v>
      </c>
      <c r="L342" s="724"/>
      <c r="M342" s="723">
        <f>J335</f>
        <v>16.596101301444698</v>
      </c>
      <c r="N342" s="723"/>
      <c r="O342" s="724"/>
      <c r="P342" s="694" t="s">
        <v>106</v>
      </c>
      <c r="Q342" s="694"/>
      <c r="R342" s="717">
        <f>SUM(O334:U334)</f>
        <v>0</v>
      </c>
      <c r="S342" s="717"/>
      <c r="T342" s="725" t="str">
        <f>IF(ISERROR(R342/R344),"",R342/R344)</f>
        <v/>
      </c>
      <c r="U342" s="725"/>
      <c r="V342" s="694" t="s">
        <v>46</v>
      </c>
      <c r="W342" s="694"/>
      <c r="X342" s="705">
        <f>SUM(P204,P261,P296,P312,P323,P338)</f>
        <v>0</v>
      </c>
      <c r="Y342" s="704"/>
      <c r="Z342" s="725" t="str">
        <f>IF(ISERROR(X342/X344),"",X342/X344)</f>
        <v/>
      </c>
      <c r="AA342" s="725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310" t="s">
        <v>505</v>
      </c>
      <c r="B343" s="337">
        <f>I335+C341</f>
        <v>5534.8099999999995</v>
      </c>
      <c r="C343" s="694" t="s">
        <v>114</v>
      </c>
      <c r="D343" s="694"/>
      <c r="E343" s="714">
        <f>K335+I341</f>
        <v>4572.7759585874328</v>
      </c>
      <c r="F343" s="714"/>
      <c r="G343" s="694" t="s">
        <v>150</v>
      </c>
      <c r="H343" s="694"/>
      <c r="I343" s="723">
        <f>B343-E343</f>
        <v>962.03404141256669</v>
      </c>
      <c r="J343" s="723"/>
      <c r="K343" s="724" t="s">
        <v>151</v>
      </c>
      <c r="L343" s="724"/>
      <c r="M343" s="726">
        <f>IF(ISERROR(I343/B343),"",I343/B343)</f>
        <v>0.17381518812977623</v>
      </c>
      <c r="N343" s="726"/>
      <c r="O343" s="724"/>
      <c r="P343" s="694" t="s">
        <v>107</v>
      </c>
      <c r="Q343" s="694"/>
      <c r="R343" s="717"/>
      <c r="S343" s="717"/>
      <c r="T343" s="725" t="str">
        <f>IF(ISERROR(R343/R344),"",R343/R344)</f>
        <v/>
      </c>
      <c r="U343" s="725"/>
      <c r="V343" s="694" t="s">
        <v>47</v>
      </c>
      <c r="W343" s="694"/>
      <c r="X343" s="705">
        <f>SUM(P205,P262,P297,P313,P324,P339)</f>
        <v>0</v>
      </c>
      <c r="Y343" s="704"/>
      <c r="Z343" s="725" t="str">
        <f>IF(ISERROR(X343/X344),"",X343/X344)</f>
        <v/>
      </c>
      <c r="AA343" s="725"/>
      <c r="AB343" s="12"/>
      <c r="AC343" s="22"/>
      <c r="AD343" s="22"/>
      <c r="AE343" s="3"/>
      <c r="AF343" s="3"/>
      <c r="AG343" s="346"/>
      <c r="AH343" s="346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43"/>
      <c r="AV343" s="343"/>
      <c r="AW343" s="343"/>
      <c r="AX343" s="343"/>
      <c r="AY343" s="343"/>
      <c r="AZ343" s="343"/>
      <c r="BA343" s="343"/>
    </row>
    <row r="344" spans="1:53" ht="15.75" customHeight="1">
      <c r="A344" s="310" t="s">
        <v>507</v>
      </c>
      <c r="B344" s="337">
        <f>N335</f>
        <v>0</v>
      </c>
      <c r="C344" s="694" t="s">
        <v>149</v>
      </c>
      <c r="D344" s="694"/>
      <c r="E344" s="725">
        <f>IF(ISERROR(B344/B343),"",B344/B343)</f>
        <v>0</v>
      </c>
      <c r="F344" s="725"/>
      <c r="G344" s="694" t="s">
        <v>158</v>
      </c>
      <c r="H344" s="694"/>
      <c r="I344" s="724">
        <f>V335</f>
        <v>0</v>
      </c>
      <c r="J344" s="724"/>
      <c r="K344" s="724" t="s">
        <v>156</v>
      </c>
      <c r="L344" s="724"/>
      <c r="M344" s="726">
        <f t="array" ref="M344">IF(ISERROR(I344/B342),"",I344/B342)</f>
        <v>0</v>
      </c>
      <c r="N344" s="726"/>
      <c r="O344" s="724"/>
      <c r="P344" s="694" t="s">
        <v>123</v>
      </c>
      <c r="Q344" s="694"/>
      <c r="R344" s="717">
        <f>SUM(R337:S343)</f>
        <v>0</v>
      </c>
      <c r="S344" s="717"/>
      <c r="T344" s="725">
        <f>SUM(T337:U343)</f>
        <v>0</v>
      </c>
      <c r="U344" s="725"/>
      <c r="V344" s="694" t="s">
        <v>123</v>
      </c>
      <c r="W344" s="694"/>
      <c r="X344" s="717">
        <f>SUM(X337:Y343)</f>
        <v>0</v>
      </c>
      <c r="Y344" s="717"/>
      <c r="Z344" s="725">
        <f>SUM(Z337:AA343)</f>
        <v>0</v>
      </c>
      <c r="AA344" s="725"/>
      <c r="AB344" s="12"/>
      <c r="AC344" s="22"/>
      <c r="AD344" s="22"/>
      <c r="AE344" s="3"/>
      <c r="AF344" s="3"/>
      <c r="AG344" s="346"/>
      <c r="AH344" s="346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43"/>
      <c r="AV344" s="343"/>
      <c r="AW344" s="343"/>
      <c r="AX344" s="343"/>
      <c r="AY344" s="343"/>
      <c r="AZ344" s="343"/>
      <c r="BA344" s="343"/>
    </row>
    <row r="345" spans="1:53" ht="15.75" customHeight="1">
      <c r="A345" s="756" t="s">
        <v>129</v>
      </c>
      <c r="B345" s="756"/>
      <c r="C345" s="756"/>
      <c r="D345" s="756"/>
      <c r="E345" s="756"/>
      <c r="F345" s="756"/>
      <c r="G345" s="756"/>
      <c r="H345" s="756"/>
      <c r="I345" s="756"/>
      <c r="J345" s="756"/>
      <c r="K345" s="756"/>
      <c r="L345" s="756"/>
      <c r="M345" s="756"/>
      <c r="N345" s="756"/>
      <c r="O345" s="756"/>
      <c r="P345" s="756"/>
      <c r="Q345" s="756"/>
      <c r="R345" s="756"/>
      <c r="S345" s="756"/>
      <c r="T345" s="756"/>
      <c r="U345" s="756"/>
      <c r="V345" s="756"/>
      <c r="W345" s="756"/>
      <c r="X345" s="756"/>
      <c r="Y345" s="756"/>
      <c r="Z345" s="756"/>
      <c r="AA345" s="756"/>
      <c r="AB345" s="756"/>
      <c r="AC345" s="756"/>
      <c r="AD345" s="756"/>
      <c r="AE345" s="756"/>
      <c r="AF345" s="756"/>
      <c r="AG345" s="756"/>
      <c r="AH345" s="756"/>
      <c r="AI345" s="756"/>
      <c r="AJ345" s="756"/>
      <c r="AK345" s="756"/>
      <c r="AL345" s="756"/>
      <c r="AM345" s="756"/>
      <c r="AN345" s="756"/>
      <c r="AO345" s="756"/>
      <c r="AP345" s="756"/>
      <c r="AQ345" s="756"/>
      <c r="AR345" s="756"/>
      <c r="AS345" s="756"/>
      <c r="AT345" s="756"/>
      <c r="AU345" s="756"/>
      <c r="AV345" s="756"/>
      <c r="AW345" s="756"/>
      <c r="AX345" s="756"/>
      <c r="AY345" s="756"/>
      <c r="AZ345" s="756"/>
      <c r="BA345" s="756"/>
    </row>
    <row r="346" spans="1:53">
      <c r="A346" s="644" t="s">
        <v>502</v>
      </c>
      <c r="B346" s="745" t="s">
        <v>25</v>
      </c>
      <c r="C346" s="745" t="s">
        <v>26</v>
      </c>
      <c r="D346" s="745" t="s">
        <v>27</v>
      </c>
      <c r="E346" s="757" t="s">
        <v>28</v>
      </c>
      <c r="F346" s="760" t="s">
        <v>29</v>
      </c>
      <c r="G346" s="724" t="s">
        <v>30</v>
      </c>
      <c r="H346" s="724"/>
      <c r="I346" s="745" t="s">
        <v>31</v>
      </c>
      <c r="J346" s="748" t="s">
        <v>32</v>
      </c>
      <c r="K346" s="751" t="s">
        <v>33</v>
      </c>
      <c r="L346" s="745" t="s">
        <v>34</v>
      </c>
      <c r="M346" s="754" t="s">
        <v>35</v>
      </c>
      <c r="N346" s="742" t="s">
        <v>36</v>
      </c>
      <c r="O346" s="724" t="s">
        <v>37</v>
      </c>
      <c r="P346" s="724"/>
      <c r="Q346" s="724"/>
      <c r="R346" s="724"/>
      <c r="S346" s="724"/>
      <c r="T346" s="724"/>
      <c r="U346" s="724"/>
      <c r="V346" s="743" t="s">
        <v>38</v>
      </c>
      <c r="W346" s="742" t="s">
        <v>39</v>
      </c>
      <c r="X346" s="724" t="s">
        <v>40</v>
      </c>
      <c r="Y346" s="724"/>
      <c r="Z346" s="724"/>
      <c r="AA346" s="724"/>
      <c r="AB346" s="21"/>
      <c r="AC346" s="21"/>
      <c r="AD346" s="21"/>
      <c r="AE346" s="21"/>
      <c r="AF346" s="21"/>
      <c r="AG346" s="21"/>
      <c r="AH346" s="21"/>
      <c r="AI346" s="744"/>
      <c r="AJ346" s="740"/>
      <c r="AK346" s="740"/>
      <c r="AL346" s="740"/>
      <c r="AM346" s="740"/>
      <c r="AN346" s="740"/>
      <c r="AO346" s="740"/>
      <c r="AP346" s="740"/>
      <c r="AQ346" s="740"/>
      <c r="AR346" s="740"/>
      <c r="AS346" s="740"/>
      <c r="AT346" s="740"/>
      <c r="AU346" s="740"/>
      <c r="AV346" s="740"/>
      <c r="AW346" s="740"/>
      <c r="AX346" s="740"/>
      <c r="AY346" s="740"/>
      <c r="AZ346" s="740"/>
      <c r="BA346" s="740"/>
    </row>
    <row r="347" spans="1:53">
      <c r="A347" s="645"/>
      <c r="B347" s="746"/>
      <c r="C347" s="746"/>
      <c r="D347" s="746"/>
      <c r="E347" s="758"/>
      <c r="F347" s="761"/>
      <c r="G347" s="724"/>
      <c r="H347" s="724"/>
      <c r="I347" s="746"/>
      <c r="J347" s="749"/>
      <c r="K347" s="752"/>
      <c r="L347" s="746"/>
      <c r="M347" s="755"/>
      <c r="N347" s="742"/>
      <c r="O347" s="724" t="s">
        <v>41</v>
      </c>
      <c r="P347" s="724" t="s">
        <v>42</v>
      </c>
      <c r="Q347" s="724" t="s">
        <v>43</v>
      </c>
      <c r="R347" s="741" t="s">
        <v>44</v>
      </c>
      <c r="S347" s="694" t="s">
        <v>45</v>
      </c>
      <c r="T347" s="724" t="s">
        <v>46</v>
      </c>
      <c r="U347" s="724" t="s">
        <v>47</v>
      </c>
      <c r="V347" s="743"/>
      <c r="W347" s="742"/>
      <c r="X347" s="724" t="s">
        <v>13</v>
      </c>
      <c r="Y347" s="724" t="s">
        <v>48</v>
      </c>
      <c r="Z347" s="724" t="s">
        <v>49</v>
      </c>
      <c r="AA347" s="724" t="s">
        <v>47</v>
      </c>
      <c r="AB347" s="21"/>
      <c r="AC347" s="21"/>
      <c r="AD347" s="21"/>
      <c r="AE347" s="21"/>
      <c r="AF347" s="21"/>
      <c r="AG347" s="21"/>
      <c r="AH347" s="21"/>
      <c r="AI347" s="744"/>
      <c r="AJ347" s="740"/>
      <c r="AK347" s="740"/>
      <c r="AL347" s="740"/>
      <c r="AM347" s="740"/>
      <c r="AN347" s="740"/>
      <c r="AO347" s="740"/>
      <c r="AP347" s="740"/>
      <c r="AQ347" s="740"/>
      <c r="AR347" s="740"/>
      <c r="AS347" s="763"/>
      <c r="AT347" s="763"/>
      <c r="AU347" s="763"/>
      <c r="AV347" s="763"/>
      <c r="AW347" s="763"/>
      <c r="AX347" s="763"/>
      <c r="AY347" s="763"/>
      <c r="AZ347" s="763"/>
      <c r="BA347" s="763"/>
    </row>
    <row r="348" spans="1:53" ht="15.75" customHeight="1">
      <c r="A348" s="646"/>
      <c r="B348" s="747"/>
      <c r="C348" s="747"/>
      <c r="D348" s="747"/>
      <c r="E348" s="759"/>
      <c r="F348" s="762"/>
      <c r="G348" s="335" t="s">
        <v>50</v>
      </c>
      <c r="H348" s="335" t="s">
        <v>51</v>
      </c>
      <c r="I348" s="747"/>
      <c r="J348" s="750"/>
      <c r="K348" s="753"/>
      <c r="L348" s="747"/>
      <c r="M348" s="755"/>
      <c r="N348" s="742"/>
      <c r="O348" s="724"/>
      <c r="P348" s="724"/>
      <c r="Q348" s="724"/>
      <c r="R348" s="741"/>
      <c r="S348" s="694"/>
      <c r="T348" s="724"/>
      <c r="U348" s="724"/>
      <c r="V348" s="743"/>
      <c r="W348" s="742"/>
      <c r="X348" s="724"/>
      <c r="Y348" s="724"/>
      <c r="Z348" s="724"/>
      <c r="AA348" s="724"/>
      <c r="AB348" s="21"/>
      <c r="AC348" s="21"/>
      <c r="AD348" s="21"/>
      <c r="AE348" s="21"/>
      <c r="AF348" s="21"/>
      <c r="AG348" s="21"/>
      <c r="AH348" s="21"/>
      <c r="AI348" s="744"/>
      <c r="AJ348" s="740"/>
      <c r="AK348" s="740"/>
      <c r="AL348" s="343"/>
      <c r="AM348" s="343"/>
      <c r="AN348" s="343"/>
      <c r="AO348" s="343"/>
      <c r="AP348" s="343"/>
      <c r="AQ348" s="343"/>
      <c r="AR348" s="343"/>
      <c r="AS348" s="21"/>
      <c r="AT348" s="21"/>
      <c r="AU348" s="21"/>
      <c r="AV348" s="344"/>
      <c r="AW348" s="343"/>
      <c r="AX348" s="343"/>
      <c r="AY348" s="343"/>
      <c r="AZ348" s="343"/>
      <c r="BA348" s="343"/>
    </row>
    <row r="349" spans="1:53">
      <c r="A349" s="315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SUM('31:16'!G349)</f>
        <v>0</v>
      </c>
      <c r="H349" s="95">
        <f t="shared" ref="H349:H369" si="133">D349*G349</f>
        <v>0</v>
      </c>
      <c r="I349" s="93">
        <f>SUM('31:16'!I349)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58" si="134">IF(ISERROR(I349-K349),"",I349-K349)</f>
        <v>0</v>
      </c>
      <c r="N349" s="84">
        <f>SUM(O349:U349)</f>
        <v>0</v>
      </c>
      <c r="O349" s="93">
        <f>SUM('31:16'!O349)</f>
        <v>0</v>
      </c>
      <c r="P349" s="93">
        <f>SUM('31:16'!P349)</f>
        <v>0</v>
      </c>
      <c r="Q349" s="93">
        <f>SUM('31:16'!Q349)</f>
        <v>0</v>
      </c>
      <c r="R349" s="93">
        <f>SUM('31:16'!R349)</f>
        <v>0</v>
      </c>
      <c r="S349" s="93">
        <f>SUM('31:16'!S349)</f>
        <v>0</v>
      </c>
      <c r="T349" s="93">
        <f>SUM('31:16'!T349)</f>
        <v>0</v>
      </c>
      <c r="U349" s="93">
        <f>SUM('31:16'!U349)</f>
        <v>0</v>
      </c>
      <c r="V349" s="206">
        <f t="shared" ref="V349:V358" si="135">SUM(X349:AA349)</f>
        <v>0</v>
      </c>
      <c r="W349" s="33" t="str">
        <f t="shared" ref="W349:W358" si="136">IF(ISERROR(V349/G349),"",V349/G349)</f>
        <v/>
      </c>
      <c r="X349" s="93">
        <f>SUM('31:16'!X349)</f>
        <v>0</v>
      </c>
      <c r="Y349" s="93">
        <f>SUM('31:16'!Y349)</f>
        <v>0</v>
      </c>
      <c r="Z349" s="93">
        <f>SUM('31:16'!Z349)</f>
        <v>0</v>
      </c>
      <c r="AA349" s="93">
        <f>SUM('31:16'!AA349)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345"/>
      <c r="AM349" s="54"/>
      <c r="AN349" s="345"/>
      <c r="AO349" s="345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>
      <c r="A350" s="300"/>
      <c r="B350" s="62" t="s">
        <v>54</v>
      </c>
      <c r="C350" s="16" t="s">
        <v>53</v>
      </c>
      <c r="D350" s="17">
        <v>5.03</v>
      </c>
      <c r="E350" s="17"/>
      <c r="F350" s="6"/>
      <c r="G350" s="93">
        <f>SUM('31:16'!G350)</f>
        <v>0</v>
      </c>
      <c r="H350" s="95">
        <f t="shared" si="133"/>
        <v>0</v>
      </c>
      <c r="I350" s="93">
        <f>SUM('31:16'!I350)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4"/>
        <v>0</v>
      </c>
      <c r="N350" s="31">
        <f t="shared" ref="N350:N358" si="137">SUM(O350:U350)</f>
        <v>0</v>
      </c>
      <c r="O350" s="93">
        <f>SUM('31:16'!O350)</f>
        <v>0</v>
      </c>
      <c r="P350" s="93">
        <f>SUM('31:16'!P350)</f>
        <v>0</v>
      </c>
      <c r="Q350" s="93">
        <f>SUM('31:16'!Q350)</f>
        <v>0</v>
      </c>
      <c r="R350" s="93">
        <f>SUM('31:16'!R350)</f>
        <v>0</v>
      </c>
      <c r="S350" s="93">
        <f>SUM('31:16'!S350)</f>
        <v>0</v>
      </c>
      <c r="T350" s="93">
        <f>SUM('31:16'!T350)</f>
        <v>0</v>
      </c>
      <c r="U350" s="93">
        <f>SUM('31:16'!U350)</f>
        <v>0</v>
      </c>
      <c r="V350" s="206">
        <f t="shared" si="135"/>
        <v>0</v>
      </c>
      <c r="W350" s="33" t="str">
        <f t="shared" si="136"/>
        <v/>
      </c>
      <c r="X350" s="93">
        <f>SUM('31:16'!X350)</f>
        <v>0</v>
      </c>
      <c r="Y350" s="93">
        <f>SUM('31:16'!Y350)</f>
        <v>0</v>
      </c>
      <c r="Z350" s="93">
        <f>SUM('31:16'!Z350)</f>
        <v>0</v>
      </c>
      <c r="AA350" s="93">
        <f>SUM('31:16'!AA350)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345"/>
      <c r="AO350" s="54"/>
      <c r="AP350" s="345"/>
      <c r="AQ350" s="54"/>
      <c r="AR350" s="54"/>
      <c r="AS350" s="345"/>
      <c r="AT350" s="345"/>
      <c r="AU350" s="345"/>
      <c r="AV350" s="345"/>
      <c r="AW350" s="55"/>
      <c r="AX350" s="54"/>
      <c r="AY350" s="54"/>
      <c r="AZ350" s="54"/>
      <c r="BA350" s="54"/>
    </row>
    <row r="351" spans="1:53">
      <c r="A351" s="301"/>
      <c r="B351" s="62" t="s">
        <v>54</v>
      </c>
      <c r="C351" s="16" t="s">
        <v>55</v>
      </c>
      <c r="D351" s="17">
        <v>5.03</v>
      </c>
      <c r="E351" s="17"/>
      <c r="F351" s="6"/>
      <c r="G351" s="93">
        <f>SUM('31:16'!G351)</f>
        <v>0</v>
      </c>
      <c r="H351" s="95">
        <f t="shared" si="133"/>
        <v>0</v>
      </c>
      <c r="I351" s="93">
        <f>SUM('31:16'!I351)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4"/>
        <v>0</v>
      </c>
      <c r="N351" s="31">
        <f t="shared" si="137"/>
        <v>0</v>
      </c>
      <c r="O351" s="93">
        <f>SUM('31:16'!O351)</f>
        <v>0</v>
      </c>
      <c r="P351" s="93">
        <f>SUM('31:16'!P351)</f>
        <v>0</v>
      </c>
      <c r="Q351" s="93">
        <f>SUM('31:16'!Q351)</f>
        <v>0</v>
      </c>
      <c r="R351" s="93">
        <f>SUM('31:16'!R351)</f>
        <v>0</v>
      </c>
      <c r="S351" s="93">
        <f>SUM('31:16'!S351)</f>
        <v>0</v>
      </c>
      <c r="T351" s="93">
        <f>SUM('31:16'!T351)</f>
        <v>0</v>
      </c>
      <c r="U351" s="93">
        <f>SUM('31:16'!U351)</f>
        <v>0</v>
      </c>
      <c r="V351" s="206">
        <f t="shared" si="135"/>
        <v>0</v>
      </c>
      <c r="W351" s="33" t="str">
        <f t="shared" si="136"/>
        <v/>
      </c>
      <c r="X351" s="93">
        <f>SUM('31:16'!X351)</f>
        <v>0</v>
      </c>
      <c r="Y351" s="93">
        <f>SUM('31:16'!Y351)</f>
        <v>0</v>
      </c>
      <c r="Z351" s="93">
        <f>SUM('31:16'!Z351)</f>
        <v>0</v>
      </c>
      <c r="AA351" s="93">
        <f>SUM('31:16'!AA351)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345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SUM('31:16'!G352)</f>
        <v>0</v>
      </c>
      <c r="H352" s="95">
        <f t="shared" si="133"/>
        <v>0</v>
      </c>
      <c r="I352" s="93">
        <f>SUM('31:16'!I352)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SUM('31:16'!O352)</f>
        <v>0</v>
      </c>
      <c r="P352" s="93">
        <f>SUM('31:16'!P352)</f>
        <v>0</v>
      </c>
      <c r="Q352" s="93">
        <f>SUM('31:16'!Q352)</f>
        <v>0</v>
      </c>
      <c r="R352" s="93">
        <f>SUM('31:16'!R352)</f>
        <v>0</v>
      </c>
      <c r="S352" s="93">
        <f>SUM('31:16'!S352)</f>
        <v>0</v>
      </c>
      <c r="T352" s="93">
        <f>SUM('31:16'!T352)</f>
        <v>0</v>
      </c>
      <c r="U352" s="93">
        <f>SUM('31:16'!U352)</f>
        <v>0</v>
      </c>
      <c r="V352" s="206">
        <f t="shared" si="135"/>
        <v>0</v>
      </c>
      <c r="W352" s="33" t="str">
        <f t="shared" si="136"/>
        <v/>
      </c>
      <c r="X352" s="93">
        <f>SUM('31:16'!X352)</f>
        <v>0</v>
      </c>
      <c r="Y352" s="93">
        <f>SUM('31:16'!Y352)</f>
        <v>0</v>
      </c>
      <c r="Z352" s="93">
        <f>SUM('31:16'!Z352)</f>
        <v>0</v>
      </c>
      <c r="AA352" s="93">
        <f>SUM('31:16'!AA352)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SUM('31:16'!G353)</f>
        <v>0</v>
      </c>
      <c r="H353" s="95">
        <f t="shared" si="133"/>
        <v>0</v>
      </c>
      <c r="I353" s="93">
        <f>SUM('31:16'!I353)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4"/>
        <v>0</v>
      </c>
      <c r="N353" s="31">
        <f t="shared" si="137"/>
        <v>0</v>
      </c>
      <c r="O353" s="93">
        <f>SUM('31:16'!O353)</f>
        <v>0</v>
      </c>
      <c r="P353" s="93">
        <f>SUM('31:16'!P353)</f>
        <v>0</v>
      </c>
      <c r="Q353" s="93">
        <f>SUM('31:16'!Q353)</f>
        <v>0</v>
      </c>
      <c r="R353" s="93">
        <f>SUM('31:16'!R353)</f>
        <v>0</v>
      </c>
      <c r="S353" s="93">
        <f>SUM('31:16'!S353)</f>
        <v>0</v>
      </c>
      <c r="T353" s="93">
        <f>SUM('31:16'!T353)</f>
        <v>0</v>
      </c>
      <c r="U353" s="93">
        <f>SUM('31:16'!U353)</f>
        <v>0</v>
      </c>
      <c r="V353" s="206">
        <f t="shared" si="135"/>
        <v>0</v>
      </c>
      <c r="W353" s="33" t="str">
        <f t="shared" si="136"/>
        <v/>
      </c>
      <c r="X353" s="93">
        <f>SUM('31:16'!X353)</f>
        <v>0</v>
      </c>
      <c r="Y353" s="93">
        <f>SUM('31:16'!Y353)</f>
        <v>0</v>
      </c>
      <c r="Z353" s="93">
        <f>SUM('31:16'!Z353)</f>
        <v>0</v>
      </c>
      <c r="AA353" s="93">
        <f>SUM('31:16'!AA353)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SUM('31:16'!G354)</f>
        <v>0</v>
      </c>
      <c r="H354" s="95">
        <f t="shared" si="133"/>
        <v>0</v>
      </c>
      <c r="I354" s="93">
        <f>SUM('31:16'!I354)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4"/>
        <v>0</v>
      </c>
      <c r="N354" s="31">
        <f t="shared" si="137"/>
        <v>0</v>
      </c>
      <c r="O354" s="93">
        <f>SUM('31:16'!O354)</f>
        <v>0</v>
      </c>
      <c r="P354" s="93">
        <f>SUM('31:16'!P354)</f>
        <v>0</v>
      </c>
      <c r="Q354" s="93">
        <f>SUM('31:16'!Q354)</f>
        <v>0</v>
      </c>
      <c r="R354" s="93">
        <f>SUM('31:16'!R354)</f>
        <v>0</v>
      </c>
      <c r="S354" s="93">
        <f>SUM('31:16'!S354)</f>
        <v>0</v>
      </c>
      <c r="T354" s="93">
        <f>SUM('31:16'!T354)</f>
        <v>0</v>
      </c>
      <c r="U354" s="93">
        <f>SUM('31:16'!U354)</f>
        <v>0</v>
      </c>
      <c r="V354" s="206">
        <f t="shared" si="135"/>
        <v>0</v>
      </c>
      <c r="W354" s="33" t="str">
        <f t="shared" si="136"/>
        <v/>
      </c>
      <c r="X354" s="93">
        <f>SUM('31:16'!X354)</f>
        <v>0</v>
      </c>
      <c r="Y354" s="93">
        <f>SUM('31:16'!Y354)</f>
        <v>0</v>
      </c>
      <c r="Z354" s="93">
        <f>SUM('31:16'!Z354)</f>
        <v>0</v>
      </c>
      <c r="AA354" s="93">
        <f>SUM('31:16'!AA354)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SUM('31:16'!G355)</f>
        <v>0</v>
      </c>
      <c r="H355" s="95">
        <f t="shared" si="133"/>
        <v>0</v>
      </c>
      <c r="I355" s="93">
        <f>SUM('31:16'!I355)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4"/>
        <v>0</v>
      </c>
      <c r="N355" s="31">
        <f t="shared" si="137"/>
        <v>0</v>
      </c>
      <c r="O355" s="93">
        <f>SUM('31:16'!O355)</f>
        <v>0</v>
      </c>
      <c r="P355" s="93">
        <f>SUM('31:16'!P355)</f>
        <v>0</v>
      </c>
      <c r="Q355" s="93">
        <f>SUM('31:16'!Q355)</f>
        <v>0</v>
      </c>
      <c r="R355" s="93">
        <f>SUM('31:16'!R355)</f>
        <v>0</v>
      </c>
      <c r="S355" s="93">
        <f>SUM('31:16'!S355)</f>
        <v>0</v>
      </c>
      <c r="T355" s="93">
        <f>SUM('31:16'!T355)</f>
        <v>0</v>
      </c>
      <c r="U355" s="93">
        <f>SUM('31:16'!U355)</f>
        <v>0</v>
      </c>
      <c r="V355" s="206">
        <f t="shared" si="135"/>
        <v>0</v>
      </c>
      <c r="W355" s="33" t="str">
        <f t="shared" si="136"/>
        <v/>
      </c>
      <c r="X355" s="93">
        <f>SUM('31:16'!X355)</f>
        <v>0</v>
      </c>
      <c r="Y355" s="93">
        <f>SUM('31:16'!Y355)</f>
        <v>0</v>
      </c>
      <c r="Z355" s="93">
        <f>SUM('31:16'!Z355)</f>
        <v>0</v>
      </c>
      <c r="AA355" s="93">
        <f>SUM('31:16'!AA355)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SUM('31:16'!G356)</f>
        <v>0</v>
      </c>
      <c r="H356" s="95">
        <f t="shared" si="133"/>
        <v>0</v>
      </c>
      <c r="I356" s="93">
        <f>SUM('31:16'!I356)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4"/>
        <v>0</v>
      </c>
      <c r="N356" s="31">
        <f t="shared" si="137"/>
        <v>0</v>
      </c>
      <c r="O356" s="93">
        <f>SUM('31:16'!O356)</f>
        <v>0</v>
      </c>
      <c r="P356" s="93">
        <f>SUM('31:16'!P356)</f>
        <v>0</v>
      </c>
      <c r="Q356" s="93">
        <f>SUM('31:16'!Q356)</f>
        <v>0</v>
      </c>
      <c r="R356" s="93">
        <f>SUM('31:16'!R356)</f>
        <v>0</v>
      </c>
      <c r="S356" s="93">
        <f>SUM('31:16'!S356)</f>
        <v>0</v>
      </c>
      <c r="T356" s="93">
        <f>SUM('31:16'!T356)</f>
        <v>0</v>
      </c>
      <c r="U356" s="93">
        <f>SUM('31:16'!U356)</f>
        <v>0</v>
      </c>
      <c r="V356" s="206">
        <f t="shared" si="135"/>
        <v>0</v>
      </c>
      <c r="W356" s="33" t="str">
        <f t="shared" si="136"/>
        <v/>
      </c>
      <c r="X356" s="93">
        <f>SUM('31:16'!X356)</f>
        <v>0</v>
      </c>
      <c r="Y356" s="93">
        <f>SUM('31:16'!Y356)</f>
        <v>0</v>
      </c>
      <c r="Z356" s="93">
        <f>SUM('31:16'!Z356)</f>
        <v>0</v>
      </c>
      <c r="AA356" s="93">
        <f>SUM('31:16'!AA356)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0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SUM('31:16'!G357)</f>
        <v>0</v>
      </c>
      <c r="H357" s="95">
        <f t="shared" si="133"/>
        <v>0</v>
      </c>
      <c r="I357" s="93">
        <f>SUM('31:16'!I357)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4"/>
        <v>0</v>
      </c>
      <c r="N357" s="31">
        <f t="shared" si="137"/>
        <v>0</v>
      </c>
      <c r="O357" s="93">
        <f>SUM('31:16'!O357)</f>
        <v>0</v>
      </c>
      <c r="P357" s="93">
        <f>SUM('31:16'!P357)</f>
        <v>0</v>
      </c>
      <c r="Q357" s="93">
        <f>SUM('31:16'!Q357)</f>
        <v>0</v>
      </c>
      <c r="R357" s="93">
        <f>SUM('31:16'!R357)</f>
        <v>0</v>
      </c>
      <c r="S357" s="93">
        <f>SUM('31:16'!S357)</f>
        <v>0</v>
      </c>
      <c r="T357" s="93">
        <f>SUM('31:16'!T357)</f>
        <v>0</v>
      </c>
      <c r="U357" s="93">
        <f>SUM('31:16'!U357)</f>
        <v>0</v>
      </c>
      <c r="V357" s="206">
        <f t="shared" si="135"/>
        <v>0</v>
      </c>
      <c r="W357" s="33" t="str">
        <f t="shared" si="136"/>
        <v/>
      </c>
      <c r="X357" s="93">
        <f>SUM('31:16'!X357)</f>
        <v>0</v>
      </c>
      <c r="Y357" s="93">
        <f>SUM('31:16'!Y357)</f>
        <v>0</v>
      </c>
      <c r="Z357" s="93">
        <f>SUM('31:16'!Z357)</f>
        <v>0</v>
      </c>
      <c r="AA357" s="93">
        <f>SUM('31:16'!AA357)</f>
        <v>0</v>
      </c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345"/>
      <c r="AM357" s="54"/>
      <c r="AN357" s="54"/>
      <c r="AO357" s="54"/>
      <c r="AP357" s="345"/>
      <c r="AQ357" s="345"/>
      <c r="AR357" s="345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0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SUM('31:16'!G358)</f>
        <v>0</v>
      </c>
      <c r="H358" s="95">
        <f t="shared" si="133"/>
        <v>0</v>
      </c>
      <c r="I358" s="93">
        <f>SUM('31:16'!I358)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4"/>
        <v>0</v>
      </c>
      <c r="N358" s="31">
        <f t="shared" si="137"/>
        <v>0</v>
      </c>
      <c r="O358" s="93">
        <f>SUM('31:16'!O358)</f>
        <v>0</v>
      </c>
      <c r="P358" s="93">
        <f>SUM('31:16'!P358)</f>
        <v>0</v>
      </c>
      <c r="Q358" s="93">
        <f>SUM('31:16'!Q358)</f>
        <v>0</v>
      </c>
      <c r="R358" s="93">
        <f>SUM('31:16'!R358)</f>
        <v>0</v>
      </c>
      <c r="S358" s="93">
        <f>SUM('31:16'!S358)</f>
        <v>0</v>
      </c>
      <c r="T358" s="93">
        <f>SUM('31:16'!T358)</f>
        <v>0</v>
      </c>
      <c r="U358" s="93">
        <f>SUM('31:16'!U358)</f>
        <v>0</v>
      </c>
      <c r="V358" s="206">
        <f t="shared" si="135"/>
        <v>0</v>
      </c>
      <c r="W358" s="33" t="str">
        <f t="shared" si="136"/>
        <v/>
      </c>
      <c r="X358" s="93">
        <f>SUM('31:16'!X358)</f>
        <v>0</v>
      </c>
      <c r="Y358" s="93">
        <f>SUM('31:16'!Y358)</f>
        <v>0</v>
      </c>
      <c r="Z358" s="93">
        <f>SUM('31:16'!Z358)</f>
        <v>0</v>
      </c>
      <c r="AA358" s="93">
        <f>SUM('31:16'!AA358)</f>
        <v>0</v>
      </c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2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SUM('31:16'!G359)</f>
        <v>0</v>
      </c>
      <c r="H359" s="95">
        <f t="shared" si="133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SUM('31:16'!G360)</f>
        <v>0</v>
      </c>
      <c r="H360" s="95">
        <f t="shared" si="133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SUM('31:16'!G361)</f>
        <v>0</v>
      </c>
      <c r="H361" s="95">
        <f t="shared" si="133"/>
        <v>0</v>
      </c>
      <c r="I361" s="93">
        <f>SUM('31:16'!I361)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ref="M361:M364" si="138">IF(ISERROR(I361-K361),"",I361-K361)</f>
        <v>0</v>
      </c>
      <c r="N361" s="31">
        <f t="shared" ref="N361:N364" si="139">SUM(O361:U361)</f>
        <v>0</v>
      </c>
      <c r="O361" s="93">
        <f>SUM('31:16'!O361)</f>
        <v>0</v>
      </c>
      <c r="P361" s="93">
        <f>SUM('31:16'!P361)</f>
        <v>0</v>
      </c>
      <c r="Q361" s="93">
        <f>SUM('31:16'!Q361)</f>
        <v>0</v>
      </c>
      <c r="R361" s="93">
        <f>SUM('31:16'!R361)</f>
        <v>0</v>
      </c>
      <c r="S361" s="93">
        <f>SUM('31:16'!S361)</f>
        <v>0</v>
      </c>
      <c r="T361" s="93">
        <f>SUM('31:16'!T361)</f>
        <v>0</v>
      </c>
      <c r="U361" s="93">
        <f>SUM('31:16'!U361)</f>
        <v>0</v>
      </c>
      <c r="V361" s="206">
        <f t="shared" ref="V361:V364" si="140">SUM(X361:AA361)</f>
        <v>0</v>
      </c>
      <c r="W361" s="33" t="str">
        <f t="shared" ref="W361:W364" si="141">IF(ISERROR(V361/G361),"",V361/G361)</f>
        <v/>
      </c>
      <c r="X361" s="93">
        <f>SUM('31:16'!X361)</f>
        <v>0</v>
      </c>
      <c r="Y361" s="93">
        <f>SUM('31:16'!Y361)</f>
        <v>0</v>
      </c>
      <c r="Z361" s="93">
        <f>SUM('31:16'!Z361)</f>
        <v>0</v>
      </c>
      <c r="AA361" s="93">
        <f>SUM('31:16'!AA361)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SUM('31:16'!G362)</f>
        <v>0</v>
      </c>
      <c r="H362" s="95">
        <f t="shared" si="133"/>
        <v>0</v>
      </c>
      <c r="I362" s="93">
        <f>SUM('31:16'!I362)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8"/>
        <v>0</v>
      </c>
      <c r="N362" s="31">
        <f t="shared" si="139"/>
        <v>0</v>
      </c>
      <c r="O362" s="93">
        <f>SUM('31:16'!O362)</f>
        <v>0</v>
      </c>
      <c r="P362" s="93">
        <f>SUM('31:16'!P362)</f>
        <v>0</v>
      </c>
      <c r="Q362" s="93">
        <f>SUM('31:16'!Q362)</f>
        <v>0</v>
      </c>
      <c r="R362" s="93">
        <f>SUM('31:16'!R362)</f>
        <v>0</v>
      </c>
      <c r="S362" s="93">
        <f>SUM('31:16'!S362)</f>
        <v>0</v>
      </c>
      <c r="T362" s="93">
        <f>SUM('31:16'!T362)</f>
        <v>0</v>
      </c>
      <c r="U362" s="93">
        <f>SUM('31:16'!U362)</f>
        <v>0</v>
      </c>
      <c r="V362" s="206">
        <f t="shared" si="140"/>
        <v>0</v>
      </c>
      <c r="W362" s="33" t="str">
        <f t="shared" si="141"/>
        <v/>
      </c>
      <c r="X362" s="93">
        <f>SUM('31:16'!X362)</f>
        <v>0</v>
      </c>
      <c r="Y362" s="93">
        <f>SUM('31:16'!Y362)</f>
        <v>0</v>
      </c>
      <c r="Z362" s="93">
        <f>SUM('31:16'!Z362)</f>
        <v>0</v>
      </c>
      <c r="AA362" s="93">
        <f>SUM('31:16'!AA362)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SUM('31:16'!G363)</f>
        <v>0</v>
      </c>
      <c r="H363" s="95">
        <f t="shared" si="133"/>
        <v>0</v>
      </c>
      <c r="I363" s="93">
        <f>SUM('31:16'!I363)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8"/>
        <v>0</v>
      </c>
      <c r="N363" s="31">
        <f t="shared" si="139"/>
        <v>0</v>
      </c>
      <c r="O363" s="93">
        <f>SUM('31:16'!O363)</f>
        <v>0</v>
      </c>
      <c r="P363" s="93">
        <f>SUM('31:16'!P363)</f>
        <v>0</v>
      </c>
      <c r="Q363" s="93">
        <f>SUM('31:16'!Q363)</f>
        <v>0</v>
      </c>
      <c r="R363" s="93">
        <f>SUM('31:16'!R363)</f>
        <v>0</v>
      </c>
      <c r="S363" s="93">
        <f>SUM('31:16'!S363)</f>
        <v>0</v>
      </c>
      <c r="T363" s="93">
        <f>SUM('31:16'!T363)</f>
        <v>0</v>
      </c>
      <c r="U363" s="93">
        <f>SUM('31:16'!U363)</f>
        <v>0</v>
      </c>
      <c r="V363" s="206">
        <f t="shared" si="140"/>
        <v>0</v>
      </c>
      <c r="W363" s="33" t="str">
        <f t="shared" si="141"/>
        <v/>
      </c>
      <c r="X363" s="93">
        <f>SUM('31:16'!X363)</f>
        <v>0</v>
      </c>
      <c r="Y363" s="93">
        <f>SUM('31:16'!Y363)</f>
        <v>0</v>
      </c>
      <c r="Z363" s="93">
        <f>SUM('31:16'!Z363)</f>
        <v>0</v>
      </c>
      <c r="AA363" s="93">
        <f>SUM('31:16'!AA363)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30100003</v>
      </c>
      <c r="B364" s="141" t="s">
        <v>198</v>
      </c>
      <c r="C364" s="333" t="s">
        <v>190</v>
      </c>
      <c r="D364" s="108">
        <v>4.8</v>
      </c>
      <c r="E364" s="17"/>
      <c r="F364" s="6"/>
      <c r="G364" s="93">
        <f>SUM('31:16'!G364)</f>
        <v>0</v>
      </c>
      <c r="H364" s="95">
        <f t="shared" si="133"/>
        <v>0</v>
      </c>
      <c r="I364" s="93">
        <f>SUM('31:16'!I364)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8"/>
        <v>0</v>
      </c>
      <c r="N364" s="31">
        <f t="shared" si="139"/>
        <v>0</v>
      </c>
      <c r="O364" s="93">
        <f>SUM('31:16'!O364)</f>
        <v>0</v>
      </c>
      <c r="P364" s="93">
        <f>SUM('31:16'!P364)</f>
        <v>0</v>
      </c>
      <c r="Q364" s="93">
        <f>SUM('31:16'!Q364)</f>
        <v>0</v>
      </c>
      <c r="R364" s="93">
        <f>SUM('31:16'!R364)</f>
        <v>0</v>
      </c>
      <c r="S364" s="93">
        <f>SUM('31:16'!S364)</f>
        <v>0</v>
      </c>
      <c r="T364" s="93">
        <f>SUM('31:16'!T364)</f>
        <v>0</v>
      </c>
      <c r="U364" s="93">
        <f>SUM('31:16'!U364)</f>
        <v>0</v>
      </c>
      <c r="V364" s="206">
        <f t="shared" si="140"/>
        <v>0</v>
      </c>
      <c r="W364" s="33" t="str">
        <f t="shared" si="141"/>
        <v/>
      </c>
      <c r="X364" s="93">
        <f>SUM('31:16'!X364)</f>
        <v>0</v>
      </c>
      <c r="Y364" s="93">
        <f>SUM('31:16'!Y364)</f>
        <v>0</v>
      </c>
      <c r="Z364" s="93">
        <f>SUM('31:16'!Z364)</f>
        <v>0</v>
      </c>
      <c r="AA364" s="93">
        <f>SUM('31:16'!AA364)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30100004</v>
      </c>
      <c r="B365" s="141" t="s">
        <v>198</v>
      </c>
      <c r="C365" s="333" t="s">
        <v>187</v>
      </c>
      <c r="D365" s="108">
        <v>4.8</v>
      </c>
      <c r="E365" s="17"/>
      <c r="F365" s="6"/>
      <c r="G365" s="93">
        <f>SUM('31:16'!G365)</f>
        <v>0</v>
      </c>
      <c r="H365" s="95">
        <f t="shared" si="133"/>
        <v>0</v>
      </c>
      <c r="I365" s="93">
        <f>SUM('31:16'!I365)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SUM('31:16'!O365)</f>
        <v>0</v>
      </c>
      <c r="P365" s="93">
        <f>SUM('31:16'!P365)</f>
        <v>0</v>
      </c>
      <c r="Q365" s="93">
        <f>SUM('31:16'!Q365)</f>
        <v>0</v>
      </c>
      <c r="R365" s="93">
        <f>SUM('31:16'!R365)</f>
        <v>0</v>
      </c>
      <c r="S365" s="93">
        <f>SUM('31:16'!S365)</f>
        <v>0</v>
      </c>
      <c r="T365" s="93">
        <f>SUM('31:16'!T365)</f>
        <v>0</v>
      </c>
      <c r="U365" s="93">
        <f>SUM('31:16'!U365)</f>
        <v>0</v>
      </c>
      <c r="V365" s="206"/>
      <c r="W365" s="33"/>
      <c r="X365" s="93">
        <f>SUM('31:16'!X365)</f>
        <v>0</v>
      </c>
      <c r="Y365" s="93">
        <f>SUM('31:16'!Y365)</f>
        <v>0</v>
      </c>
      <c r="Z365" s="93">
        <f>SUM('31:16'!Z365)</f>
        <v>0</v>
      </c>
      <c r="AA365" s="93">
        <f>SUM('31:16'!AA365)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30100006</v>
      </c>
      <c r="B366" s="141" t="s">
        <v>198</v>
      </c>
      <c r="C366" s="333" t="s">
        <v>179</v>
      </c>
      <c r="D366" s="108">
        <v>4.8</v>
      </c>
      <c r="E366" s="17"/>
      <c r="F366" s="6"/>
      <c r="G366" s="93">
        <f>SUM('31:16'!G366)</f>
        <v>0</v>
      </c>
      <c r="H366" s="95">
        <f t="shared" si="133"/>
        <v>0</v>
      </c>
      <c r="I366" s="93">
        <f>SUM('31:16'!I366)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SUM('31:16'!O366)</f>
        <v>0</v>
      </c>
      <c r="P366" s="93">
        <f>SUM('31:16'!P366)</f>
        <v>0</v>
      </c>
      <c r="Q366" s="93">
        <f>SUM('31:16'!Q366)</f>
        <v>0</v>
      </c>
      <c r="R366" s="93">
        <f>SUM('31:16'!R366)</f>
        <v>0</v>
      </c>
      <c r="S366" s="93">
        <f>SUM('31:16'!S366)</f>
        <v>0</v>
      </c>
      <c r="T366" s="93">
        <f>SUM('31:16'!T366)</f>
        <v>0</v>
      </c>
      <c r="U366" s="93">
        <f>SUM('31:16'!U366)</f>
        <v>0</v>
      </c>
      <c r="V366" s="206"/>
      <c r="W366" s="33"/>
      <c r="X366" s="93">
        <f>SUM('31:16'!X366)</f>
        <v>0</v>
      </c>
      <c r="Y366" s="93">
        <f>SUM('31:16'!Y366)</f>
        <v>0</v>
      </c>
      <c r="Z366" s="93">
        <f>SUM('31:16'!Z366)</f>
        <v>0</v>
      </c>
      <c r="AA366" s="93">
        <f>SUM('31:16'!AA366)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300">
        <v>30100005</v>
      </c>
      <c r="B367" s="141" t="s">
        <v>198</v>
      </c>
      <c r="C367" s="333" t="s">
        <v>199</v>
      </c>
      <c r="D367" s="108">
        <v>4.8</v>
      </c>
      <c r="E367" s="17"/>
      <c r="F367" s="6"/>
      <c r="G367" s="93">
        <f>SUM('31:16'!G367)</f>
        <v>0</v>
      </c>
      <c r="H367" s="95">
        <f t="shared" si="133"/>
        <v>0</v>
      </c>
      <c r="I367" s="93">
        <f>SUM('31:16'!I367)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SUM('31:16'!O367)</f>
        <v>0</v>
      </c>
      <c r="P367" s="93">
        <f>SUM('31:16'!P367)</f>
        <v>0</v>
      </c>
      <c r="Q367" s="93">
        <f>SUM('31:16'!Q367)</f>
        <v>0</v>
      </c>
      <c r="R367" s="93">
        <f>SUM('31:16'!R367)</f>
        <v>0</v>
      </c>
      <c r="S367" s="93">
        <f>SUM('31:16'!S367)</f>
        <v>0</v>
      </c>
      <c r="T367" s="93">
        <f>SUM('31:16'!T367)</f>
        <v>0</v>
      </c>
      <c r="U367" s="93">
        <f>SUM('31:16'!U367)</f>
        <v>0</v>
      </c>
      <c r="V367" s="206"/>
      <c r="W367" s="33"/>
      <c r="X367" s="93">
        <f>SUM('31:16'!X367)</f>
        <v>0</v>
      </c>
      <c r="Y367" s="93">
        <f>SUM('31:16'!Y367)</f>
        <v>0</v>
      </c>
      <c r="Z367" s="93">
        <f>SUM('31:16'!Z367)</f>
        <v>0</v>
      </c>
      <c r="AA367" s="93">
        <f>SUM('31:16'!AA367)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300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SUM('31:16'!G368)</f>
        <v>0</v>
      </c>
      <c r="H368" s="95">
        <f t="shared" si="133"/>
        <v>0</v>
      </c>
      <c r="I368" s="93">
        <f>SUM('31:16'!I368)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SUM('31:16'!O368)</f>
        <v>0</v>
      </c>
      <c r="P368" s="93">
        <f>SUM('31:16'!P368)</f>
        <v>0</v>
      </c>
      <c r="Q368" s="93">
        <f>SUM('31:16'!Q368)</f>
        <v>0</v>
      </c>
      <c r="R368" s="93">
        <f>SUM('31:16'!R368)</f>
        <v>0</v>
      </c>
      <c r="S368" s="93">
        <f>SUM('31:16'!S368)</f>
        <v>0</v>
      </c>
      <c r="T368" s="93">
        <f>SUM('31:16'!T368)</f>
        <v>0</v>
      </c>
      <c r="U368" s="93">
        <f>SUM('31:16'!U368)</f>
        <v>0</v>
      </c>
      <c r="V368" s="206"/>
      <c r="W368" s="33"/>
      <c r="X368" s="93">
        <f>SUM('31:16'!X368)</f>
        <v>0</v>
      </c>
      <c r="Y368" s="93">
        <f>SUM('31:16'!Y368)</f>
        <v>0</v>
      </c>
      <c r="Z368" s="93">
        <f>SUM('31:16'!Z368)</f>
        <v>0</v>
      </c>
      <c r="AA368" s="93">
        <f>SUM('31:16'!AA368)</f>
        <v>0</v>
      </c>
      <c r="AB368" s="73"/>
      <c r="AC368" s="54"/>
      <c r="AD368" s="346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SUM('31:16'!G369)</f>
        <v>0</v>
      </c>
      <c r="H369" s="95">
        <f t="shared" si="133"/>
        <v>0</v>
      </c>
      <c r="I369" s="93">
        <f>SUM('31:16'!I369)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SUM('31:16'!O369)</f>
        <v>0</v>
      </c>
      <c r="P369" s="93">
        <f>SUM('31:16'!P369)</f>
        <v>0</v>
      </c>
      <c r="Q369" s="93">
        <f>SUM('31:16'!Q369)</f>
        <v>0</v>
      </c>
      <c r="R369" s="93">
        <f>SUM('31:16'!R369)</f>
        <v>0</v>
      </c>
      <c r="S369" s="93">
        <f>SUM('31:16'!S369)</f>
        <v>0</v>
      </c>
      <c r="T369" s="93">
        <f>SUM('31:16'!T369)</f>
        <v>0</v>
      </c>
      <c r="U369" s="93">
        <f>SUM('31:16'!U369)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SUM('31:16'!X369)</f>
        <v>0</v>
      </c>
      <c r="Y369" s="93">
        <f>SUM('31:16'!Y369)</f>
        <v>0</v>
      </c>
      <c r="Z369" s="93">
        <f>SUM('31:16'!Z369)</f>
        <v>0</v>
      </c>
      <c r="AA369" s="93">
        <f>SUM('31:16'!AA369)</f>
        <v>0</v>
      </c>
      <c r="AB369" s="73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737" t="s">
        <v>70</v>
      </c>
      <c r="B370" s="73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70"/>
      <c r="AC370" s="70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>
      <c r="A371" s="300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SUM('31:16'!G371)</f>
        <v>0</v>
      </c>
      <c r="H371" s="339">
        <f t="shared" ref="H371:H427" si="147">D371*G371</f>
        <v>0</v>
      </c>
      <c r="I371" s="93">
        <f>SUM('31:16'!I371)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SUM('31:16'!O371)</f>
        <v>0</v>
      </c>
      <c r="P371" s="93">
        <f>SUM('31:16'!P371)</f>
        <v>0</v>
      </c>
      <c r="Q371" s="93">
        <f>SUM('31:16'!Q371)</f>
        <v>0</v>
      </c>
      <c r="R371" s="93">
        <f>SUM('31:16'!R371)</f>
        <v>0</v>
      </c>
      <c r="S371" s="93">
        <f>SUM('31:16'!S371)</f>
        <v>0</v>
      </c>
      <c r="T371" s="93">
        <f>SUM('31:16'!T371)</f>
        <v>0</v>
      </c>
      <c r="U371" s="93">
        <f>SUM('31:16'!U371)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SUM('31:16'!X371)</f>
        <v>0</v>
      </c>
      <c r="Y371" s="93">
        <f>SUM('31:16'!Y371)</f>
        <v>0</v>
      </c>
      <c r="Z371" s="93">
        <f>SUM('31:16'!Z371)</f>
        <v>0</v>
      </c>
      <c r="AA371" s="93">
        <f>SUM('31:16'!AA371)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>
      <c r="A372" s="300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>
        <f>SUM('31:16'!G372)</f>
        <v>0</v>
      </c>
      <c r="H372" s="339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SUM('31:16'!G373)</f>
        <v>0</v>
      </c>
      <c r="H373" s="339">
        <f t="shared" si="147"/>
        <v>0</v>
      </c>
      <c r="I373" s="93">
        <f>SUM('31:16'!I373)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SUM('31:16'!O373)</f>
        <v>0</v>
      </c>
      <c r="P373" s="93">
        <f>SUM('31:16'!P373)</f>
        <v>0</v>
      </c>
      <c r="Q373" s="93">
        <f>SUM('31:16'!Q373)</f>
        <v>0</v>
      </c>
      <c r="R373" s="93">
        <f>SUM('31:16'!R373)</f>
        <v>0</v>
      </c>
      <c r="S373" s="93">
        <f>SUM('31:16'!S373)</f>
        <v>0</v>
      </c>
      <c r="T373" s="93">
        <f>SUM('31:16'!T373)</f>
        <v>0</v>
      </c>
      <c r="U373" s="93">
        <f>SUM('31:16'!U373)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SUM('31:16'!X373)</f>
        <v>0</v>
      </c>
      <c r="Y373" s="93">
        <f>SUM('31:16'!Y373)</f>
        <v>0</v>
      </c>
      <c r="Z373" s="93">
        <f>SUM('31:16'!Z373)</f>
        <v>0</v>
      </c>
      <c r="AA373" s="93">
        <f>SUM('31:16'!AA373)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00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SUM('31:16'!G374)</f>
        <v>0</v>
      </c>
      <c r="H374" s="339">
        <f t="shared" si="147"/>
        <v>0</v>
      </c>
      <c r="I374" s="93">
        <f>SUM('31:16'!I374)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SUM('31:16'!O374)</f>
        <v>0</v>
      </c>
      <c r="P374" s="93">
        <f>SUM('31:16'!P374)</f>
        <v>0</v>
      </c>
      <c r="Q374" s="93">
        <f>SUM('31:16'!Q374)</f>
        <v>0</v>
      </c>
      <c r="R374" s="93">
        <f>SUM('31:16'!R374)</f>
        <v>0</v>
      </c>
      <c r="S374" s="93">
        <f>SUM('31:16'!S374)</f>
        <v>0</v>
      </c>
      <c r="T374" s="93">
        <f>SUM('31:16'!T374)</f>
        <v>0</v>
      </c>
      <c r="U374" s="93">
        <f>SUM('31:16'!U374)</f>
        <v>0</v>
      </c>
      <c r="V374" s="206">
        <f t="shared" si="154"/>
        <v>0</v>
      </c>
      <c r="W374" s="33" t="str">
        <f t="shared" si="155"/>
        <v/>
      </c>
      <c r="X374" s="93">
        <f>SUM('31:16'!X374)</f>
        <v>0</v>
      </c>
      <c r="Y374" s="93">
        <f>SUM('31:16'!Y374)</f>
        <v>0</v>
      </c>
      <c r="Z374" s="93">
        <f>SUM('31:16'!Z374)</f>
        <v>0</v>
      </c>
      <c r="AA374" s="93">
        <f>SUM('31:16'!AA374)</f>
        <v>0</v>
      </c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SUM('31:16'!G375)</f>
        <v>0</v>
      </c>
      <c r="H375" s="339">
        <f t="shared" si="147"/>
        <v>0</v>
      </c>
      <c r="I375" s="93">
        <f>SUM('31:16'!I375)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SUM('31:16'!O375)</f>
        <v>0</v>
      </c>
      <c r="P375" s="93">
        <f>SUM('31:16'!P375)</f>
        <v>0</v>
      </c>
      <c r="Q375" s="93">
        <f>SUM('31:16'!Q375)</f>
        <v>0</v>
      </c>
      <c r="R375" s="93">
        <f>SUM('31:16'!R375)</f>
        <v>0</v>
      </c>
      <c r="S375" s="93">
        <f>SUM('31:16'!S375)</f>
        <v>0</v>
      </c>
      <c r="T375" s="93">
        <f>SUM('31:16'!T375)</f>
        <v>0</v>
      </c>
      <c r="U375" s="93">
        <f>SUM('31:16'!U375)</f>
        <v>0</v>
      </c>
      <c r="V375" s="206">
        <f t="shared" si="154"/>
        <v>0</v>
      </c>
      <c r="W375" s="33" t="str">
        <f t="shared" si="155"/>
        <v/>
      </c>
      <c r="X375" s="93">
        <f>SUM('31:16'!X375)</f>
        <v>0</v>
      </c>
      <c r="Y375" s="93">
        <f>SUM('31:16'!Y375)</f>
        <v>0</v>
      </c>
      <c r="Z375" s="93">
        <f>SUM('31:16'!Z375)</f>
        <v>0</v>
      </c>
      <c r="AA375" s="93">
        <f>SUM('31:16'!AA375)</f>
        <v>0</v>
      </c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30100016</v>
      </c>
      <c r="B376" s="334" t="s">
        <v>414</v>
      </c>
      <c r="C376" s="187" t="s">
        <v>415</v>
      </c>
      <c r="D376" s="17"/>
      <c r="E376" s="17"/>
      <c r="F376" s="6"/>
      <c r="G376" s="93">
        <f>SUM('31:16'!G376)</f>
        <v>0</v>
      </c>
      <c r="H376" s="339">
        <f t="shared" si="147"/>
        <v>0</v>
      </c>
      <c r="I376" s="93">
        <f>SUM('31:16'!I376)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30100017</v>
      </c>
      <c r="B377" s="334" t="s">
        <v>414</v>
      </c>
      <c r="C377" s="187" t="s">
        <v>416</v>
      </c>
      <c r="D377" s="17"/>
      <c r="E377" s="17"/>
      <c r="F377" s="6"/>
      <c r="G377" s="93">
        <f>SUM('31:16'!G377)</f>
        <v>0</v>
      </c>
      <c r="H377" s="339">
        <f t="shared" si="147"/>
        <v>0</v>
      </c>
      <c r="I377" s="93">
        <f>SUM('31:16'!I377)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30100015</v>
      </c>
      <c r="B378" s="334" t="s">
        <v>414</v>
      </c>
      <c r="C378" s="187" t="s">
        <v>417</v>
      </c>
      <c r="D378" s="17"/>
      <c r="E378" s="17"/>
      <c r="F378" s="6"/>
      <c r="G378" s="93">
        <f>SUM('31:16'!G378)</f>
        <v>0</v>
      </c>
      <c r="H378" s="339">
        <f t="shared" si="147"/>
        <v>0</v>
      </c>
      <c r="I378" s="93">
        <f>SUM('31:16'!I378)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SUM('31:16'!G379)</f>
        <v>0</v>
      </c>
      <c r="H379" s="339">
        <f t="shared" si="147"/>
        <v>0</v>
      </c>
      <c r="I379" s="93">
        <f>SUM('31:16'!I379)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SUM('31:16'!O379)</f>
        <v>0</v>
      </c>
      <c r="P379" s="93">
        <f>SUM('31:16'!P379)</f>
        <v>0</v>
      </c>
      <c r="Q379" s="93">
        <f>SUM('31:16'!Q379)</f>
        <v>0</v>
      </c>
      <c r="R379" s="93">
        <f>SUM('31:16'!R379)</f>
        <v>0</v>
      </c>
      <c r="S379" s="93">
        <f>SUM('31:16'!S379)</f>
        <v>0</v>
      </c>
      <c r="T379" s="93">
        <f>SUM('31:16'!T379)</f>
        <v>0</v>
      </c>
      <c r="U379" s="93">
        <f>SUM('31:16'!U379)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SUM('31:16'!X379)</f>
        <v>0</v>
      </c>
      <c r="Y379" s="93">
        <f>SUM('31:16'!Y379)</f>
        <v>0</v>
      </c>
      <c r="Z379" s="93">
        <f>SUM('31:16'!Z379)</f>
        <v>0</v>
      </c>
      <c r="AA379" s="93">
        <f>SUM('31:16'!AA379)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SUM('31:16'!G380)</f>
        <v>0</v>
      </c>
      <c r="H380" s="339">
        <f t="shared" si="147"/>
        <v>0</v>
      </c>
      <c r="I380" s="93">
        <f>SUM('31:16'!I380)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SUM('31:16'!O380)</f>
        <v>0</v>
      </c>
      <c r="P380" s="93">
        <f>SUM('31:16'!P380)</f>
        <v>0</v>
      </c>
      <c r="Q380" s="93">
        <f>SUM('31:16'!Q380)</f>
        <v>0</v>
      </c>
      <c r="R380" s="93">
        <f>SUM('31:16'!R380)</f>
        <v>0</v>
      </c>
      <c r="S380" s="93">
        <f>SUM('31:16'!S380)</f>
        <v>0</v>
      </c>
      <c r="T380" s="93">
        <f>SUM('31:16'!T380)</f>
        <v>0</v>
      </c>
      <c r="U380" s="93">
        <f>SUM('31:16'!U380)</f>
        <v>0</v>
      </c>
      <c r="V380" s="206">
        <f t="shared" si="157"/>
        <v>0</v>
      </c>
      <c r="W380" s="33" t="str">
        <f t="shared" si="158"/>
        <v/>
      </c>
      <c r="X380" s="93">
        <f>SUM('31:16'!X380)</f>
        <v>0</v>
      </c>
      <c r="Y380" s="93">
        <f>SUM('31:16'!Y380)</f>
        <v>0</v>
      </c>
      <c r="Z380" s="93">
        <f>SUM('31:16'!Z380)</f>
        <v>0</v>
      </c>
      <c r="AA380" s="93">
        <f>SUM('31:16'!AA380)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SUM('31:16'!G381)</f>
        <v>0</v>
      </c>
      <c r="H381" s="339">
        <f t="shared" si="147"/>
        <v>0</v>
      </c>
      <c r="I381" s="93">
        <f>SUM('31:16'!I381)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SUM('31:16'!O381)</f>
        <v>0</v>
      </c>
      <c r="P381" s="93">
        <f>SUM('31:16'!P381)</f>
        <v>0</v>
      </c>
      <c r="Q381" s="93">
        <f>SUM('31:16'!Q381)</f>
        <v>0</v>
      </c>
      <c r="R381" s="93">
        <f>SUM('31:16'!R381)</f>
        <v>0</v>
      </c>
      <c r="S381" s="93">
        <f>SUM('31:16'!S381)</f>
        <v>0</v>
      </c>
      <c r="T381" s="93">
        <f>SUM('31:16'!T381)</f>
        <v>0</v>
      </c>
      <c r="U381" s="93">
        <f>SUM('31:16'!U381)</f>
        <v>0</v>
      </c>
      <c r="V381" s="206">
        <f t="shared" si="157"/>
        <v>0</v>
      </c>
      <c r="W381" s="33" t="str">
        <f t="shared" si="158"/>
        <v/>
      </c>
      <c r="X381" s="93">
        <f>SUM('31:16'!X381)</f>
        <v>0</v>
      </c>
      <c r="Y381" s="93">
        <f>SUM('31:16'!Y381)</f>
        <v>0</v>
      </c>
      <c r="Z381" s="93">
        <f>SUM('31:16'!Z381)</f>
        <v>0</v>
      </c>
      <c r="AA381" s="93">
        <f>SUM('31:16'!AA381)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SUM('31:16'!G382)</f>
        <v>0</v>
      </c>
      <c r="H382" s="339">
        <f t="shared" si="147"/>
        <v>0</v>
      </c>
      <c r="I382" s="93">
        <f>SUM('31:16'!I382)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SUM('31:16'!O382)</f>
        <v>0</v>
      </c>
      <c r="P382" s="93">
        <f>SUM('31:16'!P382)</f>
        <v>0</v>
      </c>
      <c r="Q382" s="93">
        <f>SUM('31:16'!Q382)</f>
        <v>0</v>
      </c>
      <c r="R382" s="93">
        <f>SUM('31:16'!R382)</f>
        <v>0</v>
      </c>
      <c r="S382" s="93">
        <f>SUM('31:16'!S382)</f>
        <v>0</v>
      </c>
      <c r="T382" s="93">
        <f>SUM('31:16'!T382)</f>
        <v>0</v>
      </c>
      <c r="U382" s="93">
        <f>SUM('31:16'!U382)</f>
        <v>0</v>
      </c>
      <c r="V382" s="206">
        <f t="shared" si="157"/>
        <v>0</v>
      </c>
      <c r="W382" s="33" t="str">
        <f t="shared" si="158"/>
        <v/>
      </c>
      <c r="X382" s="93">
        <f>SUM('31:16'!X382)</f>
        <v>0</v>
      </c>
      <c r="Y382" s="93">
        <f>SUM('31:16'!Y382)</f>
        <v>0</v>
      </c>
      <c r="Z382" s="93">
        <f>SUM('31:16'!Z382)</f>
        <v>0</v>
      </c>
      <c r="AA382" s="93">
        <f>SUM('31:16'!AA382)</f>
        <v>0</v>
      </c>
      <c r="AB382" s="25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SUM('31:16'!G383)</f>
        <v>0</v>
      </c>
      <c r="H383" s="339">
        <f t="shared" si="147"/>
        <v>0</v>
      </c>
      <c r="I383" s="93">
        <f>SUM('31:16'!I383)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SUM('31:16'!O383)</f>
        <v>0</v>
      </c>
      <c r="P383" s="93">
        <f>SUM('31:16'!P383)</f>
        <v>0</v>
      </c>
      <c r="Q383" s="93">
        <f>SUM('31:16'!Q383)</f>
        <v>0</v>
      </c>
      <c r="R383" s="93">
        <f>SUM('31:16'!R383)</f>
        <v>0</v>
      </c>
      <c r="S383" s="93">
        <f>SUM('31:16'!S383)</f>
        <v>0</v>
      </c>
      <c r="T383" s="93">
        <f>SUM('31:16'!T383)</f>
        <v>0</v>
      </c>
      <c r="U383" s="93">
        <f>SUM('31:16'!U383)</f>
        <v>0</v>
      </c>
      <c r="V383" s="206">
        <f t="shared" si="157"/>
        <v>0</v>
      </c>
      <c r="W383" s="33" t="str">
        <f t="shared" si="158"/>
        <v/>
      </c>
      <c r="X383" s="93">
        <f>SUM('31:16'!X383)</f>
        <v>0</v>
      </c>
      <c r="Y383" s="93">
        <f>SUM('31:16'!Y383)</f>
        <v>0</v>
      </c>
      <c r="Z383" s="93">
        <f>SUM('31:16'!Z383)</f>
        <v>0</v>
      </c>
      <c r="AA383" s="93">
        <f>SUM('31:16'!AA383)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SUM('31:16'!G384)</f>
        <v>0</v>
      </c>
      <c r="H384" s="339">
        <f t="shared" si="147"/>
        <v>0</v>
      </c>
      <c r="I384" s="93">
        <f>SUM('31:16'!I384)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SUM('31:16'!O384)</f>
        <v>0</v>
      </c>
      <c r="P384" s="93">
        <f>SUM('31:16'!P384)</f>
        <v>0</v>
      </c>
      <c r="Q384" s="93">
        <f>SUM('31:16'!Q384)</f>
        <v>0</v>
      </c>
      <c r="R384" s="93">
        <f>SUM('31:16'!R384)</f>
        <v>0</v>
      </c>
      <c r="S384" s="93">
        <f>SUM('31:16'!S384)</f>
        <v>0</v>
      </c>
      <c r="T384" s="93">
        <f>SUM('31:16'!T384)</f>
        <v>0</v>
      </c>
      <c r="U384" s="93">
        <f>SUM('31:16'!U384)</f>
        <v>0</v>
      </c>
      <c r="V384" s="206">
        <f t="shared" si="157"/>
        <v>0</v>
      </c>
      <c r="W384" s="33" t="str">
        <f t="shared" si="158"/>
        <v/>
      </c>
      <c r="X384" s="93">
        <f>SUM('31:16'!X384)</f>
        <v>0</v>
      </c>
      <c r="Y384" s="93">
        <f>SUM('31:16'!Y384)</f>
        <v>0</v>
      </c>
      <c r="Z384" s="93">
        <f>SUM('31:16'!Z384)</f>
        <v>0</v>
      </c>
      <c r="AA384" s="93">
        <f>SUM('31:16'!AA384)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SUM('31:16'!G385)</f>
        <v>0</v>
      </c>
      <c r="H385" s="339">
        <f t="shared" si="147"/>
        <v>0</v>
      </c>
      <c r="I385" s="93">
        <f>SUM('31:16'!I385)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SUM('31:16'!O385)</f>
        <v>0</v>
      </c>
      <c r="P385" s="93">
        <f>SUM('31:16'!P385)</f>
        <v>0</v>
      </c>
      <c r="Q385" s="93">
        <f>SUM('31:16'!Q385)</f>
        <v>0</v>
      </c>
      <c r="R385" s="93">
        <f>SUM('31:16'!R385)</f>
        <v>0</v>
      </c>
      <c r="S385" s="93">
        <f>SUM('31:16'!S385)</f>
        <v>0</v>
      </c>
      <c r="T385" s="93">
        <f>SUM('31:16'!T385)</f>
        <v>0</v>
      </c>
      <c r="U385" s="93">
        <f>SUM('31:16'!U385)</f>
        <v>0</v>
      </c>
      <c r="V385" s="206">
        <f t="shared" si="157"/>
        <v>0</v>
      </c>
      <c r="W385" s="33" t="str">
        <f t="shared" si="158"/>
        <v/>
      </c>
      <c r="X385" s="93">
        <f>SUM('31:16'!X385)</f>
        <v>0</v>
      </c>
      <c r="Y385" s="93">
        <f>SUM('31:16'!Y385)</f>
        <v>0</v>
      </c>
      <c r="Z385" s="93">
        <f>SUM('31:16'!Z385)</f>
        <v>0</v>
      </c>
      <c r="AA385" s="93">
        <f>SUM('31:16'!AA385)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SUM('31:16'!G386)</f>
        <v>0</v>
      </c>
      <c r="H386" s="339">
        <f t="shared" si="147"/>
        <v>0</v>
      </c>
      <c r="I386" s="93">
        <f>SUM('31:16'!I386)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SUM('31:16'!O386)</f>
        <v>0</v>
      </c>
      <c r="P386" s="93">
        <f>SUM('31:16'!P386)</f>
        <v>0</v>
      </c>
      <c r="Q386" s="93">
        <f>SUM('31:16'!Q386)</f>
        <v>0</v>
      </c>
      <c r="R386" s="93">
        <f>SUM('31:16'!R386)</f>
        <v>0</v>
      </c>
      <c r="S386" s="93">
        <f>SUM('31:16'!S386)</f>
        <v>0</v>
      </c>
      <c r="T386" s="93">
        <f>SUM('31:16'!T386)</f>
        <v>0</v>
      </c>
      <c r="U386" s="93">
        <f>SUM('31:16'!U386)</f>
        <v>0</v>
      </c>
      <c r="V386" s="206">
        <f t="shared" si="157"/>
        <v>0</v>
      </c>
      <c r="W386" s="33" t="str">
        <f t="shared" si="158"/>
        <v/>
      </c>
      <c r="X386" s="93">
        <f>SUM('31:16'!X386)</f>
        <v>0</v>
      </c>
      <c r="Y386" s="93">
        <f>SUM('31:16'!Y386)</f>
        <v>0</v>
      </c>
      <c r="Z386" s="93">
        <f>SUM('31:16'!Z386)</f>
        <v>0</v>
      </c>
      <c r="AA386" s="93">
        <f>SUM('31:16'!AA386)</f>
        <v>0</v>
      </c>
      <c r="AB386" s="73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SUM('31:16'!G387)</f>
        <v>0</v>
      </c>
      <c r="H387" s="339">
        <f t="shared" si="147"/>
        <v>0</v>
      </c>
      <c r="I387" s="93">
        <f>SUM('31:16'!I387)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SUM('31:16'!O387)</f>
        <v>0</v>
      </c>
      <c r="P387" s="93">
        <f>SUM('31:16'!P387)</f>
        <v>0</v>
      </c>
      <c r="Q387" s="93">
        <f>SUM('31:16'!Q387)</f>
        <v>0</v>
      </c>
      <c r="R387" s="93">
        <f>SUM('31:16'!R387)</f>
        <v>0</v>
      </c>
      <c r="S387" s="93">
        <f>SUM('31:16'!S387)</f>
        <v>0</v>
      </c>
      <c r="T387" s="93">
        <f>SUM('31:16'!T387)</f>
        <v>0</v>
      </c>
      <c r="U387" s="93">
        <f>SUM('31:16'!U387)</f>
        <v>0</v>
      </c>
      <c r="V387" s="206">
        <f t="shared" si="157"/>
        <v>0</v>
      </c>
      <c r="W387" s="33" t="str">
        <f t="shared" si="158"/>
        <v/>
      </c>
      <c r="X387" s="93">
        <f>SUM('31:16'!X387)</f>
        <v>0</v>
      </c>
      <c r="Y387" s="93">
        <f>SUM('31:16'!Y387)</f>
        <v>0</v>
      </c>
      <c r="Z387" s="93">
        <f>SUM('31:16'!Z387)</f>
        <v>0</v>
      </c>
      <c r="AA387" s="93">
        <f>SUM('31:16'!AA387)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SUM('31:16'!G388)</f>
        <v>0</v>
      </c>
      <c r="H388" s="339">
        <f t="shared" si="147"/>
        <v>0</v>
      </c>
      <c r="I388" s="93">
        <f>SUM('31:16'!I388)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SUM('31:16'!O388)</f>
        <v>0</v>
      </c>
      <c r="P388" s="93">
        <f>SUM('31:16'!P388)</f>
        <v>0</v>
      </c>
      <c r="Q388" s="93">
        <f>SUM('31:16'!Q388)</f>
        <v>0</v>
      </c>
      <c r="R388" s="93">
        <f>SUM('31:16'!R388)</f>
        <v>0</v>
      </c>
      <c r="S388" s="93">
        <f>SUM('31:16'!S388)</f>
        <v>0</v>
      </c>
      <c r="T388" s="93">
        <f>SUM('31:16'!T388)</f>
        <v>0</v>
      </c>
      <c r="U388" s="93">
        <f>SUM('31:16'!U388)</f>
        <v>0</v>
      </c>
      <c r="V388" s="206">
        <f t="shared" si="157"/>
        <v>0</v>
      </c>
      <c r="W388" s="33" t="str">
        <f t="shared" si="158"/>
        <v/>
      </c>
      <c r="X388" s="93">
        <f>SUM('31:16'!X388)</f>
        <v>0</v>
      </c>
      <c r="Y388" s="93">
        <f>SUM('31:16'!Y388)</f>
        <v>0</v>
      </c>
      <c r="Z388" s="93">
        <f>SUM('31:16'!Z388)</f>
        <v>0</v>
      </c>
      <c r="AA388" s="93">
        <f>SUM('31:16'!AA388)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SUM('31:16'!G389)</f>
        <v>0</v>
      </c>
      <c r="H389" s="339">
        <f t="shared" si="147"/>
        <v>0</v>
      </c>
      <c r="I389" s="93">
        <f>SUM('31:16'!I389)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SUM('31:16'!O389)</f>
        <v>0</v>
      </c>
      <c r="P389" s="93">
        <f>SUM('31:16'!P389)</f>
        <v>0</v>
      </c>
      <c r="Q389" s="93">
        <f>SUM('31:16'!Q389)</f>
        <v>0</v>
      </c>
      <c r="R389" s="93">
        <f>SUM('31:16'!R389)</f>
        <v>0</v>
      </c>
      <c r="S389" s="93">
        <f>SUM('31:16'!S389)</f>
        <v>0</v>
      </c>
      <c r="T389" s="93">
        <f>SUM('31:16'!T389)</f>
        <v>0</v>
      </c>
      <c r="U389" s="93">
        <f>SUM('31:16'!U389)</f>
        <v>0</v>
      </c>
      <c r="V389" s="206">
        <f t="shared" si="157"/>
        <v>0</v>
      </c>
      <c r="W389" s="33" t="str">
        <f t="shared" si="158"/>
        <v/>
      </c>
      <c r="X389" s="93">
        <f>SUM('31:16'!X389)</f>
        <v>0</v>
      </c>
      <c r="Y389" s="93">
        <f>SUM('31:16'!Y389)</f>
        <v>0</v>
      </c>
      <c r="Z389" s="93">
        <f>SUM('31:16'!Z389)</f>
        <v>0</v>
      </c>
      <c r="AA389" s="93">
        <f>SUM('31:16'!AA389)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SUM('31:16'!G390)</f>
        <v>0</v>
      </c>
      <c r="H390" s="339">
        <f t="shared" si="147"/>
        <v>0</v>
      </c>
      <c r="I390" s="93">
        <f>SUM('31:16'!I390)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SUM('31:16'!O390)</f>
        <v>0</v>
      </c>
      <c r="P390" s="93">
        <f>SUM('31:16'!P390)</f>
        <v>0</v>
      </c>
      <c r="Q390" s="93">
        <f>SUM('31:16'!Q390)</f>
        <v>0</v>
      </c>
      <c r="R390" s="93">
        <f>SUM('31:16'!R390)</f>
        <v>0</v>
      </c>
      <c r="S390" s="93">
        <f>SUM('31:16'!S390)</f>
        <v>0</v>
      </c>
      <c r="T390" s="93">
        <f>SUM('31:16'!T390)</f>
        <v>0</v>
      </c>
      <c r="U390" s="93">
        <f>SUM('31:16'!U390)</f>
        <v>0</v>
      </c>
      <c r="V390" s="206">
        <f t="shared" si="157"/>
        <v>0</v>
      </c>
      <c r="W390" s="33" t="str">
        <f t="shared" si="158"/>
        <v/>
      </c>
      <c r="X390" s="93">
        <f>SUM('31:16'!X390)</f>
        <v>0</v>
      </c>
      <c r="Y390" s="93">
        <f>SUM('31:16'!Y390)</f>
        <v>0</v>
      </c>
      <c r="Z390" s="93">
        <f>SUM('31:16'!Z390)</f>
        <v>0</v>
      </c>
      <c r="AA390" s="93">
        <f>SUM('31:16'!AA390)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SUM('31:16'!G391)</f>
        <v>0</v>
      </c>
      <c r="H391" s="339">
        <f t="shared" si="147"/>
        <v>0</v>
      </c>
      <c r="I391" s="93">
        <f>SUM('31:16'!I391)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SUM('31:16'!O391)</f>
        <v>0</v>
      </c>
      <c r="P391" s="93">
        <f>SUM('31:16'!P391)</f>
        <v>0</v>
      </c>
      <c r="Q391" s="93">
        <f>SUM('31:16'!Q391)</f>
        <v>0</v>
      </c>
      <c r="R391" s="93">
        <f>SUM('31:16'!R391)</f>
        <v>0</v>
      </c>
      <c r="S391" s="93">
        <f>SUM('31:16'!S391)</f>
        <v>0</v>
      </c>
      <c r="T391" s="93">
        <f>SUM('31:16'!T391)</f>
        <v>0</v>
      </c>
      <c r="U391" s="93">
        <f>SUM('31:16'!U391)</f>
        <v>0</v>
      </c>
      <c r="V391" s="206"/>
      <c r="W391" s="33"/>
      <c r="X391" s="93">
        <f>SUM('31:16'!X391)</f>
        <v>0</v>
      </c>
      <c r="Y391" s="93">
        <f>SUM('31:16'!Y391)</f>
        <v>0</v>
      </c>
      <c r="Z391" s="93">
        <f>SUM('31:16'!Z391)</f>
        <v>0</v>
      </c>
      <c r="AA391" s="93">
        <f>SUM('31:16'!AA391)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SUM('31:16'!G392)</f>
        <v>0</v>
      </c>
      <c r="H392" s="339">
        <f t="shared" si="147"/>
        <v>0</v>
      </c>
      <c r="I392" s="93">
        <f>SUM('31:16'!I392)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SUM('31:16'!O392)</f>
        <v>0</v>
      </c>
      <c r="P392" s="93">
        <f>SUM('31:16'!P392)</f>
        <v>0</v>
      </c>
      <c r="Q392" s="93">
        <f>SUM('31:16'!Q392)</f>
        <v>0</v>
      </c>
      <c r="R392" s="93">
        <f>SUM('31:16'!R392)</f>
        <v>0</v>
      </c>
      <c r="S392" s="93">
        <f>SUM('31:16'!S392)</f>
        <v>0</v>
      </c>
      <c r="T392" s="93">
        <f>SUM('31:16'!T392)</f>
        <v>0</v>
      </c>
      <c r="U392" s="93">
        <f>SUM('31:16'!U392)</f>
        <v>0</v>
      </c>
      <c r="V392" s="206"/>
      <c r="W392" s="33"/>
      <c r="X392" s="93">
        <f>SUM('31:16'!X392)</f>
        <v>0</v>
      </c>
      <c r="Y392" s="93">
        <f>SUM('31:16'!Y392)</f>
        <v>0</v>
      </c>
      <c r="Z392" s="93">
        <f>SUM('31:16'!Z392)</f>
        <v>0</v>
      </c>
      <c r="AA392" s="93">
        <f>SUM('31:16'!AA392)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0">
        <v>30100021</v>
      </c>
      <c r="B393" s="190" t="s">
        <v>388</v>
      </c>
      <c r="C393" s="16" t="s">
        <v>390</v>
      </c>
      <c r="D393" s="17">
        <v>5.03</v>
      </c>
      <c r="E393" s="17"/>
      <c r="F393" s="6"/>
      <c r="G393" s="93">
        <f>SUM('31:16'!G393)</f>
        <v>0</v>
      </c>
      <c r="H393" s="339">
        <f t="shared" si="147"/>
        <v>0</v>
      </c>
      <c r="I393" s="93">
        <f>SUM('31:16'!I393)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SUM('31:16'!O393)</f>
        <v>0</v>
      </c>
      <c r="P393" s="93">
        <f>SUM('31:16'!P393)</f>
        <v>0</v>
      </c>
      <c r="Q393" s="93">
        <f>SUM('31:16'!Q393)</f>
        <v>0</v>
      </c>
      <c r="R393" s="93">
        <f>SUM('31:16'!R393)</f>
        <v>0</v>
      </c>
      <c r="S393" s="93">
        <f>SUM('31:16'!S393)</f>
        <v>0</v>
      </c>
      <c r="T393" s="93">
        <f>SUM('31:16'!T393)</f>
        <v>0</v>
      </c>
      <c r="U393" s="93">
        <f>SUM('31:16'!U393)</f>
        <v>0</v>
      </c>
      <c r="V393" s="206"/>
      <c r="W393" s="33"/>
      <c r="X393" s="93">
        <f>SUM('31:16'!X393)</f>
        <v>0</v>
      </c>
      <c r="Y393" s="93">
        <f>SUM('31:16'!Y393)</f>
        <v>0</v>
      </c>
      <c r="Z393" s="93">
        <f>SUM('31:16'!Z393)</f>
        <v>0</v>
      </c>
      <c r="AA393" s="93">
        <f>SUM('31:16'!AA393)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0">
        <v>30100018</v>
      </c>
      <c r="B394" s="190" t="s">
        <v>388</v>
      </c>
      <c r="C394" s="16" t="s">
        <v>392</v>
      </c>
      <c r="D394" s="17">
        <v>5.03</v>
      </c>
      <c r="E394" s="17"/>
      <c r="F394" s="6"/>
      <c r="G394" s="93">
        <f>SUM('31:16'!G394)</f>
        <v>0</v>
      </c>
      <c r="H394" s="339">
        <f t="shared" si="147"/>
        <v>0</v>
      </c>
      <c r="I394" s="93">
        <f>SUM('31:16'!I394)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SUM('31:16'!O394)</f>
        <v>0</v>
      </c>
      <c r="P394" s="93">
        <f>SUM('31:16'!P394)</f>
        <v>0</v>
      </c>
      <c r="Q394" s="93">
        <f>SUM('31:16'!Q394)</f>
        <v>0</v>
      </c>
      <c r="R394" s="93">
        <f>SUM('31:16'!R394)</f>
        <v>0</v>
      </c>
      <c r="S394" s="93">
        <f>SUM('31:16'!S394)</f>
        <v>0</v>
      </c>
      <c r="T394" s="93">
        <f>SUM('31:16'!T394)</f>
        <v>0</v>
      </c>
      <c r="U394" s="93">
        <f>SUM('31:16'!U394)</f>
        <v>0</v>
      </c>
      <c r="V394" s="206"/>
      <c r="W394" s="33"/>
      <c r="X394" s="93">
        <f>SUM('31:16'!X394)</f>
        <v>0</v>
      </c>
      <c r="Y394" s="93">
        <f>SUM('31:16'!Y394)</f>
        <v>0</v>
      </c>
      <c r="Z394" s="93">
        <f>SUM('31:16'!Z394)</f>
        <v>0</v>
      </c>
      <c r="AA394" s="93">
        <f>SUM('31:16'!AA394)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30700007</v>
      </c>
      <c r="B395" s="190" t="s">
        <v>424</v>
      </c>
      <c r="C395" s="187" t="s">
        <v>364</v>
      </c>
      <c r="D395" s="17">
        <v>5.03</v>
      </c>
      <c r="E395" s="17"/>
      <c r="F395" s="6"/>
      <c r="G395" s="93">
        <f>SUM('31:16'!G395)</f>
        <v>0</v>
      </c>
      <c r="H395" s="339">
        <f t="shared" si="147"/>
        <v>0</v>
      </c>
      <c r="I395" s="93">
        <f>SUM('31:16'!I395)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SUM('31:16'!O395)</f>
        <v>0</v>
      </c>
      <c r="P395" s="93">
        <f>SUM('31:16'!P395)</f>
        <v>0</v>
      </c>
      <c r="Q395" s="93">
        <f>SUM('31:16'!Q395)</f>
        <v>0</v>
      </c>
      <c r="R395" s="93">
        <f>SUM('31:16'!R395)</f>
        <v>0</v>
      </c>
      <c r="S395" s="93">
        <f>SUM('31:16'!S395)</f>
        <v>0</v>
      </c>
      <c r="T395" s="93">
        <f>SUM('31:16'!T395)</f>
        <v>0</v>
      </c>
      <c r="U395" s="93">
        <f>SUM('31:16'!U395)</f>
        <v>0</v>
      </c>
      <c r="V395" s="206"/>
      <c r="W395" s="33"/>
      <c r="X395" s="93">
        <f>SUM('31:16'!X395)</f>
        <v>0</v>
      </c>
      <c r="Y395" s="93">
        <f>SUM('31:16'!Y395)</f>
        <v>0</v>
      </c>
      <c r="Z395" s="93">
        <f>SUM('31:16'!Z395)</f>
        <v>0</v>
      </c>
      <c r="AA395" s="93">
        <f>SUM('31:16'!AA395)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30700006</v>
      </c>
      <c r="B396" s="190" t="s">
        <v>424</v>
      </c>
      <c r="C396" s="187" t="s">
        <v>365</v>
      </c>
      <c r="D396" s="17">
        <v>5.03</v>
      </c>
      <c r="E396" s="17"/>
      <c r="F396" s="6"/>
      <c r="G396" s="93">
        <f>SUM('31:16'!G396)</f>
        <v>0</v>
      </c>
      <c r="H396" s="339">
        <f t="shared" si="147"/>
        <v>0</v>
      </c>
      <c r="I396" s="93">
        <f>SUM('31:16'!I396)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SUM('31:16'!O396)</f>
        <v>0</v>
      </c>
      <c r="P396" s="93">
        <f>SUM('31:16'!P396)</f>
        <v>0</v>
      </c>
      <c r="Q396" s="93">
        <f>SUM('31:16'!Q396)</f>
        <v>0</v>
      </c>
      <c r="R396" s="93">
        <f>SUM('31:16'!R396)</f>
        <v>0</v>
      </c>
      <c r="S396" s="93">
        <f>SUM('31:16'!S396)</f>
        <v>0</v>
      </c>
      <c r="T396" s="93">
        <f>SUM('31:16'!T396)</f>
        <v>0</v>
      </c>
      <c r="U396" s="93">
        <f>SUM('31:16'!U396)</f>
        <v>0</v>
      </c>
      <c r="V396" s="206"/>
      <c r="W396" s="33"/>
      <c r="X396" s="93">
        <f>SUM('31:16'!X396)</f>
        <v>0</v>
      </c>
      <c r="Y396" s="93">
        <f>SUM('31:16'!Y396)</f>
        <v>0</v>
      </c>
      <c r="Z396" s="93">
        <f>SUM('31:16'!Z396)</f>
        <v>0</v>
      </c>
      <c r="AA396" s="93">
        <f>SUM('31:16'!AA396)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3">
        <v>30700008</v>
      </c>
      <c r="B397" s="190" t="s">
        <v>424</v>
      </c>
      <c r="C397" s="187" t="s">
        <v>366</v>
      </c>
      <c r="D397" s="17">
        <v>5.03</v>
      </c>
      <c r="E397" s="17"/>
      <c r="F397" s="6"/>
      <c r="G397" s="93">
        <f>SUM('31:16'!G397)</f>
        <v>0</v>
      </c>
      <c r="H397" s="339">
        <f t="shared" si="147"/>
        <v>0</v>
      </c>
      <c r="I397" s="93">
        <f>SUM('31:16'!I397)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SUM('31:16'!O397)</f>
        <v>0</v>
      </c>
      <c r="P397" s="93">
        <f>SUM('31:16'!P397)</f>
        <v>0</v>
      </c>
      <c r="Q397" s="93">
        <f>SUM('31:16'!Q397)</f>
        <v>0</v>
      </c>
      <c r="R397" s="93">
        <f>SUM('31:16'!R397)</f>
        <v>0</v>
      </c>
      <c r="S397" s="93">
        <f>SUM('31:16'!S397)</f>
        <v>0</v>
      </c>
      <c r="T397" s="93">
        <f>SUM('31:16'!T397)</f>
        <v>0</v>
      </c>
      <c r="U397" s="93">
        <f>SUM('31:16'!U397)</f>
        <v>0</v>
      </c>
      <c r="V397" s="206"/>
      <c r="W397" s="33"/>
      <c r="X397" s="93">
        <f>SUM('31:16'!X397)</f>
        <v>0</v>
      </c>
      <c r="Y397" s="93">
        <f>SUM('31:16'!Y397)</f>
        <v>0</v>
      </c>
      <c r="Z397" s="93">
        <f>SUM('31:16'!Z397)</f>
        <v>0</v>
      </c>
      <c r="AA397" s="93">
        <f>SUM('31:16'!AA397)</f>
        <v>0</v>
      </c>
      <c r="AB397" s="25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3">
        <v>30700009</v>
      </c>
      <c r="B398" s="190" t="s">
        <v>424</v>
      </c>
      <c r="C398" s="187" t="s">
        <v>367</v>
      </c>
      <c r="D398" s="17">
        <v>5.03</v>
      </c>
      <c r="E398" s="17"/>
      <c r="F398" s="6"/>
      <c r="G398" s="93">
        <f>SUM('31:16'!G398)</f>
        <v>0</v>
      </c>
      <c r="H398" s="339">
        <f t="shared" si="147"/>
        <v>0</v>
      </c>
      <c r="I398" s="93">
        <f>SUM('31:16'!I398)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SUM('31:16'!O398)</f>
        <v>0</v>
      </c>
      <c r="P398" s="93">
        <f>SUM('31:16'!P398)</f>
        <v>0</v>
      </c>
      <c r="Q398" s="93">
        <f>SUM('31:16'!Q398)</f>
        <v>0</v>
      </c>
      <c r="R398" s="93">
        <f>SUM('31:16'!R398)</f>
        <v>0</v>
      </c>
      <c r="S398" s="93">
        <f>SUM('31:16'!S398)</f>
        <v>0</v>
      </c>
      <c r="T398" s="93">
        <f>SUM('31:16'!T398)</f>
        <v>0</v>
      </c>
      <c r="U398" s="93">
        <f>SUM('31:16'!U398)</f>
        <v>0</v>
      </c>
      <c r="V398" s="206"/>
      <c r="W398" s="33"/>
      <c r="X398" s="93">
        <f>SUM('31:16'!X398)</f>
        <v>0</v>
      </c>
      <c r="Y398" s="93">
        <f>SUM('31:16'!Y398)</f>
        <v>0</v>
      </c>
      <c r="Z398" s="93">
        <f>SUM('31:16'!Z398)</f>
        <v>0</v>
      </c>
      <c r="AA398" s="93">
        <f>SUM('31:16'!AA398)</f>
        <v>0</v>
      </c>
      <c r="AB398" s="25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SUM('31:16'!G399)</f>
        <v>0</v>
      </c>
      <c r="H399" s="339">
        <f t="shared" si="147"/>
        <v>0</v>
      </c>
      <c r="I399" s="93">
        <f>SUM('31:16'!I399)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SUM('31:16'!O399)</f>
        <v>0</v>
      </c>
      <c r="P399" s="93">
        <f>SUM('31:16'!P399)</f>
        <v>0</v>
      </c>
      <c r="Q399" s="93">
        <f>SUM('31:16'!Q399)</f>
        <v>0</v>
      </c>
      <c r="R399" s="93">
        <f>SUM('31:16'!R399)</f>
        <v>0</v>
      </c>
      <c r="S399" s="93">
        <f>SUM('31:16'!S399)</f>
        <v>0</v>
      </c>
      <c r="T399" s="93">
        <f>SUM('31:16'!T399)</f>
        <v>0</v>
      </c>
      <c r="U399" s="93">
        <f>SUM('31:16'!U399)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SUM('31:16'!X399)</f>
        <v>0</v>
      </c>
      <c r="Y399" s="93">
        <f>SUM('31:16'!Y399)</f>
        <v>0</v>
      </c>
      <c r="Z399" s="93">
        <f>SUM('31:16'!Z399)</f>
        <v>0</v>
      </c>
      <c r="AA399" s="93">
        <f>SUM('31:16'!AA399)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SUM('31:16'!G400)</f>
        <v>0</v>
      </c>
      <c r="H400" s="339">
        <f t="shared" si="147"/>
        <v>0</v>
      </c>
      <c r="I400" s="93">
        <f>SUM('31:16'!I400)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SUM('31:16'!O400)</f>
        <v>0</v>
      </c>
      <c r="P400" s="93">
        <f>SUM('31:16'!P400)</f>
        <v>0</v>
      </c>
      <c r="Q400" s="93">
        <f>SUM('31:16'!Q400)</f>
        <v>0</v>
      </c>
      <c r="R400" s="93">
        <f>SUM('31:16'!R400)</f>
        <v>0</v>
      </c>
      <c r="S400" s="93">
        <f>SUM('31:16'!S400)</f>
        <v>0</v>
      </c>
      <c r="T400" s="93">
        <f>SUM('31:16'!T400)</f>
        <v>0</v>
      </c>
      <c r="U400" s="93">
        <f>SUM('31:16'!U400)</f>
        <v>0</v>
      </c>
      <c r="V400" s="206">
        <f t="shared" si="160"/>
        <v>0</v>
      </c>
      <c r="W400" s="33" t="str">
        <f t="shared" si="161"/>
        <v/>
      </c>
      <c r="X400" s="93">
        <f>SUM('31:16'!X400)</f>
        <v>0</v>
      </c>
      <c r="Y400" s="93">
        <f>SUM('31:16'!Y400)</f>
        <v>0</v>
      </c>
      <c r="Z400" s="93">
        <f>SUM('31:16'!Z400)</f>
        <v>0</v>
      </c>
      <c r="AA400" s="93">
        <f>SUM('31:16'!AA400)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SUM('31:16'!G401)</f>
        <v>0</v>
      </c>
      <c r="H401" s="339">
        <f t="shared" si="147"/>
        <v>0</v>
      </c>
      <c r="I401" s="93">
        <f>SUM('31:16'!I401)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SUM('31:16'!O401)</f>
        <v>0</v>
      </c>
      <c r="P401" s="93">
        <f>SUM('31:16'!P401)</f>
        <v>0</v>
      </c>
      <c r="Q401" s="93">
        <f>SUM('31:16'!Q401)</f>
        <v>0</v>
      </c>
      <c r="R401" s="93">
        <f>SUM('31:16'!R401)</f>
        <v>0</v>
      </c>
      <c r="S401" s="93">
        <f>SUM('31:16'!S401)</f>
        <v>0</v>
      </c>
      <c r="T401" s="93">
        <f>SUM('31:16'!T401)</f>
        <v>0</v>
      </c>
      <c r="U401" s="93">
        <f>SUM('31:16'!U401)</f>
        <v>0</v>
      </c>
      <c r="V401" s="206">
        <f t="shared" si="160"/>
        <v>0</v>
      </c>
      <c r="W401" s="33" t="str">
        <f t="shared" si="161"/>
        <v/>
      </c>
      <c r="X401" s="93">
        <f>SUM('31:16'!X401)</f>
        <v>0</v>
      </c>
      <c r="Y401" s="93">
        <f>SUM('31:16'!Y401)</f>
        <v>0</v>
      </c>
      <c r="Z401" s="93">
        <f>SUM('31:16'!Z401)</f>
        <v>0</v>
      </c>
      <c r="AA401" s="93">
        <f>SUM('31:16'!AA401)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SUM('31:16'!G402)</f>
        <v>0</v>
      </c>
      <c r="H402" s="339">
        <f t="shared" si="147"/>
        <v>0</v>
      </c>
      <c r="I402" s="93">
        <f>SUM('31:16'!I402)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SUM('31:16'!O402)</f>
        <v>0</v>
      </c>
      <c r="P402" s="93">
        <f>SUM('31:16'!P402)</f>
        <v>0</v>
      </c>
      <c r="Q402" s="93">
        <f>SUM('31:16'!Q402)</f>
        <v>0</v>
      </c>
      <c r="R402" s="93">
        <f>SUM('31:16'!R402)</f>
        <v>0</v>
      </c>
      <c r="S402" s="93">
        <f>SUM('31:16'!S402)</f>
        <v>0</v>
      </c>
      <c r="T402" s="93">
        <f>SUM('31:16'!T402)</f>
        <v>0</v>
      </c>
      <c r="U402" s="93">
        <f>SUM('31:16'!U402)</f>
        <v>0</v>
      </c>
      <c r="V402" s="206">
        <f t="shared" si="160"/>
        <v>0</v>
      </c>
      <c r="W402" s="33" t="str">
        <f t="shared" si="161"/>
        <v/>
      </c>
      <c r="X402" s="93">
        <f>SUM('31:16'!X402)</f>
        <v>0</v>
      </c>
      <c r="Y402" s="93">
        <f>SUM('31:16'!Y402)</f>
        <v>0</v>
      </c>
      <c r="Z402" s="93">
        <f>SUM('31:16'!Z402)</f>
        <v>0</v>
      </c>
      <c r="AA402" s="93">
        <f>SUM('31:16'!AA402)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SUM('31:16'!G403)</f>
        <v>0</v>
      </c>
      <c r="H403" s="339">
        <f t="shared" si="147"/>
        <v>0</v>
      </c>
      <c r="I403" s="93">
        <f>SUM('31:16'!I403)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SUM('31:16'!O403)</f>
        <v>0</v>
      </c>
      <c r="P403" s="93">
        <f>SUM('31:16'!P403)</f>
        <v>0</v>
      </c>
      <c r="Q403" s="93">
        <f>SUM('31:16'!Q403)</f>
        <v>0</v>
      </c>
      <c r="R403" s="93">
        <f>SUM('31:16'!R403)</f>
        <v>0</v>
      </c>
      <c r="S403" s="93">
        <f>SUM('31:16'!S403)</f>
        <v>0</v>
      </c>
      <c r="T403" s="93">
        <f>SUM('31:16'!T403)</f>
        <v>0</v>
      </c>
      <c r="U403" s="93">
        <f>SUM('31:16'!U403)</f>
        <v>0</v>
      </c>
      <c r="V403" s="206">
        <f t="shared" si="160"/>
        <v>0</v>
      </c>
      <c r="W403" s="33" t="str">
        <f t="shared" si="161"/>
        <v/>
      </c>
      <c r="X403" s="93">
        <f>SUM('31:16'!X403)</f>
        <v>0</v>
      </c>
      <c r="Y403" s="93">
        <f>SUM('31:16'!Y403)</f>
        <v>0</v>
      </c>
      <c r="Z403" s="93">
        <f>SUM('31:16'!Z403)</f>
        <v>0</v>
      </c>
      <c r="AA403" s="93">
        <f>SUM('31:16'!AA403)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SUM('31:16'!G404)</f>
        <v>0</v>
      </c>
      <c r="H404" s="339">
        <f t="shared" si="147"/>
        <v>0</v>
      </c>
      <c r="I404" s="93">
        <f>SUM('31:16'!I404)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SUM('31:16'!O404)</f>
        <v>0</v>
      </c>
      <c r="P404" s="93">
        <f>SUM('31:16'!P404)</f>
        <v>0</v>
      </c>
      <c r="Q404" s="93">
        <f>SUM('31:16'!Q404)</f>
        <v>0</v>
      </c>
      <c r="R404" s="93">
        <f>SUM('31:16'!R404)</f>
        <v>0</v>
      </c>
      <c r="S404" s="93">
        <f>SUM('31:16'!S404)</f>
        <v>0</v>
      </c>
      <c r="T404" s="93">
        <f>SUM('31:16'!T404)</f>
        <v>0</v>
      </c>
      <c r="U404" s="93">
        <f>SUM('31:16'!U404)</f>
        <v>0</v>
      </c>
      <c r="V404" s="206">
        <f t="shared" si="160"/>
        <v>0</v>
      </c>
      <c r="W404" s="33" t="str">
        <f t="shared" si="161"/>
        <v/>
      </c>
      <c r="X404" s="93">
        <f>SUM('31:16'!X404)</f>
        <v>0</v>
      </c>
      <c r="Y404" s="93">
        <f>SUM('31:16'!Y404)</f>
        <v>0</v>
      </c>
      <c r="Z404" s="93">
        <f>SUM('31:16'!Z404)</f>
        <v>0</v>
      </c>
      <c r="AA404" s="93">
        <f>SUM('31:16'!AA404)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SUM('31:16'!G405)</f>
        <v>0</v>
      </c>
      <c r="H405" s="339">
        <f t="shared" si="147"/>
        <v>0</v>
      </c>
      <c r="I405" s="93">
        <f>SUM('31:16'!I405)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SUM('31:16'!O405)</f>
        <v>0</v>
      </c>
      <c r="P405" s="93">
        <f>SUM('31:16'!P405)</f>
        <v>0</v>
      </c>
      <c r="Q405" s="93">
        <f>SUM('31:16'!Q405)</f>
        <v>0</v>
      </c>
      <c r="R405" s="93">
        <f>SUM('31:16'!R405)</f>
        <v>0</v>
      </c>
      <c r="S405" s="93">
        <f>SUM('31:16'!S405)</f>
        <v>0</v>
      </c>
      <c r="T405" s="93">
        <f>SUM('31:16'!T405)</f>
        <v>0</v>
      </c>
      <c r="U405" s="93">
        <f>SUM('31:16'!U405)</f>
        <v>0</v>
      </c>
      <c r="V405" s="206">
        <f t="shared" si="160"/>
        <v>0</v>
      </c>
      <c r="W405" s="33" t="str">
        <f t="shared" si="161"/>
        <v/>
      </c>
      <c r="X405" s="93">
        <f>SUM('31:16'!X405)</f>
        <v>0</v>
      </c>
      <c r="Y405" s="93">
        <f>SUM('31:16'!Y405)</f>
        <v>0</v>
      </c>
      <c r="Z405" s="93">
        <f>SUM('31:16'!Z405)</f>
        <v>0</v>
      </c>
      <c r="AA405" s="93">
        <f>SUM('31:16'!AA405)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SUM('31:16'!G406)</f>
        <v>0</v>
      </c>
      <c r="H406" s="339">
        <f t="shared" si="147"/>
        <v>0</v>
      </c>
      <c r="I406" s="93">
        <f>SUM('31:16'!I406)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SUM('31:16'!O406)</f>
        <v>0</v>
      </c>
      <c r="P406" s="93">
        <f>SUM('31:16'!P406)</f>
        <v>0</v>
      </c>
      <c r="Q406" s="93">
        <f>SUM('31:16'!Q406)</f>
        <v>0</v>
      </c>
      <c r="R406" s="93">
        <f>SUM('31:16'!R406)</f>
        <v>0</v>
      </c>
      <c r="S406" s="93">
        <f>SUM('31:16'!S406)</f>
        <v>0</v>
      </c>
      <c r="T406" s="93">
        <f>SUM('31:16'!T406)</f>
        <v>0</v>
      </c>
      <c r="U406" s="93">
        <f>SUM('31:16'!U406)</f>
        <v>0</v>
      </c>
      <c r="V406" s="206">
        <f t="shared" si="160"/>
        <v>0</v>
      </c>
      <c r="W406" s="33" t="str">
        <f t="shared" si="161"/>
        <v/>
      </c>
      <c r="X406" s="93">
        <f>SUM('31:16'!X406)</f>
        <v>0</v>
      </c>
      <c r="Y406" s="93">
        <f>SUM('31:16'!Y406)</f>
        <v>0</v>
      </c>
      <c r="Z406" s="93">
        <f>SUM('31:16'!Z406)</f>
        <v>0</v>
      </c>
      <c r="AA406" s="93">
        <f>SUM('31:16'!AA406)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SUM('31:16'!G407)</f>
        <v>0</v>
      </c>
      <c r="H407" s="339">
        <f t="shared" si="147"/>
        <v>0</v>
      </c>
      <c r="I407" s="93">
        <f>SUM('31:16'!I407)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SUM('31:16'!O407)</f>
        <v>0</v>
      </c>
      <c r="P407" s="93">
        <f>SUM('31:16'!P407)</f>
        <v>0</v>
      </c>
      <c r="Q407" s="93">
        <f>SUM('31:16'!Q407)</f>
        <v>0</v>
      </c>
      <c r="R407" s="93">
        <f>SUM('31:16'!R407)</f>
        <v>0</v>
      </c>
      <c r="S407" s="93">
        <f>SUM('31:16'!S407)</f>
        <v>0</v>
      </c>
      <c r="T407" s="93">
        <f>SUM('31:16'!T407)</f>
        <v>0</v>
      </c>
      <c r="U407" s="93">
        <f>SUM('31:16'!U407)</f>
        <v>0</v>
      </c>
      <c r="V407" s="206">
        <f t="shared" si="160"/>
        <v>0</v>
      </c>
      <c r="W407" s="33" t="str">
        <f t="shared" si="161"/>
        <v/>
      </c>
      <c r="X407" s="93">
        <f>SUM('31:16'!X407)</f>
        <v>0</v>
      </c>
      <c r="Y407" s="93">
        <f>SUM('31:16'!Y407)</f>
        <v>0</v>
      </c>
      <c r="Z407" s="93">
        <f>SUM('31:16'!Z407)</f>
        <v>0</v>
      </c>
      <c r="AA407" s="93">
        <f>SUM('31:16'!AA407)</f>
        <v>0</v>
      </c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SUM('31:16'!G408)</f>
        <v>0</v>
      </c>
      <c r="H408" s="339">
        <f t="shared" si="147"/>
        <v>0</v>
      </c>
      <c r="I408" s="93">
        <f>SUM('31:16'!I408)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SUM('31:16'!O408)</f>
        <v>0</v>
      </c>
      <c r="P408" s="93">
        <f>SUM('31:16'!P408)</f>
        <v>0</v>
      </c>
      <c r="Q408" s="93">
        <f>SUM('31:16'!Q408)</f>
        <v>0</v>
      </c>
      <c r="R408" s="93">
        <f>SUM('31:16'!R408)</f>
        <v>0</v>
      </c>
      <c r="S408" s="93">
        <f>SUM('31:16'!S408)</f>
        <v>0</v>
      </c>
      <c r="T408" s="93">
        <f>SUM('31:16'!T408)</f>
        <v>0</v>
      </c>
      <c r="U408" s="93">
        <f>SUM('31:16'!U408)</f>
        <v>0</v>
      </c>
      <c r="V408" s="206">
        <f t="shared" si="160"/>
        <v>0</v>
      </c>
      <c r="W408" s="33" t="str">
        <f t="shared" si="161"/>
        <v/>
      </c>
      <c r="X408" s="93">
        <f>SUM('31:16'!X408)</f>
        <v>0</v>
      </c>
      <c r="Y408" s="93">
        <f>SUM('31:16'!Y408)</f>
        <v>0</v>
      </c>
      <c r="Z408" s="93">
        <f>SUM('31:16'!Z408)</f>
        <v>0</v>
      </c>
      <c r="AA408" s="93">
        <f>SUM('31:16'!AA408)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30100043</v>
      </c>
      <c r="B409" s="192" t="s">
        <v>433</v>
      </c>
      <c r="C409" s="187" t="s">
        <v>427</v>
      </c>
      <c r="D409" s="17">
        <v>50.3</v>
      </c>
      <c r="E409" s="17"/>
      <c r="F409" s="6"/>
      <c r="G409" s="93">
        <f>SUM('31:16'!G409)</f>
        <v>0</v>
      </c>
      <c r="H409" s="339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30100064</v>
      </c>
      <c r="B410" s="192" t="s">
        <v>401</v>
      </c>
      <c r="C410" s="187" t="s">
        <v>399</v>
      </c>
      <c r="D410" s="17">
        <v>5</v>
      </c>
      <c r="E410" s="17"/>
      <c r="F410" s="6"/>
      <c r="G410" s="93">
        <f>SUM('31:16'!G410)</f>
        <v>0</v>
      </c>
      <c r="H410" s="339">
        <f t="shared" si="147"/>
        <v>0</v>
      </c>
      <c r="I410" s="93">
        <f>SUM('31:16'!I410)</f>
        <v>0</v>
      </c>
      <c r="J410" s="31"/>
      <c r="K410" s="35"/>
      <c r="L410" s="87">
        <v>50</v>
      </c>
      <c r="M410" s="36"/>
      <c r="N410" s="31"/>
      <c r="O410" s="93">
        <f>SUM('31:16'!O410)</f>
        <v>0</v>
      </c>
      <c r="P410" s="93">
        <f>SUM('31:16'!P410)</f>
        <v>0</v>
      </c>
      <c r="Q410" s="93">
        <f>SUM('31:16'!Q410)</f>
        <v>0</v>
      </c>
      <c r="R410" s="93">
        <f>SUM('31:16'!R410)</f>
        <v>0</v>
      </c>
      <c r="S410" s="93">
        <f>SUM('31:16'!S410)</f>
        <v>0</v>
      </c>
      <c r="T410" s="93">
        <f>SUM('31:16'!T410)</f>
        <v>0</v>
      </c>
      <c r="U410" s="93">
        <f>SUM('31:16'!U410)</f>
        <v>0</v>
      </c>
      <c r="V410" s="206"/>
      <c r="W410" s="33"/>
      <c r="X410" s="93">
        <f>SUM('31:16'!X410)</f>
        <v>0</v>
      </c>
      <c r="Y410" s="93">
        <f>SUM('31:16'!Y410)</f>
        <v>0</v>
      </c>
      <c r="Z410" s="93">
        <f>SUM('31:16'!Z410)</f>
        <v>0</v>
      </c>
      <c r="AA410" s="93">
        <f>SUM('31:16'!AA410)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SUM('31:16'!G411)</f>
        <v>0</v>
      </c>
      <c r="H411" s="339">
        <f t="shared" si="147"/>
        <v>0</v>
      </c>
      <c r="I411" s="93">
        <f>SUM('31:16'!I411)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SUM('31:16'!O411)</f>
        <v>0</v>
      </c>
      <c r="P411" s="93">
        <f>SUM('31:16'!P411)</f>
        <v>0</v>
      </c>
      <c r="Q411" s="93">
        <f>SUM('31:16'!Q411)</f>
        <v>0</v>
      </c>
      <c r="R411" s="93">
        <f>SUM('31:16'!R411)</f>
        <v>0</v>
      </c>
      <c r="S411" s="93">
        <f>SUM('31:16'!S411)</f>
        <v>0</v>
      </c>
      <c r="T411" s="93">
        <f>SUM('31:16'!T411)</f>
        <v>0</v>
      </c>
      <c r="U411" s="93">
        <f>SUM('31:16'!U411)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SUM('31:16'!X411)</f>
        <v>0</v>
      </c>
      <c r="Y411" s="93">
        <f>SUM('31:16'!Y411)</f>
        <v>0</v>
      </c>
      <c r="Z411" s="93">
        <f>SUM('31:16'!Z411)</f>
        <v>0</v>
      </c>
      <c r="AA411" s="93">
        <f>SUM('31:16'!AA411)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SUM('31:16'!G412)</f>
        <v>0</v>
      </c>
      <c r="H412" s="339">
        <f t="shared" si="147"/>
        <v>0</v>
      </c>
      <c r="I412" s="93">
        <f>SUM('31:16'!I412)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SUM('31:16'!O412)</f>
        <v>0</v>
      </c>
      <c r="P412" s="93">
        <f>SUM('31:16'!P412)</f>
        <v>0</v>
      </c>
      <c r="Q412" s="93">
        <f>SUM('31:16'!Q412)</f>
        <v>0</v>
      </c>
      <c r="R412" s="93">
        <f>SUM('31:16'!R412)</f>
        <v>0</v>
      </c>
      <c r="S412" s="93">
        <f>SUM('31:16'!S412)</f>
        <v>0</v>
      </c>
      <c r="T412" s="93">
        <f>SUM('31:16'!T412)</f>
        <v>0</v>
      </c>
      <c r="U412" s="93">
        <f>SUM('31:16'!U412)</f>
        <v>0</v>
      </c>
      <c r="V412" s="206">
        <f t="shared" si="164"/>
        <v>0</v>
      </c>
      <c r="W412" s="33" t="str">
        <f t="shared" si="165"/>
        <v/>
      </c>
      <c r="X412" s="93">
        <f>SUM('31:16'!X412)</f>
        <v>0</v>
      </c>
      <c r="Y412" s="93">
        <f>SUM('31:16'!Y412)</f>
        <v>0</v>
      </c>
      <c r="Z412" s="93">
        <f>SUM('31:16'!Z412)</f>
        <v>0</v>
      </c>
      <c r="AA412" s="93">
        <f>SUM('31:16'!AA412)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/>
      <c r="B413" s="192" t="s">
        <v>360</v>
      </c>
      <c r="C413" s="187" t="s">
        <v>361</v>
      </c>
      <c r="D413" s="17"/>
      <c r="E413" s="17"/>
      <c r="F413" s="6"/>
      <c r="G413" s="93">
        <f>SUM('31:16'!G413)</f>
        <v>0</v>
      </c>
      <c r="H413" s="339">
        <f t="shared" si="147"/>
        <v>0</v>
      </c>
      <c r="I413" s="93">
        <f>SUM('31:16'!I413)</f>
        <v>0</v>
      </c>
      <c r="J413" s="31"/>
      <c r="K413" s="35"/>
      <c r="L413" s="87"/>
      <c r="M413" s="36"/>
      <c r="N413" s="31"/>
      <c r="O413" s="93">
        <f>SUM('31:16'!O413)</f>
        <v>0</v>
      </c>
      <c r="P413" s="93">
        <f>SUM('31:16'!P413)</f>
        <v>0</v>
      </c>
      <c r="Q413" s="93">
        <f>SUM('31:16'!Q413)</f>
        <v>0</v>
      </c>
      <c r="R413" s="93">
        <f>SUM('31:16'!R413)</f>
        <v>0</v>
      </c>
      <c r="S413" s="93">
        <f>SUM('31:16'!S413)</f>
        <v>0</v>
      </c>
      <c r="T413" s="93">
        <f>SUM('31:16'!T413)</f>
        <v>0</v>
      </c>
      <c r="U413" s="93">
        <f>SUM('31:16'!U413)</f>
        <v>0</v>
      </c>
      <c r="V413" s="206"/>
      <c r="W413" s="33"/>
      <c r="X413" s="93">
        <f>SUM('31:16'!X413)</f>
        <v>0</v>
      </c>
      <c r="Y413" s="93">
        <f>SUM('31:16'!Y413)</f>
        <v>0</v>
      </c>
      <c r="Z413" s="93">
        <f>SUM('31:16'!Z413)</f>
        <v>0</v>
      </c>
      <c r="AA413" s="93">
        <f>SUM('31:16'!AA413)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SUM('31:16'!G414)</f>
        <v>0</v>
      </c>
      <c r="H414" s="339">
        <f t="shared" si="147"/>
        <v>0</v>
      </c>
      <c r="I414" s="93">
        <f>SUM('31:16'!I414)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SUM('31:16'!O414)</f>
        <v>0</v>
      </c>
      <c r="P414" s="93">
        <f>SUM('31:16'!P414)</f>
        <v>0</v>
      </c>
      <c r="Q414" s="93">
        <f>SUM('31:16'!Q414)</f>
        <v>0</v>
      </c>
      <c r="R414" s="93">
        <f>SUM('31:16'!R414)</f>
        <v>0</v>
      </c>
      <c r="S414" s="93">
        <f>SUM('31:16'!S414)</f>
        <v>0</v>
      </c>
      <c r="T414" s="93">
        <f>SUM('31:16'!T414)</f>
        <v>0</v>
      </c>
      <c r="U414" s="93">
        <f>SUM('31:16'!U414)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SUM('31:16'!X414)</f>
        <v>0</v>
      </c>
      <c r="Y414" s="93">
        <f>SUM('31:16'!Y414)</f>
        <v>0</v>
      </c>
      <c r="Z414" s="93">
        <f>SUM('31:16'!Z414)</f>
        <v>0</v>
      </c>
      <c r="AA414" s="93">
        <f>SUM('31:16'!AA414)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SUM('31:16'!G415)</f>
        <v>0</v>
      </c>
      <c r="H415" s="339">
        <f t="shared" si="147"/>
        <v>0</v>
      </c>
      <c r="I415" s="93">
        <f>SUM('31:16'!I415)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SUM('31:16'!O415)</f>
        <v>0</v>
      </c>
      <c r="P415" s="93">
        <f>SUM('31:16'!P415)</f>
        <v>0</v>
      </c>
      <c r="Q415" s="93">
        <f>SUM('31:16'!Q415)</f>
        <v>0</v>
      </c>
      <c r="R415" s="93">
        <f>SUM('31:16'!R415)</f>
        <v>0</v>
      </c>
      <c r="S415" s="93">
        <f>SUM('31:16'!S415)</f>
        <v>0</v>
      </c>
      <c r="T415" s="93">
        <f>SUM('31:16'!T415)</f>
        <v>0</v>
      </c>
      <c r="U415" s="93">
        <f>SUM('31:16'!U415)</f>
        <v>0</v>
      </c>
      <c r="V415" s="206">
        <f t="shared" si="168"/>
        <v>0</v>
      </c>
      <c r="W415" s="33" t="str">
        <f t="shared" si="169"/>
        <v/>
      </c>
      <c r="X415" s="93">
        <f>SUM('31:16'!X415)</f>
        <v>0</v>
      </c>
      <c r="Y415" s="93">
        <f>SUM('31:16'!Y415)</f>
        <v>0</v>
      </c>
      <c r="Z415" s="93">
        <f>SUM('31:16'!Z415)</f>
        <v>0</v>
      </c>
      <c r="AA415" s="93">
        <f>SUM('31:16'!AA415)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>
      <c r="A416" s="300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SUM('31:16'!G416)</f>
        <v>0</v>
      </c>
      <c r="H416" s="339">
        <f t="shared" si="147"/>
        <v>0</v>
      </c>
      <c r="I416" s="93">
        <f>SUM('31:16'!I416)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SUM('31:16'!O416)</f>
        <v>0</v>
      </c>
      <c r="P416" s="93">
        <f>SUM('31:16'!P416)</f>
        <v>0</v>
      </c>
      <c r="Q416" s="93">
        <f>SUM('31:16'!Q416)</f>
        <v>0</v>
      </c>
      <c r="R416" s="93">
        <f>SUM('31:16'!R416)</f>
        <v>0</v>
      </c>
      <c r="S416" s="93">
        <f>SUM('31:16'!S416)</f>
        <v>0</v>
      </c>
      <c r="T416" s="93">
        <f>SUM('31:16'!T416)</f>
        <v>0</v>
      </c>
      <c r="U416" s="93">
        <f>SUM('31:16'!U416)</f>
        <v>0</v>
      </c>
      <c r="V416" s="206">
        <f t="shared" si="168"/>
        <v>0</v>
      </c>
      <c r="W416" s="33" t="str">
        <f t="shared" si="169"/>
        <v/>
      </c>
      <c r="X416" s="93">
        <f>SUM('31:16'!X416)</f>
        <v>0</v>
      </c>
      <c r="Y416" s="93">
        <f>SUM('31:16'!Y416)</f>
        <v>0</v>
      </c>
      <c r="Z416" s="93">
        <f>SUM('31:16'!Z416)</f>
        <v>0</v>
      </c>
      <c r="AA416" s="93">
        <f>SUM('31:16'!AA416)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>
      <c r="A417" s="300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SUM('31:16'!G417)</f>
        <v>0</v>
      </c>
      <c r="H417" s="339">
        <f t="shared" si="147"/>
        <v>0</v>
      </c>
      <c r="I417" s="93">
        <f>SUM('31:16'!I417)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SUM('31:16'!O417)</f>
        <v>0</v>
      </c>
      <c r="P417" s="93">
        <f>SUM('31:16'!P417)</f>
        <v>0</v>
      </c>
      <c r="Q417" s="93">
        <f>SUM('31:16'!Q417)</f>
        <v>0</v>
      </c>
      <c r="R417" s="93">
        <f>SUM('31:16'!R417)</f>
        <v>0</v>
      </c>
      <c r="S417" s="93">
        <f>SUM('31:16'!S417)</f>
        <v>0</v>
      </c>
      <c r="T417" s="93">
        <f>SUM('31:16'!T417)</f>
        <v>0</v>
      </c>
      <c r="U417" s="93">
        <f>SUM('31:16'!U417)</f>
        <v>0</v>
      </c>
      <c r="V417" s="206">
        <f t="shared" si="168"/>
        <v>0</v>
      </c>
      <c r="W417" s="33" t="str">
        <f t="shared" si="169"/>
        <v/>
      </c>
      <c r="X417" s="93">
        <f>SUM('31:16'!X417)</f>
        <v>0</v>
      </c>
      <c r="Y417" s="93">
        <f>SUM('31:16'!Y417)</f>
        <v>0</v>
      </c>
      <c r="Z417" s="93">
        <f>SUM('31:16'!Z417)</f>
        <v>0</v>
      </c>
      <c r="AA417" s="93">
        <f>SUM('31:16'!AA417)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SUM('31:16'!G418)</f>
        <v>0</v>
      </c>
      <c r="H418" s="339">
        <f t="shared" si="147"/>
        <v>0</v>
      </c>
      <c r="I418" s="93">
        <f>SUM('31:16'!I418)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SUM('31:16'!O418)</f>
        <v>0</v>
      </c>
      <c r="P418" s="93">
        <f>SUM('31:16'!P418)</f>
        <v>0</v>
      </c>
      <c r="Q418" s="93">
        <f>SUM('31:16'!Q418)</f>
        <v>0</v>
      </c>
      <c r="R418" s="93">
        <f>SUM('31:16'!R418)</f>
        <v>0</v>
      </c>
      <c r="S418" s="93">
        <f>SUM('31:16'!S418)</f>
        <v>0</v>
      </c>
      <c r="T418" s="93">
        <f>SUM('31:16'!T418)</f>
        <v>0</v>
      </c>
      <c r="U418" s="93">
        <f>SUM('31:16'!U418)</f>
        <v>0</v>
      </c>
      <c r="V418" s="206"/>
      <c r="W418" s="33"/>
      <c r="X418" s="93">
        <f>SUM('31:16'!X418)</f>
        <v>0</v>
      </c>
      <c r="Y418" s="93">
        <f>SUM('31:16'!Y418)</f>
        <v>0</v>
      </c>
      <c r="Z418" s="93">
        <f>SUM('31:16'!Z418)</f>
        <v>0</v>
      </c>
      <c r="AA418" s="93">
        <f>SUM('31:16'!AA418)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SUM('31:16'!G419)</f>
        <v>0</v>
      </c>
      <c r="H419" s="339">
        <f t="shared" si="147"/>
        <v>0</v>
      </c>
      <c r="I419" s="93">
        <f>SUM('31:16'!I419)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SUM('31:16'!O419)</f>
        <v>0</v>
      </c>
      <c r="P419" s="93">
        <f>SUM('31:16'!P419)</f>
        <v>0</v>
      </c>
      <c r="Q419" s="93">
        <f>SUM('31:16'!Q419)</f>
        <v>0</v>
      </c>
      <c r="R419" s="93">
        <f>SUM('31:16'!R419)</f>
        <v>0</v>
      </c>
      <c r="S419" s="93">
        <f>SUM('31:16'!S419)</f>
        <v>0</v>
      </c>
      <c r="T419" s="93">
        <f>SUM('31:16'!T419)</f>
        <v>0</v>
      </c>
      <c r="U419" s="93">
        <f>SUM('31:16'!U419)</f>
        <v>0</v>
      </c>
      <c r="V419" s="206"/>
      <c r="W419" s="33"/>
      <c r="X419" s="93">
        <f>SUM('31:16'!X419)</f>
        <v>0</v>
      </c>
      <c r="Y419" s="93">
        <f>SUM('31:16'!Y419)</f>
        <v>0</v>
      </c>
      <c r="Z419" s="93">
        <f>SUM('31:16'!Z419)</f>
        <v>0</v>
      </c>
      <c r="AA419" s="93">
        <f>SUM('31:16'!AA419)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SUM('31:16'!G420)</f>
        <v>0</v>
      </c>
      <c r="H420" s="339">
        <f t="shared" si="147"/>
        <v>0</v>
      </c>
      <c r="I420" s="93">
        <f>SUM('31:16'!I420)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SUM('31:16'!O420)</f>
        <v>0</v>
      </c>
      <c r="P420" s="93">
        <f>SUM('31:16'!P420)</f>
        <v>0</v>
      </c>
      <c r="Q420" s="93">
        <f>SUM('31:16'!Q420)</f>
        <v>0</v>
      </c>
      <c r="R420" s="93">
        <f>SUM('31:16'!R420)</f>
        <v>0</v>
      </c>
      <c r="S420" s="93">
        <f>SUM('31:16'!S420)</f>
        <v>0</v>
      </c>
      <c r="T420" s="93">
        <f>SUM('31:16'!T420)</f>
        <v>0</v>
      </c>
      <c r="U420" s="93">
        <f>SUM('31:16'!U420)</f>
        <v>0</v>
      </c>
      <c r="V420" s="206"/>
      <c r="W420" s="33"/>
      <c r="X420" s="93">
        <f>SUM('31:16'!X420)</f>
        <v>0</v>
      </c>
      <c r="Y420" s="93">
        <f>SUM('31:16'!Y420)</f>
        <v>0</v>
      </c>
      <c r="Z420" s="93">
        <f>SUM('31:16'!Z420)</f>
        <v>0</v>
      </c>
      <c r="AA420" s="93">
        <f>SUM('31:16'!AA420)</f>
        <v>0</v>
      </c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SUM('31:16'!G421)</f>
        <v>0</v>
      </c>
      <c r="H421" s="339">
        <f t="shared" si="147"/>
        <v>0</v>
      </c>
      <c r="I421" s="93">
        <f>SUM('31:16'!I421)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SUM('31:16'!O421)</f>
        <v>0</v>
      </c>
      <c r="P421" s="93">
        <f>SUM('31:16'!P421)</f>
        <v>0</v>
      </c>
      <c r="Q421" s="93">
        <f>SUM('31:16'!Q421)</f>
        <v>0</v>
      </c>
      <c r="R421" s="93">
        <f>SUM('31:16'!R421)</f>
        <v>0</v>
      </c>
      <c r="S421" s="93">
        <f>SUM('31:16'!S421)</f>
        <v>0</v>
      </c>
      <c r="T421" s="93">
        <f>SUM('31:16'!T421)</f>
        <v>0</v>
      </c>
      <c r="U421" s="93">
        <f>SUM('31:16'!U421)</f>
        <v>0</v>
      </c>
      <c r="V421" s="206"/>
      <c r="W421" s="33"/>
      <c r="X421" s="93">
        <f>SUM('31:16'!X421)</f>
        <v>0</v>
      </c>
      <c r="Y421" s="93">
        <f>SUM('31:16'!Y421)</f>
        <v>0</v>
      </c>
      <c r="Z421" s="93">
        <f>SUM('31:16'!Z421)</f>
        <v>0</v>
      </c>
      <c r="AA421" s="93">
        <f>SUM('31:16'!AA421)</f>
        <v>0</v>
      </c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SUM('31:16'!G422)</f>
        <v>0</v>
      </c>
      <c r="H422" s="339">
        <f t="shared" si="147"/>
        <v>0</v>
      </c>
      <c r="I422" s="93">
        <f>SUM('31:16'!I422)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SUM('31:16'!G423)</f>
        <v>0</v>
      </c>
      <c r="H423" s="339">
        <f t="shared" si="147"/>
        <v>0</v>
      </c>
      <c r="I423" s="93">
        <f>SUM('31:16'!I423)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30300003</v>
      </c>
      <c r="B424" s="197" t="s">
        <v>407</v>
      </c>
      <c r="C424" s="187" t="s">
        <v>411</v>
      </c>
      <c r="D424" s="17"/>
      <c r="E424" s="17"/>
      <c r="F424" s="6"/>
      <c r="G424" s="93">
        <f>SUM('31:16'!G424)</f>
        <v>0</v>
      </c>
      <c r="H424" s="339">
        <f t="shared" si="147"/>
        <v>0</v>
      </c>
      <c r="I424" s="93">
        <f>SUM('31:16'!I424)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30300005</v>
      </c>
      <c r="B425" s="63" t="s">
        <v>362</v>
      </c>
      <c r="C425" s="16" t="s">
        <v>349</v>
      </c>
      <c r="D425" s="17"/>
      <c r="E425" s="17"/>
      <c r="F425" s="6"/>
      <c r="G425" s="93">
        <f>SUM('31:16'!G425)</f>
        <v>0</v>
      </c>
      <c r="H425" s="339">
        <f t="shared" si="147"/>
        <v>0</v>
      </c>
      <c r="I425" s="93">
        <f>SUM('31:16'!I425)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SUM('31:16'!O425)</f>
        <v>0</v>
      </c>
      <c r="P425" s="93">
        <f>SUM('31:16'!P425)</f>
        <v>0</v>
      </c>
      <c r="Q425" s="93">
        <f>SUM('31:16'!Q425)</f>
        <v>0</v>
      </c>
      <c r="R425" s="93">
        <f>SUM('31:16'!R425)</f>
        <v>0</v>
      </c>
      <c r="S425" s="93">
        <f>SUM('31:16'!S425)</f>
        <v>0</v>
      </c>
      <c r="T425" s="93">
        <f>SUM('31:16'!T425)</f>
        <v>0</v>
      </c>
      <c r="U425" s="93">
        <f>SUM('31:16'!U425)</f>
        <v>0</v>
      </c>
      <c r="V425" s="206"/>
      <c r="W425" s="33"/>
      <c r="X425" s="93">
        <f>SUM('31:16'!X425)</f>
        <v>0</v>
      </c>
      <c r="Y425" s="93">
        <f>SUM('31:16'!Y425)</f>
        <v>0</v>
      </c>
      <c r="Z425" s="93">
        <f>SUM('31:16'!Z425)</f>
        <v>0</v>
      </c>
      <c r="AA425" s="93">
        <f>SUM('31:16'!AA425)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02">
        <v>30300004</v>
      </c>
      <c r="B426" s="63" t="s">
        <v>362</v>
      </c>
      <c r="C426" s="16" t="s">
        <v>350</v>
      </c>
      <c r="D426" s="17"/>
      <c r="E426" s="17"/>
      <c r="F426" s="6"/>
      <c r="G426" s="93">
        <f>SUM('31:16'!G426)</f>
        <v>0</v>
      </c>
      <c r="H426" s="339">
        <f t="shared" si="147"/>
        <v>0</v>
      </c>
      <c r="I426" s="93">
        <f>SUM('31:16'!I426)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SUM('31:16'!O426)</f>
        <v>0</v>
      </c>
      <c r="P426" s="93">
        <f>SUM('31:16'!P426)</f>
        <v>0</v>
      </c>
      <c r="Q426" s="93">
        <f>SUM('31:16'!Q426)</f>
        <v>0</v>
      </c>
      <c r="R426" s="93">
        <f>SUM('31:16'!R426)</f>
        <v>0</v>
      </c>
      <c r="S426" s="93">
        <f>SUM('31:16'!S426)</f>
        <v>0</v>
      </c>
      <c r="T426" s="93">
        <f>SUM('31:16'!T426)</f>
        <v>0</v>
      </c>
      <c r="U426" s="93">
        <f>SUM('31:16'!U426)</f>
        <v>0</v>
      </c>
      <c r="V426" s="206"/>
      <c r="W426" s="33"/>
      <c r="X426" s="93">
        <f>SUM('31:16'!X426)</f>
        <v>0</v>
      </c>
      <c r="Y426" s="93">
        <f>SUM('31:16'!Y426)</f>
        <v>0</v>
      </c>
      <c r="Z426" s="93">
        <f>SUM('31:16'!Z426)</f>
        <v>0</v>
      </c>
      <c r="AA426" s="93">
        <f>SUM('31:16'!AA426)</f>
        <v>0</v>
      </c>
      <c r="AB426" s="73"/>
      <c r="AC426" s="54"/>
      <c r="AD426" s="346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02">
        <v>30300006</v>
      </c>
      <c r="B427" s="63" t="s">
        <v>362</v>
      </c>
      <c r="C427" s="16" t="s">
        <v>356</v>
      </c>
      <c r="D427" s="17"/>
      <c r="E427" s="17"/>
      <c r="F427" s="6"/>
      <c r="G427" s="93">
        <f>SUM('31:16'!G427)</f>
        <v>0</v>
      </c>
      <c r="H427" s="339">
        <f t="shared" si="147"/>
        <v>0</v>
      </c>
      <c r="I427" s="93">
        <f>SUM('31:16'!I427)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SUM('31:16'!O427)</f>
        <v>0</v>
      </c>
      <c r="P427" s="93">
        <f>SUM('31:16'!P427)</f>
        <v>0</v>
      </c>
      <c r="Q427" s="93">
        <f>SUM('31:16'!Q427)</f>
        <v>0</v>
      </c>
      <c r="R427" s="93">
        <f>SUM('31:16'!R427)</f>
        <v>0</v>
      </c>
      <c r="S427" s="93">
        <f>SUM('31:16'!S427)</f>
        <v>0</v>
      </c>
      <c r="T427" s="93">
        <f>SUM('31:16'!T427)</f>
        <v>0</v>
      </c>
      <c r="U427" s="93">
        <f>SUM('31:16'!U427)</f>
        <v>0</v>
      </c>
      <c r="V427" s="206"/>
      <c r="W427" s="33"/>
      <c r="X427" s="93">
        <f>SUM('31:16'!X427)</f>
        <v>0</v>
      </c>
      <c r="Y427" s="93">
        <f>SUM('31:16'!Y427)</f>
        <v>0</v>
      </c>
      <c r="Z427" s="93">
        <f>SUM('31:16'!Z427)</f>
        <v>0</v>
      </c>
      <c r="AA427" s="93">
        <f>SUM('31:16'!AA427)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739" t="s">
        <v>86</v>
      </c>
      <c r="B428" s="739"/>
      <c r="C428" s="342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0">SUM(M371:M427)</f>
        <v>0</v>
      </c>
      <c r="N428" s="30">
        <f t="shared" si="170"/>
        <v>0</v>
      </c>
      <c r="O428" s="91">
        <f t="shared" si="170"/>
        <v>0</v>
      </c>
      <c r="P428" s="91">
        <f t="shared" si="170"/>
        <v>0</v>
      </c>
      <c r="Q428" s="91">
        <f t="shared" si="170"/>
        <v>0</v>
      </c>
      <c r="R428" s="91">
        <f t="shared" si="170"/>
        <v>0</v>
      </c>
      <c r="S428" s="92">
        <f t="shared" si="170"/>
        <v>0</v>
      </c>
      <c r="T428" s="91">
        <f t="shared" si="170"/>
        <v>0</v>
      </c>
      <c r="U428" s="91">
        <f t="shared" si="170"/>
        <v>0</v>
      </c>
      <c r="V428" s="206">
        <f t="shared" si="170"/>
        <v>0</v>
      </c>
      <c r="W428" s="33" t="str">
        <f t="shared" ref="W428:W435" si="171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70"/>
      <c r="AD428" s="346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SUM('31:16'!G429)</f>
        <v>971</v>
      </c>
      <c r="H429" s="339">
        <f>D429*G429</f>
        <v>4884.13</v>
      </c>
      <c r="I429" s="93">
        <f>SUM('31:16'!I429)</f>
        <v>78</v>
      </c>
      <c r="J429" s="31">
        <f t="array" ref="J429">IF(ISERROR(G429/I429),"",G429/I429)</f>
        <v>12.448717948717949</v>
      </c>
      <c r="K429" s="35">
        <f t="array" ref="K429">IF(ISERROR(G429/L429),"",G429/L429)</f>
        <v>110.34090909090908</v>
      </c>
      <c r="L429" s="87">
        <v>8.8000000000000007</v>
      </c>
      <c r="M429" s="36">
        <f t="shared" ref="M429:M436" si="172">IF(ISERROR(I429-K429),"",I429-K429)</f>
        <v>-32.340909090909079</v>
      </c>
      <c r="N429" s="31">
        <f t="shared" ref="N429:N436" si="173">SUM(O429:U429)</f>
        <v>0</v>
      </c>
      <c r="O429" s="93">
        <f>SUM('31:16'!O429)</f>
        <v>0</v>
      </c>
      <c r="P429" s="93">
        <f>SUM('31:16'!P429)</f>
        <v>0</v>
      </c>
      <c r="Q429" s="93">
        <f>SUM('31:16'!Q429)</f>
        <v>0</v>
      </c>
      <c r="R429" s="93">
        <f>SUM('31:16'!R429)</f>
        <v>0</v>
      </c>
      <c r="S429" s="93">
        <f>SUM('31:16'!S429)</f>
        <v>0</v>
      </c>
      <c r="T429" s="93">
        <f>SUM('31:16'!T429)</f>
        <v>0</v>
      </c>
      <c r="U429" s="93">
        <f>SUM('31:16'!U429)</f>
        <v>0</v>
      </c>
      <c r="V429" s="206">
        <f t="shared" ref="V429:V435" si="174">SUM(X429:AA429)</f>
        <v>0</v>
      </c>
      <c r="W429" s="33">
        <f t="shared" si="171"/>
        <v>0</v>
      </c>
      <c r="X429" s="93">
        <f>SUM('31:16'!X429)</f>
        <v>0</v>
      </c>
      <c r="Y429" s="93">
        <f>SUM('31:16'!Y429)</f>
        <v>0</v>
      </c>
      <c r="Z429" s="93">
        <f>SUM('31:16'!Z429)</f>
        <v>0</v>
      </c>
      <c r="AA429" s="93">
        <f>SUM('31:16'!AA429)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SUM('31:16'!G430)</f>
        <v>922</v>
      </c>
      <c r="H430" s="339">
        <f t="shared" ref="H430:H462" si="175">D430*G430</f>
        <v>4637.66</v>
      </c>
      <c r="I430" s="93">
        <f>SUM('31:16'!I430)</f>
        <v>87.5</v>
      </c>
      <c r="J430" s="31">
        <f t="array" ref="J430">IF(ISERROR(G430/I430),"",G430/I430)</f>
        <v>10.537142857142857</v>
      </c>
      <c r="K430" s="35">
        <f t="array" ref="K430">IF(ISERROR(G430/L430),"",G430/L430)</f>
        <v>104.77272727272727</v>
      </c>
      <c r="L430" s="87">
        <v>8.8000000000000007</v>
      </c>
      <c r="M430" s="36">
        <f t="shared" si="172"/>
        <v>-17.272727272727266</v>
      </c>
      <c r="N430" s="31">
        <f t="shared" si="173"/>
        <v>0</v>
      </c>
      <c r="O430" s="93">
        <f>SUM('31:16'!O430)</f>
        <v>0</v>
      </c>
      <c r="P430" s="93">
        <f>SUM('31:16'!P430)</f>
        <v>0</v>
      </c>
      <c r="Q430" s="93">
        <f>SUM('31:16'!Q430)</f>
        <v>0</v>
      </c>
      <c r="R430" s="93">
        <f>SUM('31:16'!R430)</f>
        <v>0</v>
      </c>
      <c r="S430" s="93">
        <f>SUM('31:16'!S430)</f>
        <v>0</v>
      </c>
      <c r="T430" s="93">
        <f>SUM('31:16'!T430)</f>
        <v>0</v>
      </c>
      <c r="U430" s="93">
        <f>SUM('31:16'!U430)</f>
        <v>0</v>
      </c>
      <c r="V430" s="206">
        <f t="shared" si="174"/>
        <v>0</v>
      </c>
      <c r="W430" s="33">
        <f t="shared" si="171"/>
        <v>0</v>
      </c>
      <c r="X430" s="93">
        <f>SUM('31:16'!X430)</f>
        <v>0</v>
      </c>
      <c r="Y430" s="93">
        <f>SUM('31:16'!Y430)</f>
        <v>0</v>
      </c>
      <c r="Z430" s="93">
        <f>SUM('31:16'!Z430)</f>
        <v>0</v>
      </c>
      <c r="AA430" s="93">
        <f>SUM('31:16'!AA430)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SUM('31:16'!G431)</f>
        <v>1026</v>
      </c>
      <c r="H431" s="339">
        <f t="shared" si="175"/>
        <v>5160.7800000000007</v>
      </c>
      <c r="I431" s="93">
        <f>SUM('31:16'!I431)</f>
        <v>85</v>
      </c>
      <c r="J431" s="31">
        <f t="array" ref="J431">IF(ISERROR(G431/I431),"",G431/I431)</f>
        <v>12.070588235294117</v>
      </c>
      <c r="K431" s="35">
        <f t="array" ref="K431">IF(ISERROR(G431/L431),"",G431/L431)</f>
        <v>116.59090909090908</v>
      </c>
      <c r="L431" s="87">
        <v>8.8000000000000007</v>
      </c>
      <c r="M431" s="36">
        <f t="shared" si="172"/>
        <v>-31.590909090909079</v>
      </c>
      <c r="N431" s="31">
        <f t="shared" si="173"/>
        <v>0</v>
      </c>
      <c r="O431" s="93">
        <f>SUM('31:16'!O431)</f>
        <v>0</v>
      </c>
      <c r="P431" s="93">
        <f>SUM('31:16'!P431)</f>
        <v>0</v>
      </c>
      <c r="Q431" s="93">
        <f>SUM('31:16'!Q431)</f>
        <v>0</v>
      </c>
      <c r="R431" s="93">
        <f>SUM('31:16'!R431)</f>
        <v>0</v>
      </c>
      <c r="S431" s="93">
        <f>SUM('31:16'!S431)</f>
        <v>0</v>
      </c>
      <c r="T431" s="93">
        <f>SUM('31:16'!T431)</f>
        <v>0</v>
      </c>
      <c r="U431" s="93">
        <f>SUM('31:16'!U431)</f>
        <v>0</v>
      </c>
      <c r="V431" s="206">
        <f t="shared" si="174"/>
        <v>0</v>
      </c>
      <c r="W431" s="33">
        <f t="shared" si="171"/>
        <v>0</v>
      </c>
      <c r="X431" s="93">
        <f>SUM('31:16'!X431)</f>
        <v>0</v>
      </c>
      <c r="Y431" s="93">
        <f>SUM('31:16'!Y431)</f>
        <v>0</v>
      </c>
      <c r="Z431" s="93">
        <f>SUM('31:16'!Z431)</f>
        <v>0</v>
      </c>
      <c r="AA431" s="93">
        <f>SUM('31:16'!AA431)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SUM('31:16'!G432)</f>
        <v>1423</v>
      </c>
      <c r="H432" s="339">
        <f t="shared" si="175"/>
        <v>7157.6900000000005</v>
      </c>
      <c r="I432" s="93">
        <f>SUM('31:16'!I432)</f>
        <v>111</v>
      </c>
      <c r="J432" s="31">
        <f t="array" ref="J432">IF(ISERROR(G432/I432),"",G432/I432)</f>
        <v>12.81981981981982</v>
      </c>
      <c r="K432" s="35">
        <f t="array" ref="K432">IF(ISERROR(G432/L432),"",G432/L432)</f>
        <v>153.01075268817203</v>
      </c>
      <c r="L432" s="87">
        <v>9.3000000000000007</v>
      </c>
      <c r="M432" s="36">
        <f t="shared" si="172"/>
        <v>-42.010752688172033</v>
      </c>
      <c r="N432" s="31">
        <f t="shared" si="173"/>
        <v>0</v>
      </c>
      <c r="O432" s="93">
        <f>SUM('31:16'!O432)</f>
        <v>0</v>
      </c>
      <c r="P432" s="93">
        <f>SUM('31:16'!P432)</f>
        <v>0</v>
      </c>
      <c r="Q432" s="93">
        <f>SUM('31:16'!Q432)</f>
        <v>0</v>
      </c>
      <c r="R432" s="93">
        <f>SUM('31:16'!R432)</f>
        <v>0</v>
      </c>
      <c r="S432" s="93">
        <f>SUM('31:16'!S432)</f>
        <v>0</v>
      </c>
      <c r="T432" s="93">
        <f>SUM('31:16'!T432)</f>
        <v>0</v>
      </c>
      <c r="U432" s="93">
        <f>SUM('31:16'!U432)</f>
        <v>0</v>
      </c>
      <c r="V432" s="206">
        <f t="shared" si="174"/>
        <v>0</v>
      </c>
      <c r="W432" s="33">
        <f t="shared" si="171"/>
        <v>0</v>
      </c>
      <c r="X432" s="93">
        <f>SUM('31:16'!X432)</f>
        <v>0</v>
      </c>
      <c r="Y432" s="93">
        <f>SUM('31:16'!Y432)</f>
        <v>0</v>
      </c>
      <c r="Z432" s="93">
        <f>SUM('31:16'!Z432)</f>
        <v>0</v>
      </c>
      <c r="AA432" s="93">
        <f>SUM('31:16'!AA432)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SUM('31:16'!G433)</f>
        <v>1282</v>
      </c>
      <c r="H433" s="339">
        <f t="shared" si="175"/>
        <v>6448.46</v>
      </c>
      <c r="I433" s="93">
        <f>SUM('31:16'!I433)</f>
        <v>140.5</v>
      </c>
      <c r="J433" s="31">
        <f t="array" ref="J433">IF(ISERROR(G433/I433),"",G433/I433)</f>
        <v>9.1245551601423482</v>
      </c>
      <c r="K433" s="35">
        <f t="array" ref="K433">IF(ISERROR(G433/L433),"",G433/L433)</f>
        <v>137.84946236559139</v>
      </c>
      <c r="L433" s="87">
        <v>9.3000000000000007</v>
      </c>
      <c r="M433" s="36">
        <f t="shared" si="172"/>
        <v>2.6505376344086073</v>
      </c>
      <c r="N433" s="31">
        <f t="shared" si="173"/>
        <v>0</v>
      </c>
      <c r="O433" s="93">
        <f>SUM('31:16'!O433)</f>
        <v>0</v>
      </c>
      <c r="P433" s="93">
        <f>SUM('31:16'!P433)</f>
        <v>0</v>
      </c>
      <c r="Q433" s="93">
        <f>SUM('31:16'!Q433)</f>
        <v>0</v>
      </c>
      <c r="R433" s="93">
        <f>SUM('31:16'!R433)</f>
        <v>0</v>
      </c>
      <c r="S433" s="93">
        <f>SUM('31:16'!S433)</f>
        <v>0</v>
      </c>
      <c r="T433" s="93">
        <f>SUM('31:16'!T433)</f>
        <v>0</v>
      </c>
      <c r="U433" s="93">
        <f>SUM('31:16'!U433)</f>
        <v>0</v>
      </c>
      <c r="V433" s="206">
        <f t="shared" si="174"/>
        <v>0</v>
      </c>
      <c r="W433" s="33">
        <f t="shared" si="171"/>
        <v>0</v>
      </c>
      <c r="X433" s="93">
        <f>SUM('31:16'!X433)</f>
        <v>0</v>
      </c>
      <c r="Y433" s="93">
        <f>SUM('31:16'!Y433)</f>
        <v>0</v>
      </c>
      <c r="Z433" s="93">
        <f>SUM('31:16'!Z433)</f>
        <v>0</v>
      </c>
      <c r="AA433" s="93">
        <f>SUM('31:16'!AA433)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SUM('31:16'!G434)</f>
        <v>847</v>
      </c>
      <c r="H434" s="339">
        <f t="shared" si="175"/>
        <v>4260.41</v>
      </c>
      <c r="I434" s="93">
        <f>SUM('31:16'!I434)</f>
        <v>110.5</v>
      </c>
      <c r="J434" s="31">
        <f t="array" ref="J434">IF(ISERROR(G434/I434),"",G434/I434)</f>
        <v>7.6651583710407243</v>
      </c>
      <c r="K434" s="35">
        <f t="array" ref="K434">IF(ISERROR(G434/L434),"",G434/L434)</f>
        <v>91.075268817204289</v>
      </c>
      <c r="L434" s="87">
        <v>9.3000000000000007</v>
      </c>
      <c r="M434" s="36">
        <f t="shared" si="172"/>
        <v>19.424731182795711</v>
      </c>
      <c r="N434" s="31">
        <f t="shared" si="173"/>
        <v>0</v>
      </c>
      <c r="O434" s="93">
        <f>SUM('31:16'!O434)</f>
        <v>0</v>
      </c>
      <c r="P434" s="93">
        <f>SUM('31:16'!P434)</f>
        <v>0</v>
      </c>
      <c r="Q434" s="93">
        <f>SUM('31:16'!Q434)</f>
        <v>0</v>
      </c>
      <c r="R434" s="93">
        <f>SUM('31:16'!R434)</f>
        <v>0</v>
      </c>
      <c r="S434" s="93">
        <f>SUM('31:16'!S434)</f>
        <v>0</v>
      </c>
      <c r="T434" s="93">
        <f>SUM('31:16'!T434)</f>
        <v>0</v>
      </c>
      <c r="U434" s="93">
        <f>SUM('31:16'!U434)</f>
        <v>0</v>
      </c>
      <c r="V434" s="206">
        <f t="shared" si="174"/>
        <v>0</v>
      </c>
      <c r="W434" s="33">
        <f t="shared" si="171"/>
        <v>0</v>
      </c>
      <c r="X434" s="93">
        <f>SUM('31:16'!X434)</f>
        <v>0</v>
      </c>
      <c r="Y434" s="93">
        <f>SUM('31:16'!Y434)</f>
        <v>0</v>
      </c>
      <c r="Z434" s="93">
        <f>SUM('31:16'!Z434)</f>
        <v>0</v>
      </c>
      <c r="AA434" s="93">
        <f>SUM('31:16'!AA434)</f>
        <v>0</v>
      </c>
      <c r="AB434" s="73"/>
      <c r="AC434" s="54"/>
      <c r="AD434" s="346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>
      <c r="A435" s="299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SUM('31:16'!G435)</f>
        <v>988</v>
      </c>
      <c r="H435" s="339">
        <f t="shared" si="175"/>
        <v>4969.6400000000003</v>
      </c>
      <c r="I435" s="93">
        <f>SUM('31:16'!I435)</f>
        <v>87.5</v>
      </c>
      <c r="J435" s="31">
        <f t="array" ref="J435">IF(ISERROR(G435/I435),"",G435/I435)</f>
        <v>11.291428571428572</v>
      </c>
      <c r="K435" s="35">
        <f t="array" ref="K435">IF(ISERROR(G435/L435),"",G435/L435)</f>
        <v>106.23655913978494</v>
      </c>
      <c r="L435" s="87">
        <v>9.3000000000000007</v>
      </c>
      <c r="M435" s="36">
        <f t="shared" si="172"/>
        <v>-18.736559139784944</v>
      </c>
      <c r="N435" s="31">
        <f t="shared" si="173"/>
        <v>0</v>
      </c>
      <c r="O435" s="93">
        <f>SUM('31:16'!O435)</f>
        <v>0</v>
      </c>
      <c r="P435" s="93">
        <f>SUM('31:16'!P435)</f>
        <v>0</v>
      </c>
      <c r="Q435" s="93">
        <f>SUM('31:16'!Q435)</f>
        <v>0</v>
      </c>
      <c r="R435" s="93">
        <f>SUM('31:16'!R435)</f>
        <v>0</v>
      </c>
      <c r="S435" s="93">
        <f>SUM('31:16'!S435)</f>
        <v>0</v>
      </c>
      <c r="T435" s="93">
        <f>SUM('31:16'!T435)</f>
        <v>0</v>
      </c>
      <c r="U435" s="93">
        <f>SUM('31:16'!U435)</f>
        <v>0</v>
      </c>
      <c r="V435" s="206">
        <f t="shared" si="174"/>
        <v>0</v>
      </c>
      <c r="W435" s="33">
        <f t="shared" si="171"/>
        <v>0</v>
      </c>
      <c r="X435" s="93">
        <f>SUM('31:16'!X435)</f>
        <v>0</v>
      </c>
      <c r="Y435" s="93">
        <f>SUM('31:16'!Y435)</f>
        <v>0</v>
      </c>
      <c r="Z435" s="93">
        <f>SUM('31:16'!Z435)</f>
        <v>0</v>
      </c>
      <c r="AA435" s="93">
        <f>SUM('31:16'!AA435)</f>
        <v>0</v>
      </c>
      <c r="AB435" s="73"/>
      <c r="AC435" s="54"/>
      <c r="AD435" s="346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>
      <c r="A436" s="299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SUM('31:16'!G436)</f>
        <v>834</v>
      </c>
      <c r="H436" s="339">
        <f t="shared" si="175"/>
        <v>4195.0200000000004</v>
      </c>
      <c r="I436" s="93">
        <f>SUM('31:16'!I436)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2"/>
        <v>-12.677419354838705</v>
      </c>
      <c r="N436" s="31">
        <f t="shared" si="173"/>
        <v>0</v>
      </c>
      <c r="O436" s="93">
        <f>SUM('31:16'!O436)</f>
        <v>0</v>
      </c>
      <c r="P436" s="93">
        <f>SUM('31:16'!P436)</f>
        <v>0</v>
      </c>
      <c r="Q436" s="93">
        <f>SUM('31:16'!Q436)</f>
        <v>0</v>
      </c>
      <c r="R436" s="93">
        <f>SUM('31:16'!R436)</f>
        <v>0</v>
      </c>
      <c r="S436" s="93">
        <f>SUM('31:16'!S436)</f>
        <v>0</v>
      </c>
      <c r="T436" s="93">
        <f>SUM('31:16'!T436)</f>
        <v>0</v>
      </c>
      <c r="U436" s="93">
        <f>SUM('31:16'!U436)</f>
        <v>0</v>
      </c>
      <c r="V436" s="207"/>
      <c r="W436" s="33"/>
      <c r="X436" s="93">
        <f>SUM('31:16'!X436)</f>
        <v>0</v>
      </c>
      <c r="Y436" s="93">
        <f>SUM('31:16'!Y436)</f>
        <v>0</v>
      </c>
      <c r="Z436" s="93">
        <f>SUM('31:16'!Z436)</f>
        <v>0</v>
      </c>
      <c r="AA436" s="93">
        <f>SUM('31:16'!AA436)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SUM('31:16'!G437)</f>
        <v>0</v>
      </c>
      <c r="H437" s="339">
        <f t="shared" si="175"/>
        <v>0</v>
      </c>
      <c r="I437" s="93">
        <f>SUM('31:16'!I437)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SUM('31:16'!O437)</f>
        <v>0</v>
      </c>
      <c r="P437" s="93">
        <f>SUM('31:16'!P437)</f>
        <v>0</v>
      </c>
      <c r="Q437" s="93">
        <f>SUM('31:16'!Q437)</f>
        <v>0</v>
      </c>
      <c r="R437" s="93">
        <f>SUM('31:16'!R437)</f>
        <v>0</v>
      </c>
      <c r="S437" s="93">
        <f>SUM('31:16'!S437)</f>
        <v>0</v>
      </c>
      <c r="T437" s="93">
        <f>SUM('31:16'!T437)</f>
        <v>0</v>
      </c>
      <c r="U437" s="93">
        <f>SUM('31:16'!U437)</f>
        <v>0</v>
      </c>
      <c r="V437" s="207">
        <f>SUM(X437:AA437)</f>
        <v>0</v>
      </c>
      <c r="W437" s="33" t="str">
        <f>IF(ISERROR(V437/G437),"",V437/G437)</f>
        <v/>
      </c>
      <c r="X437" s="93">
        <f>SUM('31:16'!X437)</f>
        <v>0</v>
      </c>
      <c r="Y437" s="93">
        <f>SUM('31:16'!Y437)</f>
        <v>0</v>
      </c>
      <c r="Z437" s="93">
        <f>SUM('31:16'!Z437)</f>
        <v>0</v>
      </c>
      <c r="AA437" s="93">
        <f>SUM('31:16'!AA437)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SUM('31:16'!G438)</f>
        <v>0</v>
      </c>
      <c r="H438" s="339">
        <f t="shared" si="175"/>
        <v>0</v>
      </c>
      <c r="I438" s="93">
        <f>SUM('31:16'!I438)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SUM('31:16'!O438)</f>
        <v>0</v>
      </c>
      <c r="P438" s="93">
        <f>SUM('31:16'!P438)</f>
        <v>0</v>
      </c>
      <c r="Q438" s="93">
        <f>SUM('31:16'!Q438)</f>
        <v>0</v>
      </c>
      <c r="R438" s="93">
        <f>SUM('31:16'!R438)</f>
        <v>0</v>
      </c>
      <c r="S438" s="93">
        <f>SUM('31:16'!S438)</f>
        <v>0</v>
      </c>
      <c r="T438" s="93">
        <f>SUM('31:16'!T438)</f>
        <v>0</v>
      </c>
      <c r="U438" s="93">
        <f>SUM('31:16'!U438)</f>
        <v>0</v>
      </c>
      <c r="V438" s="207">
        <f>SUM(X438:AA438)</f>
        <v>0</v>
      </c>
      <c r="W438" s="33" t="str">
        <f>IF(ISERROR(V438/G438),"",V438/G438)</f>
        <v/>
      </c>
      <c r="X438" s="93">
        <f>SUM('31:16'!X438)</f>
        <v>0</v>
      </c>
      <c r="Y438" s="93">
        <f>SUM('31:16'!Y438)</f>
        <v>0</v>
      </c>
      <c r="Z438" s="93">
        <f>SUM('31:16'!Z438)</f>
        <v>0</v>
      </c>
      <c r="AA438" s="93">
        <f>SUM('31:16'!AA438)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SUM('31:16'!G439)</f>
        <v>0</v>
      </c>
      <c r="H439" s="339">
        <f t="shared" si="175"/>
        <v>0</v>
      </c>
      <c r="I439" s="93">
        <f>SUM('31:16'!I439)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SUM('31:16'!O439)</f>
        <v>0</v>
      </c>
      <c r="P439" s="93">
        <f>SUM('31:16'!P439)</f>
        <v>0</v>
      </c>
      <c r="Q439" s="93">
        <f>SUM('31:16'!Q439)</f>
        <v>0</v>
      </c>
      <c r="R439" s="93">
        <f>SUM('31:16'!R439)</f>
        <v>0</v>
      </c>
      <c r="S439" s="93">
        <f>SUM('31:16'!S439)</f>
        <v>0</v>
      </c>
      <c r="T439" s="93">
        <f>SUM('31:16'!T439)</f>
        <v>0</v>
      </c>
      <c r="U439" s="93">
        <f>SUM('31:16'!U439)</f>
        <v>0</v>
      </c>
      <c r="V439" s="207">
        <f>SUM(X439:AA439)</f>
        <v>0</v>
      </c>
      <c r="W439" s="33" t="str">
        <f>IF(ISERROR(V439/G439),"",V439/G439)</f>
        <v/>
      </c>
      <c r="X439" s="93">
        <f>SUM('31:16'!X439)</f>
        <v>0</v>
      </c>
      <c r="Y439" s="93">
        <f>SUM('31:16'!Y439)</f>
        <v>0</v>
      </c>
      <c r="Z439" s="93">
        <f>SUM('31:16'!Z439)</f>
        <v>0</v>
      </c>
      <c r="AA439" s="93">
        <f>SUM('31:16'!AA439)</f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>
      <c r="A440" s="304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SUM('31:16'!G440)</f>
        <v>0</v>
      </c>
      <c r="H440" s="339">
        <f t="shared" si="175"/>
        <v>0</v>
      </c>
      <c r="I440" s="93">
        <f>SUM('31:16'!I440)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SUM('31:16'!O440)</f>
        <v>0</v>
      </c>
      <c r="P440" s="93">
        <f>SUM('31:16'!P440)</f>
        <v>0</v>
      </c>
      <c r="Q440" s="93">
        <f>SUM('31:16'!Q440)</f>
        <v>0</v>
      </c>
      <c r="R440" s="93">
        <f>SUM('31:16'!R440)</f>
        <v>0</v>
      </c>
      <c r="S440" s="93">
        <f>SUM('31:16'!S440)</f>
        <v>0</v>
      </c>
      <c r="T440" s="93">
        <f>SUM('31:16'!T440)</f>
        <v>0</v>
      </c>
      <c r="U440" s="93">
        <f>SUM('31:16'!U440)</f>
        <v>0</v>
      </c>
      <c r="V440" s="207">
        <f>SUM(X440:AA440)</f>
        <v>0</v>
      </c>
      <c r="W440" s="33" t="str">
        <f>IF(ISERROR(V440/G440),"",V440/G440)</f>
        <v/>
      </c>
      <c r="X440" s="93">
        <f>SUM('31:16'!X440)</f>
        <v>0</v>
      </c>
      <c r="Y440" s="93">
        <f>SUM('31:16'!Y440)</f>
        <v>0</v>
      </c>
      <c r="Z440" s="93">
        <f>SUM('31:16'!Z440)</f>
        <v>0</v>
      </c>
      <c r="AA440" s="93">
        <f>SUM('31:16'!AA440)</f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>
      <c r="A441" s="304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SUM('31:16'!G441)</f>
        <v>0</v>
      </c>
      <c r="H441" s="339">
        <f t="shared" si="175"/>
        <v>0</v>
      </c>
      <c r="I441" s="93">
        <f>SUM('31:16'!I441)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6">IF(ISERROR(I441-K441),"",I441-K441)</f>
        <v>0</v>
      </c>
      <c r="N441" s="31">
        <f t="shared" ref="N441:N456" si="177">SUM(O441:U441)</f>
        <v>0</v>
      </c>
      <c r="O441" s="93">
        <f>SUM('31:16'!O441)</f>
        <v>0</v>
      </c>
      <c r="P441" s="93">
        <f>SUM('31:16'!P441)</f>
        <v>0</v>
      </c>
      <c r="Q441" s="93">
        <f>SUM('31:16'!Q441)</f>
        <v>0</v>
      </c>
      <c r="R441" s="93">
        <f>SUM('31:16'!R441)</f>
        <v>0</v>
      </c>
      <c r="S441" s="93">
        <f>SUM('31:16'!S441)</f>
        <v>0</v>
      </c>
      <c r="T441" s="93">
        <f>SUM('31:16'!T441)</f>
        <v>0</v>
      </c>
      <c r="U441" s="93">
        <f>SUM('31:16'!U441)</f>
        <v>0</v>
      </c>
      <c r="V441" s="206">
        <f t="shared" ref="V441:V448" si="178">SUM(X441:AA441)</f>
        <v>0</v>
      </c>
      <c r="W441" s="33" t="str">
        <f t="shared" ref="W441:W448" si="179">IF(ISERROR(V441/G441),"",V441/G441)</f>
        <v/>
      </c>
      <c r="X441" s="93">
        <f>SUM('31:16'!X441)</f>
        <v>0</v>
      </c>
      <c r="Y441" s="93">
        <f>SUM('31:16'!Y441)</f>
        <v>0</v>
      </c>
      <c r="Z441" s="93">
        <f>SUM('31:16'!Z441)</f>
        <v>0</v>
      </c>
      <c r="AA441" s="93">
        <f>SUM('31:16'!AA441)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/>
      <c r="B442" s="65" t="s">
        <v>88</v>
      </c>
      <c r="C442" s="16" t="s">
        <v>72</v>
      </c>
      <c r="D442" s="17">
        <v>5.03</v>
      </c>
      <c r="E442" s="17"/>
      <c r="F442" s="6"/>
      <c r="G442" s="93">
        <f>SUM('31:16'!G442)</f>
        <v>0</v>
      </c>
      <c r="H442" s="339">
        <f t="shared" si="175"/>
        <v>0</v>
      </c>
      <c r="I442" s="93">
        <f>SUM('31:16'!I442)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SUM('31:16'!O442)</f>
        <v>0</v>
      </c>
      <c r="P442" s="93">
        <f>SUM('31:16'!P442)</f>
        <v>0</v>
      </c>
      <c r="Q442" s="93">
        <f>SUM('31:16'!Q442)</f>
        <v>0</v>
      </c>
      <c r="R442" s="93">
        <f>SUM('31:16'!R442)</f>
        <v>0</v>
      </c>
      <c r="S442" s="93">
        <f>SUM('31:16'!S442)</f>
        <v>0</v>
      </c>
      <c r="T442" s="93">
        <f>SUM('31:16'!T442)</f>
        <v>0</v>
      </c>
      <c r="U442" s="93">
        <f>SUM('31:16'!U442)</f>
        <v>0</v>
      </c>
      <c r="V442" s="206">
        <f t="shared" si="178"/>
        <v>0</v>
      </c>
      <c r="W442" s="33" t="str">
        <f t="shared" si="179"/>
        <v/>
      </c>
      <c r="X442" s="93">
        <f>SUM('31:16'!X442)</f>
        <v>0</v>
      </c>
      <c r="Y442" s="93">
        <f>SUM('31:16'!Y442)</f>
        <v>0</v>
      </c>
      <c r="Z442" s="93">
        <f>SUM('31:16'!Z442)</f>
        <v>0</v>
      </c>
      <c r="AA442" s="93">
        <f>SUM('31:16'!AA442)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/>
      <c r="B443" s="65" t="s">
        <v>88</v>
      </c>
      <c r="C443" s="16" t="s">
        <v>60</v>
      </c>
      <c r="D443" s="17">
        <v>5.03</v>
      </c>
      <c r="E443" s="17"/>
      <c r="F443" s="6"/>
      <c r="G443" s="93">
        <f>SUM('31:16'!G443)</f>
        <v>0</v>
      </c>
      <c r="H443" s="339">
        <f t="shared" si="175"/>
        <v>0</v>
      </c>
      <c r="I443" s="93">
        <f>SUM('31:16'!I443)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6"/>
        <v/>
      </c>
      <c r="N443" s="31">
        <f t="shared" si="177"/>
        <v>0</v>
      </c>
      <c r="O443" s="93">
        <f>SUM('31:16'!O443)</f>
        <v>0</v>
      </c>
      <c r="P443" s="93">
        <f>SUM('31:16'!P443)</f>
        <v>0</v>
      </c>
      <c r="Q443" s="93">
        <f>SUM('31:16'!Q443)</f>
        <v>0</v>
      </c>
      <c r="R443" s="93">
        <f>SUM('31:16'!R443)</f>
        <v>0</v>
      </c>
      <c r="S443" s="93">
        <f>SUM('31:16'!S443)</f>
        <v>0</v>
      </c>
      <c r="T443" s="93">
        <f>SUM('31:16'!T443)</f>
        <v>0</v>
      </c>
      <c r="U443" s="93">
        <f>SUM('31:16'!U443)</f>
        <v>0</v>
      </c>
      <c r="V443" s="206">
        <f t="shared" si="178"/>
        <v>0</v>
      </c>
      <c r="W443" s="33" t="str">
        <f t="shared" si="179"/>
        <v/>
      </c>
      <c r="X443" s="93">
        <f>SUM('31:16'!X443)</f>
        <v>0</v>
      </c>
      <c r="Y443" s="93">
        <f>SUM('31:16'!Y443)</f>
        <v>0</v>
      </c>
      <c r="Z443" s="93">
        <f>SUM('31:16'!Z443)</f>
        <v>0</v>
      </c>
      <c r="AA443" s="93">
        <f>SUM('31:16'!AA443)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SUM('31:16'!G444)</f>
        <v>0</v>
      </c>
      <c r="H444" s="339">
        <f t="shared" si="175"/>
        <v>0</v>
      </c>
      <c r="I444" s="93">
        <f>SUM('31:16'!I444)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6"/>
        <v/>
      </c>
      <c r="N444" s="31">
        <f t="shared" si="177"/>
        <v>0</v>
      </c>
      <c r="O444" s="93">
        <f>SUM('31:16'!O444)</f>
        <v>0</v>
      </c>
      <c r="P444" s="93">
        <f>SUM('31:16'!P444)</f>
        <v>0</v>
      </c>
      <c r="Q444" s="93">
        <f>SUM('31:16'!Q444)</f>
        <v>0</v>
      </c>
      <c r="R444" s="93">
        <f>SUM('31:16'!R444)</f>
        <v>0</v>
      </c>
      <c r="S444" s="93">
        <f>SUM('31:16'!S444)</f>
        <v>0</v>
      </c>
      <c r="T444" s="93">
        <f>SUM('31:16'!T444)</f>
        <v>0</v>
      </c>
      <c r="U444" s="93">
        <f>SUM('31:16'!U444)</f>
        <v>0</v>
      </c>
      <c r="V444" s="206">
        <f t="shared" si="178"/>
        <v>0</v>
      </c>
      <c r="W444" s="33" t="str">
        <f t="shared" si="179"/>
        <v/>
      </c>
      <c r="X444" s="93">
        <f>SUM('31:16'!X444)</f>
        <v>0</v>
      </c>
      <c r="Y444" s="93">
        <f>SUM('31:16'!Y444)</f>
        <v>0</v>
      </c>
      <c r="Z444" s="93">
        <f>SUM('31:16'!Z444)</f>
        <v>0</v>
      </c>
      <c r="AA444" s="93">
        <f>SUM('31:16'!AA444)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SUM('31:16'!G445)</f>
        <v>0</v>
      </c>
      <c r="H445" s="339">
        <f t="shared" si="175"/>
        <v>0</v>
      </c>
      <c r="I445" s="93">
        <f>SUM('31:16'!I445)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SUM('31:16'!O445)</f>
        <v>0</v>
      </c>
      <c r="P445" s="93">
        <f>SUM('31:16'!P445)</f>
        <v>0</v>
      </c>
      <c r="Q445" s="93">
        <f>SUM('31:16'!Q445)</f>
        <v>0</v>
      </c>
      <c r="R445" s="93">
        <f>SUM('31:16'!R445)</f>
        <v>0</v>
      </c>
      <c r="S445" s="93">
        <f>SUM('31:16'!S445)</f>
        <v>0</v>
      </c>
      <c r="T445" s="93">
        <f>SUM('31:16'!T445)</f>
        <v>0</v>
      </c>
      <c r="U445" s="93">
        <f>SUM('31:16'!U445)</f>
        <v>0</v>
      </c>
      <c r="V445" s="206">
        <f t="shared" si="178"/>
        <v>0</v>
      </c>
      <c r="W445" s="33" t="str">
        <f t="shared" si="179"/>
        <v/>
      </c>
      <c r="X445" s="93">
        <f>SUM('31:16'!X445)</f>
        <v>0</v>
      </c>
      <c r="Y445" s="93">
        <f>SUM('31:16'!Y445)</f>
        <v>0</v>
      </c>
      <c r="Z445" s="93">
        <f>SUM('31:16'!Z445)</f>
        <v>0</v>
      </c>
      <c r="AA445" s="93">
        <f>SUM('31:16'!AA445)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SUM('31:16'!G446)</f>
        <v>0</v>
      </c>
      <c r="H446" s="339">
        <f t="shared" si="175"/>
        <v>0</v>
      </c>
      <c r="I446" s="93">
        <f>SUM('31:16'!I446)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SUM('31:16'!O446)</f>
        <v>0</v>
      </c>
      <c r="P446" s="93">
        <f>SUM('31:16'!P446)</f>
        <v>0</v>
      </c>
      <c r="Q446" s="93">
        <f>SUM('31:16'!Q446)</f>
        <v>0</v>
      </c>
      <c r="R446" s="93">
        <f>SUM('31:16'!R446)</f>
        <v>0</v>
      </c>
      <c r="S446" s="93">
        <f>SUM('31:16'!S446)</f>
        <v>0</v>
      </c>
      <c r="T446" s="93">
        <f>SUM('31:16'!T446)</f>
        <v>0</v>
      </c>
      <c r="U446" s="93">
        <f>SUM('31:16'!U446)</f>
        <v>0</v>
      </c>
      <c r="V446" s="206">
        <f t="shared" si="178"/>
        <v>0</v>
      </c>
      <c r="W446" s="33" t="str">
        <f t="shared" si="179"/>
        <v/>
      </c>
      <c r="X446" s="93">
        <f>SUM('31:16'!X446)</f>
        <v>0</v>
      </c>
      <c r="Y446" s="93">
        <f>SUM('31:16'!Y446)</f>
        <v>0</v>
      </c>
      <c r="Z446" s="93">
        <f>SUM('31:16'!Z446)</f>
        <v>0</v>
      </c>
      <c r="AA446" s="93">
        <f>SUM('31:16'!AA446)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304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SUM('31:16'!G447)</f>
        <v>0</v>
      </c>
      <c r="H447" s="339">
        <f t="shared" si="175"/>
        <v>0</v>
      </c>
      <c r="I447" s="93">
        <f>SUM('31:16'!I447)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6"/>
        <v>0</v>
      </c>
      <c r="N447" s="31">
        <f t="shared" si="177"/>
        <v>0</v>
      </c>
      <c r="O447" s="93">
        <f>SUM('31:16'!O447)</f>
        <v>0</v>
      </c>
      <c r="P447" s="93">
        <f>SUM('31:16'!P447)</f>
        <v>0</v>
      </c>
      <c r="Q447" s="93">
        <f>SUM('31:16'!Q447)</f>
        <v>0</v>
      </c>
      <c r="R447" s="93">
        <f>SUM('31:16'!R447)</f>
        <v>0</v>
      </c>
      <c r="S447" s="93">
        <f>SUM('31:16'!S447)</f>
        <v>0</v>
      </c>
      <c r="T447" s="93">
        <f>SUM('31:16'!T447)</f>
        <v>0</v>
      </c>
      <c r="U447" s="93">
        <f>SUM('31:16'!U447)</f>
        <v>0</v>
      </c>
      <c r="V447" s="206">
        <f t="shared" si="178"/>
        <v>0</v>
      </c>
      <c r="W447" s="33" t="str">
        <f t="shared" si="179"/>
        <v/>
      </c>
      <c r="X447" s="93">
        <f>SUM('31:16'!X447)</f>
        <v>0</v>
      </c>
      <c r="Y447" s="93">
        <f>SUM('31:16'!Y447)</f>
        <v>0</v>
      </c>
      <c r="Z447" s="93">
        <f>SUM('31:16'!Z447)</f>
        <v>0</v>
      </c>
      <c r="AA447" s="93">
        <f>SUM('31:16'!AA447)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304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SUM('31:16'!G448)</f>
        <v>0</v>
      </c>
      <c r="H448" s="339">
        <f t="shared" si="175"/>
        <v>0</v>
      </c>
      <c r="I448" s="93">
        <f>SUM('31:16'!I448)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6"/>
        <v>0</v>
      </c>
      <c r="N448" s="31">
        <f t="shared" si="177"/>
        <v>0</v>
      </c>
      <c r="O448" s="93">
        <f>SUM('31:16'!O448)</f>
        <v>0</v>
      </c>
      <c r="P448" s="93">
        <f>SUM('31:16'!P448)</f>
        <v>0</v>
      </c>
      <c r="Q448" s="93">
        <f>SUM('31:16'!Q448)</f>
        <v>0</v>
      </c>
      <c r="R448" s="93">
        <f>SUM('31:16'!R448)</f>
        <v>0</v>
      </c>
      <c r="S448" s="93">
        <f>SUM('31:16'!S448)</f>
        <v>0</v>
      </c>
      <c r="T448" s="93">
        <f>SUM('31:16'!T448)</f>
        <v>0</v>
      </c>
      <c r="U448" s="93">
        <f>SUM('31:16'!U448)</f>
        <v>0</v>
      </c>
      <c r="V448" s="206">
        <f t="shared" si="178"/>
        <v>0</v>
      </c>
      <c r="W448" s="33" t="str">
        <f t="shared" si="179"/>
        <v/>
      </c>
      <c r="X448" s="93">
        <f>SUM('31:16'!X448)</f>
        <v>0</v>
      </c>
      <c r="Y448" s="93">
        <f>SUM('31:16'!Y448)</f>
        <v>0</v>
      </c>
      <c r="Z448" s="93">
        <f>SUM('31:16'!Z448)</f>
        <v>0</v>
      </c>
      <c r="AA448" s="93">
        <f>SUM('31:16'!AA448)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30400026</v>
      </c>
      <c r="B449" s="190" t="s">
        <v>394</v>
      </c>
      <c r="C449" s="187" t="s">
        <v>396</v>
      </c>
      <c r="D449" s="17">
        <v>5</v>
      </c>
      <c r="E449" s="17"/>
      <c r="F449" s="6"/>
      <c r="G449" s="93">
        <f>SUM('31:16'!G449)</f>
        <v>180</v>
      </c>
      <c r="H449" s="339">
        <f t="shared" si="175"/>
        <v>900</v>
      </c>
      <c r="I449" s="93">
        <f>SUM('31:16'!I449)</f>
        <v>35</v>
      </c>
      <c r="J449" s="31"/>
      <c r="K449" s="35">
        <f t="array" ref="K449">IF(ISERROR(G449/L449),"",G449/L449)</f>
        <v>36</v>
      </c>
      <c r="L449" s="87">
        <v>5</v>
      </c>
      <c r="M449" s="36">
        <f t="shared" si="176"/>
        <v>-1</v>
      </c>
      <c r="N449" s="31">
        <f t="shared" si="177"/>
        <v>0</v>
      </c>
      <c r="O449" s="93">
        <f>SUM('31:16'!O449)</f>
        <v>0</v>
      </c>
      <c r="P449" s="93">
        <f>SUM('31:16'!P449)</f>
        <v>0</v>
      </c>
      <c r="Q449" s="93">
        <f>SUM('31:16'!Q449)</f>
        <v>0</v>
      </c>
      <c r="R449" s="93">
        <f>SUM('31:16'!R449)</f>
        <v>0</v>
      </c>
      <c r="S449" s="93">
        <f>SUM('31:16'!S449)</f>
        <v>0</v>
      </c>
      <c r="T449" s="93">
        <f>SUM('31:16'!T449)</f>
        <v>0</v>
      </c>
      <c r="U449" s="93">
        <f>SUM('31:16'!U449)</f>
        <v>0</v>
      </c>
      <c r="V449" s="206"/>
      <c r="W449" s="33"/>
      <c r="X449" s="93">
        <f>SUM('31:16'!X449)</f>
        <v>0</v>
      </c>
      <c r="Y449" s="93">
        <f>SUM('31:16'!Y449)</f>
        <v>0</v>
      </c>
      <c r="Z449" s="93">
        <f>SUM('31:16'!Z449)</f>
        <v>0</v>
      </c>
      <c r="AA449" s="93">
        <f>SUM('31:16'!AA449)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>
        <v>30400028</v>
      </c>
      <c r="B450" s="190" t="s">
        <v>393</v>
      </c>
      <c r="C450" s="187" t="s">
        <v>403</v>
      </c>
      <c r="D450" s="17">
        <v>5</v>
      </c>
      <c r="E450" s="17"/>
      <c r="F450" s="6"/>
      <c r="G450" s="93">
        <f>SUM('31:16'!G450)</f>
        <v>0</v>
      </c>
      <c r="H450" s="339">
        <f t="shared" si="175"/>
        <v>0</v>
      </c>
      <c r="I450" s="93">
        <f>SUM('31:16'!I450)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SUM('31:16'!O450)</f>
        <v>0</v>
      </c>
      <c r="P450" s="93">
        <f>SUM('31:16'!P450)</f>
        <v>0</v>
      </c>
      <c r="Q450" s="93">
        <f>SUM('31:16'!Q450)</f>
        <v>0</v>
      </c>
      <c r="R450" s="93">
        <f>SUM('31:16'!R450)</f>
        <v>0</v>
      </c>
      <c r="S450" s="93">
        <f>SUM('31:16'!S450)</f>
        <v>0</v>
      </c>
      <c r="T450" s="93">
        <f>SUM('31:16'!T450)</f>
        <v>0</v>
      </c>
      <c r="U450" s="93">
        <f>SUM('31:16'!U450)</f>
        <v>0</v>
      </c>
      <c r="V450" s="206"/>
      <c r="W450" s="33"/>
      <c r="X450" s="93">
        <f>SUM('31:16'!X450)</f>
        <v>0</v>
      </c>
      <c r="Y450" s="93">
        <f>SUM('31:16'!Y450)</f>
        <v>0</v>
      </c>
      <c r="Z450" s="93">
        <f>SUM('31:16'!Z450)</f>
        <v>0</v>
      </c>
      <c r="AA450" s="93">
        <f>SUM('31:16'!AA450)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30400027</v>
      </c>
      <c r="B451" s="190" t="s">
        <v>404</v>
      </c>
      <c r="C451" s="187" t="s">
        <v>406</v>
      </c>
      <c r="D451" s="17">
        <v>5</v>
      </c>
      <c r="E451" s="17"/>
      <c r="F451" s="6"/>
      <c r="G451" s="93">
        <f>SUM('31:16'!G451)</f>
        <v>543</v>
      </c>
      <c r="H451" s="339">
        <f t="shared" si="175"/>
        <v>2715</v>
      </c>
      <c r="I451" s="93">
        <f>SUM('31:16'!I451)</f>
        <v>20</v>
      </c>
      <c r="J451" s="31"/>
      <c r="K451" s="35">
        <f t="array" ref="K451">IF(ISERROR(G451/L451),"",G451/L451)</f>
        <v>108.6</v>
      </c>
      <c r="L451" s="87">
        <v>5</v>
      </c>
      <c r="M451" s="36">
        <f t="shared" si="176"/>
        <v>-88.6</v>
      </c>
      <c r="N451" s="31">
        <f t="shared" si="177"/>
        <v>0</v>
      </c>
      <c r="O451" s="93">
        <f>SUM('31:16'!O451)</f>
        <v>0</v>
      </c>
      <c r="P451" s="93">
        <f>SUM('31:16'!P451)</f>
        <v>0</v>
      </c>
      <c r="Q451" s="93">
        <f>SUM('31:16'!Q451)</f>
        <v>0</v>
      </c>
      <c r="R451" s="93">
        <f>SUM('31:16'!R451)</f>
        <v>0</v>
      </c>
      <c r="S451" s="93">
        <f>SUM('31:16'!S451)</f>
        <v>0</v>
      </c>
      <c r="T451" s="93">
        <f>SUM('31:16'!T451)</f>
        <v>0</v>
      </c>
      <c r="U451" s="93">
        <f>SUM('31:16'!U451)</f>
        <v>0</v>
      </c>
      <c r="V451" s="206"/>
      <c r="W451" s="33"/>
      <c r="X451" s="93">
        <f>SUM('31:16'!X451)</f>
        <v>0</v>
      </c>
      <c r="Y451" s="93">
        <f>SUM('31:16'!Y451)</f>
        <v>0</v>
      </c>
      <c r="Z451" s="93">
        <f>SUM('31:16'!Z451)</f>
        <v>0</v>
      </c>
      <c r="AA451" s="93">
        <f>SUM('31:16'!AA451)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/>
      <c r="B452" s="61" t="s">
        <v>352</v>
      </c>
      <c r="C452" s="187" t="s">
        <v>373</v>
      </c>
      <c r="D452" s="17">
        <v>5</v>
      </c>
      <c r="E452" s="17"/>
      <c r="F452" s="6"/>
      <c r="G452" s="93">
        <f>SUM('31:16'!G452)</f>
        <v>0</v>
      </c>
      <c r="H452" s="339">
        <f t="shared" si="175"/>
        <v>0</v>
      </c>
      <c r="I452" s="93">
        <f>SUM('31:16'!I452)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SUM('31:16'!O452)</f>
        <v>0</v>
      </c>
      <c r="P452" s="93">
        <f>SUM('31:16'!P452)</f>
        <v>0</v>
      </c>
      <c r="Q452" s="93">
        <f>SUM('31:16'!Q452)</f>
        <v>0</v>
      </c>
      <c r="R452" s="93">
        <f>SUM('31:16'!R452)</f>
        <v>0</v>
      </c>
      <c r="S452" s="93">
        <f>SUM('31:16'!S452)</f>
        <v>0</v>
      </c>
      <c r="T452" s="93">
        <f>SUM('31:16'!T452)</f>
        <v>0</v>
      </c>
      <c r="U452" s="93">
        <f>SUM('31:16'!U452)</f>
        <v>0</v>
      </c>
      <c r="V452" s="206"/>
      <c r="W452" s="33"/>
      <c r="X452" s="93">
        <f>SUM('31:16'!X452)</f>
        <v>0</v>
      </c>
      <c r="Y452" s="93">
        <f>SUM('31:16'!Y452)</f>
        <v>0</v>
      </c>
      <c r="Z452" s="93">
        <f>SUM('31:16'!Z452)</f>
        <v>0</v>
      </c>
      <c r="AA452" s="93">
        <f>SUM('31:16'!AA452)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30600009</v>
      </c>
      <c r="B453" s="61" t="s">
        <v>353</v>
      </c>
      <c r="C453" s="16" t="s">
        <v>354</v>
      </c>
      <c r="D453" s="17">
        <v>5</v>
      </c>
      <c r="E453" s="17"/>
      <c r="F453" s="6"/>
      <c r="G453" s="93">
        <f>SUM('31:16'!G453)</f>
        <v>0</v>
      </c>
      <c r="H453" s="339">
        <f t="shared" si="175"/>
        <v>0</v>
      </c>
      <c r="I453" s="93">
        <f>SUM('31:16'!I453)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6"/>
        <v>0</v>
      </c>
      <c r="N453" s="31">
        <f t="shared" si="177"/>
        <v>0</v>
      </c>
      <c r="O453" s="93">
        <f>SUM('31:16'!O453)</f>
        <v>0</v>
      </c>
      <c r="P453" s="93">
        <f>SUM('31:16'!P453)</f>
        <v>0</v>
      </c>
      <c r="Q453" s="93">
        <f>SUM('31:16'!Q453)</f>
        <v>0</v>
      </c>
      <c r="R453" s="93">
        <f>SUM('31:16'!R453)</f>
        <v>0</v>
      </c>
      <c r="S453" s="93">
        <f>SUM('31:16'!S453)</f>
        <v>0</v>
      </c>
      <c r="T453" s="93">
        <f>SUM('31:16'!T453)</f>
        <v>0</v>
      </c>
      <c r="U453" s="93">
        <f>SUM('31:16'!U453)</f>
        <v>0</v>
      </c>
      <c r="V453" s="206"/>
      <c r="W453" s="33"/>
      <c r="X453" s="93">
        <f>SUM('31:16'!X453)</f>
        <v>0</v>
      </c>
      <c r="Y453" s="93">
        <f>SUM('31:16'!Y453)</f>
        <v>0</v>
      </c>
      <c r="Z453" s="93">
        <f>SUM('31:16'!Z453)</f>
        <v>0</v>
      </c>
      <c r="AA453" s="93">
        <f>SUM('31:16'!AA453)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30600010</v>
      </c>
      <c r="B454" s="61" t="s">
        <v>353</v>
      </c>
      <c r="C454" s="16" t="s">
        <v>357</v>
      </c>
      <c r="D454" s="17">
        <v>5</v>
      </c>
      <c r="E454" s="17"/>
      <c r="F454" s="6"/>
      <c r="G454" s="93">
        <f>SUM('31:16'!G454)</f>
        <v>0</v>
      </c>
      <c r="H454" s="339">
        <f t="shared" si="175"/>
        <v>0</v>
      </c>
      <c r="I454" s="93">
        <f>SUM('31:16'!I454)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6"/>
        <v>0</v>
      </c>
      <c r="N454" s="31">
        <f t="shared" si="177"/>
        <v>0</v>
      </c>
      <c r="O454" s="93">
        <f>SUM('31:16'!O454)</f>
        <v>0</v>
      </c>
      <c r="P454" s="93">
        <f>SUM('31:16'!P454)</f>
        <v>0</v>
      </c>
      <c r="Q454" s="93">
        <f>SUM('31:16'!Q454)</f>
        <v>0</v>
      </c>
      <c r="R454" s="93">
        <f>SUM('31:16'!R454)</f>
        <v>0</v>
      </c>
      <c r="S454" s="93">
        <f>SUM('31:16'!S454)</f>
        <v>0</v>
      </c>
      <c r="T454" s="93">
        <f>SUM('31:16'!T454)</f>
        <v>0</v>
      </c>
      <c r="U454" s="93">
        <f>SUM('31:16'!U454)</f>
        <v>0</v>
      </c>
      <c r="V454" s="206"/>
      <c r="W454" s="33"/>
      <c r="X454" s="93">
        <f>SUM('31:16'!X454)</f>
        <v>0</v>
      </c>
      <c r="Y454" s="93">
        <f>SUM('31:16'!Y454)</f>
        <v>0</v>
      </c>
      <c r="Z454" s="93">
        <f>SUM('31:16'!Z454)</f>
        <v>0</v>
      </c>
      <c r="AA454" s="93">
        <f>SUM('31:16'!AA454)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SUM('31:16'!G455)</f>
        <v>664</v>
      </c>
      <c r="H455" s="339">
        <f t="shared" si="175"/>
        <v>3359.8399999999997</v>
      </c>
      <c r="I455" s="93">
        <f>SUM('31:16'!I455)</f>
        <v>40</v>
      </c>
      <c r="J455" s="31">
        <f t="array" ref="J455">IF(ISERROR(G455/I455),"",G455/I455)</f>
        <v>16.600000000000001</v>
      </c>
      <c r="K455" s="35">
        <f t="array" ref="K455">IF(ISERROR(G455/L455),"",G455/L455)</f>
        <v>42.838709677419352</v>
      </c>
      <c r="L455" s="87">
        <v>15.5</v>
      </c>
      <c r="M455" s="36">
        <f t="shared" si="176"/>
        <v>-2.8387096774193523</v>
      </c>
      <c r="N455" s="31">
        <f t="shared" si="177"/>
        <v>0</v>
      </c>
      <c r="O455" s="93">
        <f>SUM('31:16'!O455)</f>
        <v>0</v>
      </c>
      <c r="P455" s="93">
        <f>SUM('31:16'!P455)</f>
        <v>0</v>
      </c>
      <c r="Q455" s="93">
        <f>SUM('31:16'!Q455)</f>
        <v>0</v>
      </c>
      <c r="R455" s="93">
        <f>SUM('31:16'!R455)</f>
        <v>0</v>
      </c>
      <c r="S455" s="93">
        <f>SUM('31:16'!S455)</f>
        <v>0</v>
      </c>
      <c r="T455" s="93">
        <f>SUM('31:16'!T455)</f>
        <v>0</v>
      </c>
      <c r="U455" s="93">
        <f>SUM('31:16'!U455)</f>
        <v>0</v>
      </c>
      <c r="V455" s="206">
        <f t="shared" ref="V455:V456" si="180">SUM(X455:AA455)</f>
        <v>0</v>
      </c>
      <c r="W455" s="33">
        <f t="shared" ref="W455:W456" si="181">IF(ISERROR(V455/G455),"",V455/G455)</f>
        <v>0</v>
      </c>
      <c r="X455" s="93">
        <f>SUM('31:16'!X455)</f>
        <v>0</v>
      </c>
      <c r="Y455" s="93">
        <f>SUM('31:16'!Y455)</f>
        <v>0</v>
      </c>
      <c r="Z455" s="93">
        <f>SUM('31:16'!Z455)</f>
        <v>0</v>
      </c>
      <c r="AA455" s="93">
        <f>SUM('31:16'!AA455)</f>
        <v>0</v>
      </c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SUM('31:16'!G456)</f>
        <v>1399</v>
      </c>
      <c r="H456" s="339">
        <f t="shared" si="175"/>
        <v>7078.94</v>
      </c>
      <c r="I456" s="93">
        <f>SUM('31:16'!I456)</f>
        <v>54</v>
      </c>
      <c r="J456" s="31">
        <f t="array" ref="J456">IF(ISERROR(G456/I456),"",G456/I456)</f>
        <v>25.907407407407408</v>
      </c>
      <c r="K456" s="35">
        <f t="array" ref="K456">IF(ISERROR(G456/L456),"",G456/L456)</f>
        <v>90.258064516129039</v>
      </c>
      <c r="L456" s="87">
        <v>15.5</v>
      </c>
      <c r="M456" s="36">
        <f t="shared" si="176"/>
        <v>-36.258064516129039</v>
      </c>
      <c r="N456" s="31">
        <f t="shared" si="177"/>
        <v>0</v>
      </c>
      <c r="O456" s="93">
        <f>SUM('31:16'!O456)</f>
        <v>0</v>
      </c>
      <c r="P456" s="93">
        <f>SUM('31:16'!P456)</f>
        <v>0</v>
      </c>
      <c r="Q456" s="93">
        <f>SUM('31:16'!Q456)</f>
        <v>0</v>
      </c>
      <c r="R456" s="93">
        <f>SUM('31:16'!R456)</f>
        <v>0</v>
      </c>
      <c r="S456" s="93">
        <f>SUM('31:16'!S456)</f>
        <v>0</v>
      </c>
      <c r="T456" s="93">
        <f>SUM('31:16'!T456)</f>
        <v>0</v>
      </c>
      <c r="U456" s="93">
        <f>SUM('31:16'!U456)</f>
        <v>0</v>
      </c>
      <c r="V456" s="206">
        <f t="shared" si="180"/>
        <v>0</v>
      </c>
      <c r="W456" s="33">
        <f t="shared" si="181"/>
        <v>0</v>
      </c>
      <c r="X456" s="93">
        <f>SUM('31:16'!X456)</f>
        <v>0</v>
      </c>
      <c r="Y456" s="93">
        <f>SUM('31:16'!Y456)</f>
        <v>0</v>
      </c>
      <c r="Z456" s="93">
        <f>SUM('31:16'!Z456)</f>
        <v>0</v>
      </c>
      <c r="AA456" s="93">
        <f>SUM('31:16'!AA456)</f>
        <v>0</v>
      </c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30400004</v>
      </c>
      <c r="B457" s="215" t="s">
        <v>419</v>
      </c>
      <c r="C457" s="187" t="s">
        <v>420</v>
      </c>
      <c r="D457" s="17"/>
      <c r="E457" s="17"/>
      <c r="F457" s="6"/>
      <c r="G457" s="93">
        <f>SUM('31:16'!G457)</f>
        <v>0</v>
      </c>
      <c r="H457" s="339">
        <f t="shared" si="175"/>
        <v>0</v>
      </c>
      <c r="I457" s="93">
        <f>SUM('31:16'!I457)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30400003</v>
      </c>
      <c r="B458" s="215" t="s">
        <v>419</v>
      </c>
      <c r="C458" s="187" t="s">
        <v>421</v>
      </c>
      <c r="D458" s="17"/>
      <c r="E458" s="17"/>
      <c r="F458" s="6"/>
      <c r="G458" s="93">
        <f>SUM('31:16'!G458)</f>
        <v>0</v>
      </c>
      <c r="H458" s="339">
        <f t="shared" si="175"/>
        <v>0</v>
      </c>
      <c r="I458" s="93">
        <f>SUM('31:16'!I458)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6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SUM('31:16'!G459)</f>
        <v>0</v>
      </c>
      <c r="H459" s="339">
        <f t="shared" si="175"/>
        <v>0</v>
      </c>
      <c r="I459" s="93">
        <f>SUM('31:16'!I459)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6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SUM('31:16'!G460)</f>
        <v>0</v>
      </c>
      <c r="H460" s="339">
        <f t="shared" si="175"/>
        <v>0</v>
      </c>
      <c r="I460" s="93">
        <f>SUM('31:16'!I460)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ref="N460:N462" si="182">SUM(O460:U460)</f>
        <v>0</v>
      </c>
      <c r="O460" s="93">
        <f>SUM('31:16'!O460)</f>
        <v>0</v>
      </c>
      <c r="P460" s="93">
        <f>SUM('31:16'!P460)</f>
        <v>0</v>
      </c>
      <c r="Q460" s="93">
        <f>SUM('31:16'!Q460)</f>
        <v>0</v>
      </c>
      <c r="R460" s="93">
        <f>SUM('31:16'!R460)</f>
        <v>0</v>
      </c>
      <c r="S460" s="93">
        <f>SUM('31:16'!S460)</f>
        <v>0</v>
      </c>
      <c r="T460" s="93">
        <f>SUM('31:16'!T460)</f>
        <v>0</v>
      </c>
      <c r="U460" s="93">
        <f>SUM('31:16'!U460)</f>
        <v>0</v>
      </c>
      <c r="V460" s="206">
        <f t="shared" ref="V460:V462" si="183">SUM(X460:AA460)</f>
        <v>0</v>
      </c>
      <c r="W460" s="33" t="str">
        <f t="shared" ref="W460:W484" si="184">IF(ISERROR(V460/G460),"",V460/G460)</f>
        <v/>
      </c>
      <c r="X460" s="93">
        <f>SUM('31:16'!X460)</f>
        <v>0</v>
      </c>
      <c r="Y460" s="93">
        <f>SUM('31:16'!Y460)</f>
        <v>0</v>
      </c>
      <c r="Z460" s="93">
        <f>SUM('31:16'!Z460)</f>
        <v>0</v>
      </c>
      <c r="AA460" s="93">
        <f>SUM('31:16'!AA460)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299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SUM('31:16'!G461)</f>
        <v>0</v>
      </c>
      <c r="H461" s="339">
        <f t="shared" si="175"/>
        <v>0</v>
      </c>
      <c r="I461" s="93">
        <f>SUM('31:16'!I461)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6"/>
        <v>0</v>
      </c>
      <c r="N461" s="31">
        <f t="shared" si="182"/>
        <v>0</v>
      </c>
      <c r="O461" s="93">
        <f>SUM('31:16'!O461)</f>
        <v>0</v>
      </c>
      <c r="P461" s="93">
        <f>SUM('31:16'!P461)</f>
        <v>0</v>
      </c>
      <c r="Q461" s="93">
        <f>SUM('31:16'!Q461)</f>
        <v>0</v>
      </c>
      <c r="R461" s="93">
        <f>SUM('31:16'!R461)</f>
        <v>0</v>
      </c>
      <c r="S461" s="93">
        <f>SUM('31:16'!S461)</f>
        <v>0</v>
      </c>
      <c r="T461" s="93">
        <f>SUM('31:16'!T461)</f>
        <v>0</v>
      </c>
      <c r="U461" s="93">
        <f>SUM('31:16'!U461)</f>
        <v>0</v>
      </c>
      <c r="V461" s="206">
        <f t="shared" si="183"/>
        <v>0</v>
      </c>
      <c r="W461" s="33" t="str">
        <f t="shared" si="184"/>
        <v/>
      </c>
      <c r="X461" s="93">
        <f>SUM('31:16'!X461)</f>
        <v>0</v>
      </c>
      <c r="Y461" s="93">
        <f>SUM('31:16'!Y461)</f>
        <v>0</v>
      </c>
      <c r="Z461" s="93">
        <f>SUM('31:16'!Z461)</f>
        <v>0</v>
      </c>
      <c r="AA461" s="93">
        <f>SUM('31:16'!AA461)</f>
        <v>0</v>
      </c>
      <c r="AB461" s="73"/>
      <c r="AC461" s="54"/>
      <c r="AD461" s="346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SUM('31:16'!G462)</f>
        <v>0</v>
      </c>
      <c r="H462" s="339">
        <f t="shared" si="175"/>
        <v>0</v>
      </c>
      <c r="I462" s="93">
        <f>SUM('31:16'!I462)</f>
        <v>0</v>
      </c>
      <c r="J462" s="31" t="str">
        <f t="array" ref="J462">IF(ISERROR(G462/I462),"",G462/I462)</f>
        <v/>
      </c>
      <c r="K462" s="339">
        <f t="array" ref="K462">IF(ISERROR(G462/L462),"",G462/L462)</f>
        <v>0</v>
      </c>
      <c r="L462" s="87">
        <v>9</v>
      </c>
      <c r="M462" s="36">
        <f t="shared" si="176"/>
        <v>0</v>
      </c>
      <c r="N462" s="31">
        <f t="shared" si="182"/>
        <v>0</v>
      </c>
      <c r="O462" s="93">
        <f>SUM('31:16'!O462)</f>
        <v>0</v>
      </c>
      <c r="P462" s="93">
        <f>SUM('31:16'!P462)</f>
        <v>0</v>
      </c>
      <c r="Q462" s="93">
        <f>SUM('31:16'!Q462)</f>
        <v>0</v>
      </c>
      <c r="R462" s="93">
        <f>SUM('31:16'!R462)</f>
        <v>0</v>
      </c>
      <c r="S462" s="93">
        <f>SUM('31:16'!S462)</f>
        <v>0</v>
      </c>
      <c r="T462" s="93">
        <f>SUM('31:16'!T462)</f>
        <v>0</v>
      </c>
      <c r="U462" s="93">
        <f>SUM('31:16'!U462)</f>
        <v>0</v>
      </c>
      <c r="V462" s="206">
        <f t="shared" si="183"/>
        <v>0</v>
      </c>
      <c r="W462" s="33" t="str">
        <f t="shared" si="184"/>
        <v/>
      </c>
      <c r="X462" s="93">
        <f>SUM('31:16'!X462)</f>
        <v>0</v>
      </c>
      <c r="Y462" s="93">
        <f>SUM('31:16'!Y462)</f>
        <v>0</v>
      </c>
      <c r="Z462" s="93">
        <f>SUM('31:16'!Z462)</f>
        <v>0</v>
      </c>
      <c r="AA462" s="93">
        <f>SUM('31:16'!AA462)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731" t="s">
        <v>92</v>
      </c>
      <c r="B463" s="732"/>
      <c r="C463" s="342" t="s">
        <v>71</v>
      </c>
      <c r="D463" s="20"/>
      <c r="E463" s="20"/>
      <c r="F463" s="32"/>
      <c r="G463" s="99">
        <f>SUM(G429:G462)</f>
        <v>11079</v>
      </c>
      <c r="H463" s="30">
        <f>SUM(H429:H462)</f>
        <v>55767.570000000007</v>
      </c>
      <c r="I463" s="30">
        <f>SUM(I429:I462)</f>
        <v>926</v>
      </c>
      <c r="J463" s="31">
        <f t="array" ref="J463">IF(ISERROR(G463/I463),"",G463/I463)</f>
        <v>11.964362850971922</v>
      </c>
      <c r="K463" s="30">
        <f>SUM(K429:K462)</f>
        <v>1187.250782013685</v>
      </c>
      <c r="L463" s="98"/>
      <c r="M463" s="89">
        <f t="shared" ref="M463:V463" si="185">SUM(M429:M462)</f>
        <v>-261.25078201368518</v>
      </c>
      <c r="N463" s="30">
        <f t="shared" si="185"/>
        <v>0</v>
      </c>
      <c r="O463" s="91">
        <f t="shared" si="185"/>
        <v>0</v>
      </c>
      <c r="P463" s="91">
        <f t="shared" si="185"/>
        <v>0</v>
      </c>
      <c r="Q463" s="91">
        <f t="shared" si="185"/>
        <v>0</v>
      </c>
      <c r="R463" s="91">
        <f t="shared" si="185"/>
        <v>0</v>
      </c>
      <c r="S463" s="92">
        <f t="shared" si="185"/>
        <v>0</v>
      </c>
      <c r="T463" s="91">
        <f t="shared" si="185"/>
        <v>0</v>
      </c>
      <c r="U463" s="91">
        <f t="shared" si="185"/>
        <v>0</v>
      </c>
      <c r="V463" s="206">
        <f t="shared" si="185"/>
        <v>0</v>
      </c>
      <c r="W463" s="33">
        <f t="shared" si="184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70"/>
      <c r="AD463" s="346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SUM('31:16'!G464)</f>
        <v>0</v>
      </c>
      <c r="H464" s="339">
        <f>D464*G464</f>
        <v>0</v>
      </c>
      <c r="I464" s="93">
        <f>SUM('31:16'!I464)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6">IF(ISERROR(I464-K464),"",I464-K464)</f>
        <v>0</v>
      </c>
      <c r="N464" s="31">
        <f t="shared" ref="N464:N478" si="187">SUM(O464:U464)</f>
        <v>0</v>
      </c>
      <c r="O464" s="93">
        <f>SUM('31:16'!O464)</f>
        <v>0</v>
      </c>
      <c r="P464" s="93">
        <f>SUM('31:16'!P464)</f>
        <v>0</v>
      </c>
      <c r="Q464" s="93">
        <f>SUM('31:16'!Q464)</f>
        <v>0</v>
      </c>
      <c r="R464" s="93">
        <f>SUM('31:16'!R464)</f>
        <v>0</v>
      </c>
      <c r="S464" s="93">
        <f>SUM('31:16'!S464)</f>
        <v>0</v>
      </c>
      <c r="T464" s="93">
        <f>SUM('31:16'!T464)</f>
        <v>0</v>
      </c>
      <c r="U464" s="93">
        <f>SUM('31:16'!U464)</f>
        <v>0</v>
      </c>
      <c r="V464" s="206">
        <f t="shared" ref="V464:V478" si="188">SUM(X464:AA464)</f>
        <v>0</v>
      </c>
      <c r="W464" s="33" t="str">
        <f t="shared" si="184"/>
        <v/>
      </c>
      <c r="X464" s="93">
        <f>SUM('31:16'!X464)</f>
        <v>0</v>
      </c>
      <c r="Y464" s="93">
        <f>SUM('31:16'!Y464)</f>
        <v>0</v>
      </c>
      <c r="Z464" s="93">
        <f>SUM('31:16'!Z464)</f>
        <v>0</v>
      </c>
      <c r="AA464" s="93">
        <f>SUM('31:16'!AA464)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SUM('31:16'!G465)</f>
        <v>0</v>
      </c>
      <c r="H465" s="339">
        <f t="shared" ref="H465:H478" si="189">D465*G465</f>
        <v>0</v>
      </c>
      <c r="I465" s="93">
        <f>SUM('31:16'!I465)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6"/>
        <v>0</v>
      </c>
      <c r="N465" s="31">
        <f t="shared" si="187"/>
        <v>0</v>
      </c>
      <c r="O465" s="93">
        <f>SUM('31:16'!O465)</f>
        <v>0</v>
      </c>
      <c r="P465" s="93">
        <f>SUM('31:16'!P465)</f>
        <v>0</v>
      </c>
      <c r="Q465" s="93">
        <f>SUM('31:16'!Q465)</f>
        <v>0</v>
      </c>
      <c r="R465" s="93">
        <f>SUM('31:16'!R465)</f>
        <v>0</v>
      </c>
      <c r="S465" s="93">
        <f>SUM('31:16'!S465)</f>
        <v>0</v>
      </c>
      <c r="T465" s="93">
        <f>SUM('31:16'!T465)</f>
        <v>0</v>
      </c>
      <c r="U465" s="93">
        <f>SUM('31:16'!U465)</f>
        <v>0</v>
      </c>
      <c r="V465" s="206">
        <f t="shared" si="188"/>
        <v>0</v>
      </c>
      <c r="W465" s="33" t="str">
        <f t="shared" si="184"/>
        <v/>
      </c>
      <c r="X465" s="93">
        <f>SUM('31:16'!X465)</f>
        <v>0</v>
      </c>
      <c r="Y465" s="93">
        <f>SUM('31:16'!Y465)</f>
        <v>0</v>
      </c>
      <c r="Z465" s="93">
        <f>SUM('31:16'!Z465)</f>
        <v>0</v>
      </c>
      <c r="AA465" s="93">
        <f>SUM('31:16'!AA465)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SUM('31:16'!G466)</f>
        <v>0</v>
      </c>
      <c r="H466" s="339">
        <f t="shared" si="189"/>
        <v>0</v>
      </c>
      <c r="I466" s="93">
        <f>SUM('31:16'!I466)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6"/>
        <v>0</v>
      </c>
      <c r="N466" s="31">
        <f t="shared" si="187"/>
        <v>0</v>
      </c>
      <c r="O466" s="93">
        <f>SUM('31:16'!O466)</f>
        <v>0</v>
      </c>
      <c r="P466" s="93">
        <f>SUM('31:16'!P466)</f>
        <v>0</v>
      </c>
      <c r="Q466" s="93">
        <f>SUM('31:16'!Q466)</f>
        <v>0</v>
      </c>
      <c r="R466" s="93">
        <f>SUM('31:16'!R466)</f>
        <v>0</v>
      </c>
      <c r="S466" s="93">
        <f>SUM('31:16'!S466)</f>
        <v>0</v>
      </c>
      <c r="T466" s="93">
        <f>SUM('31:16'!T466)</f>
        <v>0</v>
      </c>
      <c r="U466" s="93">
        <f>SUM('31:16'!U466)</f>
        <v>0</v>
      </c>
      <c r="V466" s="206">
        <f t="shared" si="188"/>
        <v>0</v>
      </c>
      <c r="W466" s="33" t="str">
        <f t="shared" si="184"/>
        <v/>
      </c>
      <c r="X466" s="93">
        <f>SUM('31:16'!X466)</f>
        <v>0</v>
      </c>
      <c r="Y466" s="93">
        <f>SUM('31:16'!Y466)</f>
        <v>0</v>
      </c>
      <c r="Z466" s="93">
        <f>SUM('31:16'!Z466)</f>
        <v>0</v>
      </c>
      <c r="AA466" s="93">
        <f>SUM('31:16'!AA466)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/>
      <c r="B467" s="63" t="s">
        <v>95</v>
      </c>
      <c r="C467" s="16" t="s">
        <v>82</v>
      </c>
      <c r="D467" s="17">
        <v>5.03</v>
      </c>
      <c r="E467" s="17"/>
      <c r="F467" s="6"/>
      <c r="G467" s="93">
        <f>SUM('31:16'!G467)</f>
        <v>0</v>
      </c>
      <c r="H467" s="339">
        <f t="shared" si="189"/>
        <v>0</v>
      </c>
      <c r="I467" s="93">
        <f>SUM('31:16'!I467)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SUM('31:16'!O467)</f>
        <v>0</v>
      </c>
      <c r="P467" s="93">
        <f>SUM('31:16'!P467)</f>
        <v>0</v>
      </c>
      <c r="Q467" s="93">
        <f>SUM('31:16'!Q467)</f>
        <v>0</v>
      </c>
      <c r="R467" s="93">
        <f>SUM('31:16'!R467)</f>
        <v>0</v>
      </c>
      <c r="S467" s="93">
        <f>SUM('31:16'!S467)</f>
        <v>0</v>
      </c>
      <c r="T467" s="93">
        <f>SUM('31:16'!T467)</f>
        <v>0</v>
      </c>
      <c r="U467" s="93">
        <f>SUM('31:16'!U467)</f>
        <v>0</v>
      </c>
      <c r="V467" s="206">
        <f t="shared" si="188"/>
        <v>0</v>
      </c>
      <c r="W467" s="33" t="str">
        <f t="shared" si="184"/>
        <v/>
      </c>
      <c r="X467" s="93">
        <f>SUM('31:16'!X467)</f>
        <v>0</v>
      </c>
      <c r="Y467" s="93">
        <f>SUM('31:16'!Y467)</f>
        <v>0</v>
      </c>
      <c r="Z467" s="93">
        <f>SUM('31:16'!Z467)</f>
        <v>0</v>
      </c>
      <c r="AA467" s="93">
        <f>SUM('31:16'!AA467)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>
        <v>30100054</v>
      </c>
      <c r="B468" s="63" t="s">
        <v>95</v>
      </c>
      <c r="C468" s="340" t="s">
        <v>72</v>
      </c>
      <c r="D468" s="17">
        <v>5.03</v>
      </c>
      <c r="E468" s="17"/>
      <c r="F468" s="6"/>
      <c r="G468" s="93">
        <f>SUM('31:16'!G468)</f>
        <v>0</v>
      </c>
      <c r="H468" s="339">
        <f t="shared" si="189"/>
        <v>0</v>
      </c>
      <c r="I468" s="93">
        <f>SUM('31:16'!I468)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SUM('31:16'!O468)</f>
        <v>0</v>
      </c>
      <c r="P468" s="93">
        <f>SUM('31:16'!P468)</f>
        <v>0</v>
      </c>
      <c r="Q468" s="93">
        <f>SUM('31:16'!Q468)</f>
        <v>0</v>
      </c>
      <c r="R468" s="93">
        <f>SUM('31:16'!R468)</f>
        <v>0</v>
      </c>
      <c r="S468" s="93">
        <f>SUM('31:16'!S468)</f>
        <v>0</v>
      </c>
      <c r="T468" s="93">
        <f>SUM('31:16'!T468)</f>
        <v>0</v>
      </c>
      <c r="U468" s="93">
        <f>SUM('31:16'!U468)</f>
        <v>0</v>
      </c>
      <c r="V468" s="206">
        <f t="shared" si="188"/>
        <v>0</v>
      </c>
      <c r="W468" s="33" t="str">
        <f t="shared" si="184"/>
        <v/>
      </c>
      <c r="X468" s="93">
        <f>SUM('31:16'!X468)</f>
        <v>0</v>
      </c>
      <c r="Y468" s="93">
        <f>SUM('31:16'!Y468)</f>
        <v>0</v>
      </c>
      <c r="Z468" s="93">
        <f>SUM('31:16'!Z468)</f>
        <v>0</v>
      </c>
      <c r="AA468" s="93">
        <f>SUM('31:16'!AA468)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SUM('31:16'!G469)</f>
        <v>0</v>
      </c>
      <c r="H469" s="339">
        <f t="shared" si="189"/>
        <v>0</v>
      </c>
      <c r="I469" s="93">
        <f>SUM('31:16'!I469)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SUM('31:16'!O469)</f>
        <v>0</v>
      </c>
      <c r="P469" s="93">
        <f>SUM('31:16'!P469)</f>
        <v>0</v>
      </c>
      <c r="Q469" s="93">
        <f>SUM('31:16'!Q469)</f>
        <v>0</v>
      </c>
      <c r="R469" s="93">
        <f>SUM('31:16'!R469)</f>
        <v>0</v>
      </c>
      <c r="S469" s="93">
        <f>SUM('31:16'!S469)</f>
        <v>0</v>
      </c>
      <c r="T469" s="93">
        <f>SUM('31:16'!T469)</f>
        <v>0</v>
      </c>
      <c r="U469" s="93">
        <f>SUM('31:16'!U469)</f>
        <v>0</v>
      </c>
      <c r="V469" s="206">
        <f t="shared" si="188"/>
        <v>0</v>
      </c>
      <c r="W469" s="33" t="str">
        <f t="shared" si="184"/>
        <v/>
      </c>
      <c r="X469" s="93">
        <f>SUM('31:16'!X469)</f>
        <v>0</v>
      </c>
      <c r="Y469" s="93">
        <f>SUM('31:16'!Y469)</f>
        <v>0</v>
      </c>
      <c r="Z469" s="93">
        <f>SUM('31:16'!Z469)</f>
        <v>0</v>
      </c>
      <c r="AA469" s="93">
        <f>SUM('31:16'!AA469)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/>
      <c r="B470" s="63" t="s">
        <v>95</v>
      </c>
      <c r="C470" s="16" t="s">
        <v>60</v>
      </c>
      <c r="D470" s="17">
        <v>5.03</v>
      </c>
      <c r="E470" s="17"/>
      <c r="F470" s="6"/>
      <c r="G470" s="93">
        <f>SUM('31:16'!G470)</f>
        <v>0</v>
      </c>
      <c r="H470" s="339">
        <f t="shared" si="189"/>
        <v>0</v>
      </c>
      <c r="I470" s="93">
        <f>SUM('31:16'!I470)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6"/>
        <v>0</v>
      </c>
      <c r="N470" s="31">
        <f t="shared" si="187"/>
        <v>0</v>
      </c>
      <c r="O470" s="93">
        <f>SUM('31:16'!O470)</f>
        <v>0</v>
      </c>
      <c r="P470" s="93">
        <f>SUM('31:16'!P470)</f>
        <v>0</v>
      </c>
      <c r="Q470" s="93">
        <f>SUM('31:16'!Q470)</f>
        <v>0</v>
      </c>
      <c r="R470" s="93">
        <f>SUM('31:16'!R470)</f>
        <v>0</v>
      </c>
      <c r="S470" s="93">
        <f>SUM('31:16'!S470)</f>
        <v>0</v>
      </c>
      <c r="T470" s="93">
        <f>SUM('31:16'!T470)</f>
        <v>0</v>
      </c>
      <c r="U470" s="93">
        <f>SUM('31:16'!U470)</f>
        <v>0</v>
      </c>
      <c r="V470" s="206">
        <f t="shared" si="188"/>
        <v>0</v>
      </c>
      <c r="W470" s="33" t="str">
        <f t="shared" si="184"/>
        <v/>
      </c>
      <c r="X470" s="93">
        <f>SUM('31:16'!X470)</f>
        <v>0</v>
      </c>
      <c r="Y470" s="93">
        <f>SUM('31:16'!Y470)</f>
        <v>0</v>
      </c>
      <c r="Z470" s="93">
        <f>SUM('31:16'!Z470)</f>
        <v>0</v>
      </c>
      <c r="AA470" s="93">
        <f>SUM('31:16'!AA470)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/>
      <c r="B471" s="63" t="s">
        <v>95</v>
      </c>
      <c r="C471" s="340" t="s">
        <v>96</v>
      </c>
      <c r="D471" s="17">
        <v>5.03</v>
      </c>
      <c r="E471" s="17"/>
      <c r="F471" s="6"/>
      <c r="G471" s="93">
        <f>SUM('31:16'!G471)</f>
        <v>0</v>
      </c>
      <c r="H471" s="339">
        <f t="shared" si="189"/>
        <v>0</v>
      </c>
      <c r="I471" s="93">
        <f>SUM('31:16'!I471)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6"/>
        <v>0</v>
      </c>
      <c r="N471" s="31">
        <f t="shared" si="187"/>
        <v>0</v>
      </c>
      <c r="O471" s="93">
        <f>SUM('31:16'!O471)</f>
        <v>0</v>
      </c>
      <c r="P471" s="93">
        <f>SUM('31:16'!P471)</f>
        <v>0</v>
      </c>
      <c r="Q471" s="93">
        <f>SUM('31:16'!Q471)</f>
        <v>0</v>
      </c>
      <c r="R471" s="93">
        <f>SUM('31:16'!R471)</f>
        <v>0</v>
      </c>
      <c r="S471" s="93">
        <f>SUM('31:16'!S471)</f>
        <v>0</v>
      </c>
      <c r="T471" s="93">
        <f>SUM('31:16'!T471)</f>
        <v>0</v>
      </c>
      <c r="U471" s="93">
        <f>SUM('31:16'!U471)</f>
        <v>0</v>
      </c>
      <c r="V471" s="206">
        <f t="shared" si="188"/>
        <v>0</v>
      </c>
      <c r="W471" s="33" t="str">
        <f t="shared" si="184"/>
        <v/>
      </c>
      <c r="X471" s="93">
        <f>SUM('31:16'!X471)</f>
        <v>0</v>
      </c>
      <c r="Y471" s="93">
        <f>SUM('31:16'!Y471)</f>
        <v>0</v>
      </c>
      <c r="Z471" s="93">
        <f>SUM('31:16'!Z471)</f>
        <v>0</v>
      </c>
      <c r="AA471" s="93">
        <f>SUM('31:16'!AA471)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30101067</v>
      </c>
      <c r="B472" s="63" t="s">
        <v>97</v>
      </c>
      <c r="C472" s="340" t="s">
        <v>82</v>
      </c>
      <c r="D472" s="17">
        <v>5.03</v>
      </c>
      <c r="E472" s="17"/>
      <c r="F472" s="6"/>
      <c r="G472" s="93">
        <f>SUM('31:16'!G472)</f>
        <v>0</v>
      </c>
      <c r="H472" s="339">
        <f t="shared" si="189"/>
        <v>0</v>
      </c>
      <c r="I472" s="93">
        <f>SUM('31:16'!I472)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SUM('31:16'!O472)</f>
        <v>0</v>
      </c>
      <c r="P472" s="93">
        <f>SUM('31:16'!P472)</f>
        <v>0</v>
      </c>
      <c r="Q472" s="93">
        <f>SUM('31:16'!Q472)</f>
        <v>0</v>
      </c>
      <c r="R472" s="93">
        <f>SUM('31:16'!R472)</f>
        <v>0</v>
      </c>
      <c r="S472" s="93">
        <f>SUM('31:16'!S472)</f>
        <v>0</v>
      </c>
      <c r="T472" s="93">
        <f>SUM('31:16'!T472)</f>
        <v>0</v>
      </c>
      <c r="U472" s="93">
        <f>SUM('31:16'!U472)</f>
        <v>0</v>
      </c>
      <c r="V472" s="206">
        <f t="shared" si="188"/>
        <v>0</v>
      </c>
      <c r="W472" s="33" t="str">
        <f t="shared" si="184"/>
        <v/>
      </c>
      <c r="X472" s="93">
        <f>SUM('31:16'!X472)</f>
        <v>0</v>
      </c>
      <c r="Y472" s="93">
        <f>SUM('31:16'!Y472)</f>
        <v>0</v>
      </c>
      <c r="Z472" s="93">
        <f>SUM('31:16'!Z472)</f>
        <v>0</v>
      </c>
      <c r="AA472" s="93">
        <f>SUM('31:16'!AA472)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30101068</v>
      </c>
      <c r="B473" s="63" t="s">
        <v>97</v>
      </c>
      <c r="C473" s="340" t="s">
        <v>72</v>
      </c>
      <c r="D473" s="17">
        <v>5.03</v>
      </c>
      <c r="E473" s="17"/>
      <c r="F473" s="6"/>
      <c r="G473" s="93">
        <f>SUM('31:16'!G473)</f>
        <v>0</v>
      </c>
      <c r="H473" s="339">
        <f t="shared" si="189"/>
        <v>0</v>
      </c>
      <c r="I473" s="93">
        <f>SUM('31:16'!I473)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SUM('31:16'!O473)</f>
        <v>0</v>
      </c>
      <c r="P473" s="93">
        <f>SUM('31:16'!P473)</f>
        <v>0</v>
      </c>
      <c r="Q473" s="93">
        <f>SUM('31:16'!Q473)</f>
        <v>0</v>
      </c>
      <c r="R473" s="93">
        <f>SUM('31:16'!R473)</f>
        <v>0</v>
      </c>
      <c r="S473" s="93">
        <f>SUM('31:16'!S473)</f>
        <v>0</v>
      </c>
      <c r="T473" s="93">
        <f>SUM('31:16'!T473)</f>
        <v>0</v>
      </c>
      <c r="U473" s="93">
        <f>SUM('31:16'!U473)</f>
        <v>0</v>
      </c>
      <c r="V473" s="206">
        <f t="shared" si="188"/>
        <v>0</v>
      </c>
      <c r="W473" s="33" t="str">
        <f t="shared" si="184"/>
        <v/>
      </c>
      <c r="X473" s="93">
        <f>SUM('31:16'!X473)</f>
        <v>0</v>
      </c>
      <c r="Y473" s="93">
        <f>SUM('31:16'!Y473)</f>
        <v>0</v>
      </c>
      <c r="Z473" s="93">
        <f>SUM('31:16'!Z473)</f>
        <v>0</v>
      </c>
      <c r="AA473" s="93">
        <f>SUM('31:16'!AA473)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30101069</v>
      </c>
      <c r="B474" s="63" t="s">
        <v>97</v>
      </c>
      <c r="C474" s="340" t="s">
        <v>60</v>
      </c>
      <c r="D474" s="17">
        <v>5.03</v>
      </c>
      <c r="E474" s="17"/>
      <c r="F474" s="6"/>
      <c r="G474" s="93">
        <f>SUM('31:16'!G474)</f>
        <v>0</v>
      </c>
      <c r="H474" s="339">
        <f t="shared" si="189"/>
        <v>0</v>
      </c>
      <c r="I474" s="93">
        <f>SUM('31:16'!I474)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SUM('31:16'!O474)</f>
        <v>0</v>
      </c>
      <c r="P474" s="93">
        <f>SUM('31:16'!P474)</f>
        <v>0</v>
      </c>
      <c r="Q474" s="93">
        <f>SUM('31:16'!Q474)</f>
        <v>0</v>
      </c>
      <c r="R474" s="93">
        <f>SUM('31:16'!R474)</f>
        <v>0</v>
      </c>
      <c r="S474" s="93">
        <f>SUM('31:16'!S474)</f>
        <v>0</v>
      </c>
      <c r="T474" s="93">
        <f>SUM('31:16'!T474)</f>
        <v>0</v>
      </c>
      <c r="U474" s="93">
        <f>SUM('31:16'!U474)</f>
        <v>0</v>
      </c>
      <c r="V474" s="206">
        <f t="shared" si="188"/>
        <v>0</v>
      </c>
      <c r="W474" s="33" t="str">
        <f t="shared" si="184"/>
        <v/>
      </c>
      <c r="X474" s="93">
        <f>SUM('31:16'!X474)</f>
        <v>0</v>
      </c>
      <c r="Y474" s="93">
        <f>SUM('31:16'!Y474)</f>
        <v>0</v>
      </c>
      <c r="Z474" s="93">
        <f>SUM('31:16'!Z474)</f>
        <v>0</v>
      </c>
      <c r="AA474" s="93">
        <f>SUM('31:16'!AA474)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299">
        <v>30101070</v>
      </c>
      <c r="B475" s="63" t="s">
        <v>97</v>
      </c>
      <c r="C475" s="340" t="s">
        <v>96</v>
      </c>
      <c r="D475" s="17">
        <v>5.03</v>
      </c>
      <c r="E475" s="17"/>
      <c r="F475" s="6"/>
      <c r="G475" s="93">
        <f>SUM('31:16'!G475)</f>
        <v>0</v>
      </c>
      <c r="H475" s="339">
        <f t="shared" si="189"/>
        <v>0</v>
      </c>
      <c r="I475" s="93">
        <f>SUM('31:16'!I475)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6"/>
        <v/>
      </c>
      <c r="N475" s="31">
        <f t="shared" si="187"/>
        <v>0</v>
      </c>
      <c r="O475" s="93">
        <f>SUM('31:16'!O475)</f>
        <v>0</v>
      </c>
      <c r="P475" s="93">
        <f>SUM('31:16'!P475)</f>
        <v>0</v>
      </c>
      <c r="Q475" s="93">
        <f>SUM('31:16'!Q475)</f>
        <v>0</v>
      </c>
      <c r="R475" s="93">
        <f>SUM('31:16'!R475)</f>
        <v>0</v>
      </c>
      <c r="S475" s="93">
        <f>SUM('31:16'!S475)</f>
        <v>0</v>
      </c>
      <c r="T475" s="93">
        <f>SUM('31:16'!T475)</f>
        <v>0</v>
      </c>
      <c r="U475" s="93">
        <f>SUM('31:16'!U475)</f>
        <v>0</v>
      </c>
      <c r="V475" s="206">
        <f t="shared" si="188"/>
        <v>0</v>
      </c>
      <c r="W475" s="33" t="str">
        <f t="shared" si="184"/>
        <v/>
      </c>
      <c r="X475" s="93">
        <f>SUM('31:16'!X475)</f>
        <v>0</v>
      </c>
      <c r="Y475" s="93">
        <f>SUM('31:16'!Y475)</f>
        <v>0</v>
      </c>
      <c r="Z475" s="93">
        <f>SUM('31:16'!Z475)</f>
        <v>0</v>
      </c>
      <c r="AA475" s="93">
        <f>SUM('31:16'!AA475)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299">
        <v>30101071</v>
      </c>
      <c r="B476" s="63" t="s">
        <v>97</v>
      </c>
      <c r="C476" s="340" t="s">
        <v>73</v>
      </c>
      <c r="D476" s="17">
        <v>5.03</v>
      </c>
      <c r="E476" s="17"/>
      <c r="F476" s="6"/>
      <c r="G476" s="93">
        <f>SUM('31:16'!G476)</f>
        <v>0</v>
      </c>
      <c r="H476" s="339">
        <f t="shared" si="189"/>
        <v>0</v>
      </c>
      <c r="I476" s="93">
        <f>SUM('31:16'!I476)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6"/>
        <v/>
      </c>
      <c r="N476" s="31">
        <f t="shared" si="187"/>
        <v>0</v>
      </c>
      <c r="O476" s="93">
        <f>SUM('31:16'!O476)</f>
        <v>0</v>
      </c>
      <c r="P476" s="93">
        <f>SUM('31:16'!P476)</f>
        <v>0</v>
      </c>
      <c r="Q476" s="93">
        <f>SUM('31:16'!Q476)</f>
        <v>0</v>
      </c>
      <c r="R476" s="93">
        <f>SUM('31:16'!R476)</f>
        <v>0</v>
      </c>
      <c r="S476" s="93">
        <f>SUM('31:16'!S476)</f>
        <v>0</v>
      </c>
      <c r="T476" s="93">
        <f>SUM('31:16'!T476)</f>
        <v>0</v>
      </c>
      <c r="U476" s="93">
        <f>SUM('31:16'!U476)</f>
        <v>0</v>
      </c>
      <c r="V476" s="206">
        <f t="shared" si="188"/>
        <v>0</v>
      </c>
      <c r="W476" s="33" t="str">
        <f t="shared" si="184"/>
        <v/>
      </c>
      <c r="X476" s="93">
        <f>SUM('31:16'!X476)</f>
        <v>0</v>
      </c>
      <c r="Y476" s="93">
        <f>SUM('31:16'!Y476)</f>
        <v>0</v>
      </c>
      <c r="Z476" s="93">
        <f>SUM('31:16'!Z476)</f>
        <v>0</v>
      </c>
      <c r="AA476" s="93">
        <f>SUM('31:16'!AA476)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300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SUM('31:16'!G477)</f>
        <v>0</v>
      </c>
      <c r="H477" s="339">
        <f t="shared" si="189"/>
        <v>0</v>
      </c>
      <c r="I477" s="93">
        <f>SUM('31:16'!I477)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6"/>
        <v>0</v>
      </c>
      <c r="N477" s="31">
        <f t="shared" si="187"/>
        <v>0</v>
      </c>
      <c r="O477" s="93">
        <f>SUM('31:16'!O477)</f>
        <v>0</v>
      </c>
      <c r="P477" s="93">
        <f>SUM('31:16'!P477)</f>
        <v>0</v>
      </c>
      <c r="Q477" s="93">
        <f>SUM('31:16'!Q477)</f>
        <v>0</v>
      </c>
      <c r="R477" s="93">
        <f>SUM('31:16'!R477)</f>
        <v>0</v>
      </c>
      <c r="S477" s="93">
        <f>SUM('31:16'!S477)</f>
        <v>0</v>
      </c>
      <c r="T477" s="93">
        <f>SUM('31:16'!T477)</f>
        <v>0</v>
      </c>
      <c r="U477" s="93">
        <f>SUM('31:16'!U477)</f>
        <v>0</v>
      </c>
      <c r="V477" s="206">
        <f t="shared" si="188"/>
        <v>0</v>
      </c>
      <c r="W477" s="33" t="str">
        <f t="shared" si="184"/>
        <v/>
      </c>
      <c r="X477" s="93">
        <f>SUM('31:16'!X477)</f>
        <v>0</v>
      </c>
      <c r="Y477" s="93">
        <f>SUM('31:16'!Y477)</f>
        <v>0</v>
      </c>
      <c r="Z477" s="93">
        <f>SUM('31:16'!Z477)</f>
        <v>0</v>
      </c>
      <c r="AA477" s="93">
        <f>SUM('31:16'!AA477)</f>
        <v>0</v>
      </c>
      <c r="AB477" s="73"/>
      <c r="AC477" s="54"/>
      <c r="AD477" s="346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SUM('31:16'!G478)</f>
        <v>0</v>
      </c>
      <c r="H478" s="339">
        <f t="shared" si="189"/>
        <v>0</v>
      </c>
      <c r="I478" s="93">
        <f>SUM('31:16'!I478)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6"/>
        <v>0</v>
      </c>
      <c r="N478" s="31">
        <f t="shared" si="187"/>
        <v>0</v>
      </c>
      <c r="O478" s="93">
        <f>SUM('31:16'!O478)</f>
        <v>0</v>
      </c>
      <c r="P478" s="93">
        <f>SUM('31:16'!P478)</f>
        <v>0</v>
      </c>
      <c r="Q478" s="93">
        <f>SUM('31:16'!Q478)</f>
        <v>0</v>
      </c>
      <c r="R478" s="93">
        <f>SUM('31:16'!R478)</f>
        <v>0</v>
      </c>
      <c r="S478" s="93">
        <f>SUM('31:16'!S478)</f>
        <v>0</v>
      </c>
      <c r="T478" s="93">
        <f>SUM('31:16'!T478)</f>
        <v>0</v>
      </c>
      <c r="U478" s="93">
        <f>SUM('31:16'!U478)</f>
        <v>0</v>
      </c>
      <c r="V478" s="206">
        <f t="shared" si="188"/>
        <v>0</v>
      </c>
      <c r="W478" s="33" t="str">
        <f t="shared" si="184"/>
        <v/>
      </c>
      <c r="X478" s="93">
        <f>SUM('31:16'!X478)</f>
        <v>0</v>
      </c>
      <c r="Y478" s="93">
        <f>SUM('31:16'!Y478)</f>
        <v>0</v>
      </c>
      <c r="Z478" s="93">
        <f>SUM('31:16'!Z478)</f>
        <v>0</v>
      </c>
      <c r="AA478" s="93">
        <f>SUM('31:16'!AA478)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731" t="s">
        <v>99</v>
      </c>
      <c r="B479" s="732"/>
      <c r="C479" s="342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0">SUM(M464:M478)</f>
        <v>0</v>
      </c>
      <c r="N479" s="30">
        <f t="shared" si="190"/>
        <v>0</v>
      </c>
      <c r="O479" s="30">
        <f t="shared" si="190"/>
        <v>0</v>
      </c>
      <c r="P479" s="30">
        <f t="shared" si="190"/>
        <v>0</v>
      </c>
      <c r="Q479" s="30">
        <f t="shared" si="190"/>
        <v>0</v>
      </c>
      <c r="R479" s="30">
        <f t="shared" si="190"/>
        <v>0</v>
      </c>
      <c r="S479" s="30">
        <f t="shared" si="190"/>
        <v>0</v>
      </c>
      <c r="T479" s="30">
        <f t="shared" si="190"/>
        <v>0</v>
      </c>
      <c r="U479" s="30">
        <f t="shared" si="190"/>
        <v>0</v>
      </c>
      <c r="V479" s="208">
        <f t="shared" si="190"/>
        <v>0</v>
      </c>
      <c r="W479" s="33" t="str">
        <f t="shared" si="184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70"/>
      <c r="AD479" s="346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30400025</v>
      </c>
      <c r="B480" s="192" t="s">
        <v>423</v>
      </c>
      <c r="C480" s="16" t="s">
        <v>53</v>
      </c>
      <c r="D480" s="17">
        <v>5.04</v>
      </c>
      <c r="E480" s="17"/>
      <c r="F480" s="6"/>
      <c r="G480" s="93">
        <f>SUM('31:16'!G480)</f>
        <v>0</v>
      </c>
      <c r="H480" s="339">
        <f t="shared" ref="H480:H489" si="191">D480*G480</f>
        <v>0</v>
      </c>
      <c r="I480" s="93">
        <f>SUM('31:16'!I480)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4" si="192">IF(ISERROR(I480-K480),"",I480-K480)</f>
        <v>0</v>
      </c>
      <c r="N480" s="31">
        <f t="shared" ref="N480:N484" si="193">SUM(O480:U480)</f>
        <v>0</v>
      </c>
      <c r="O480" s="93">
        <f>SUM('31:16'!O480)</f>
        <v>0</v>
      </c>
      <c r="P480" s="93">
        <f>SUM('31:16'!P480)</f>
        <v>0</v>
      </c>
      <c r="Q480" s="93">
        <f>SUM('31:16'!Q480)</f>
        <v>0</v>
      </c>
      <c r="R480" s="93">
        <f>SUM('31:16'!R480)</f>
        <v>0</v>
      </c>
      <c r="S480" s="93">
        <f>SUM('31:16'!S480)</f>
        <v>0</v>
      </c>
      <c r="T480" s="93">
        <f>SUM('31:16'!T480)</f>
        <v>0</v>
      </c>
      <c r="U480" s="93">
        <f>SUM('31:16'!U480)</f>
        <v>0</v>
      </c>
      <c r="V480" s="206">
        <f t="shared" ref="V480:V484" si="194">SUM(X480:AA480)</f>
        <v>0</v>
      </c>
      <c r="W480" s="33" t="str">
        <f t="shared" si="184"/>
        <v/>
      </c>
      <c r="X480" s="93">
        <f>SUM('31:16'!X480)</f>
        <v>0</v>
      </c>
      <c r="Y480" s="93">
        <f>SUM('31:16'!Y480)</f>
        <v>0</v>
      </c>
      <c r="Z480" s="93">
        <f>SUM('31:16'!Z480)</f>
        <v>0</v>
      </c>
      <c r="AA480" s="93">
        <f>SUM('31:16'!AA480)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>
        <v>30400023</v>
      </c>
      <c r="B481" s="192" t="s">
        <v>423</v>
      </c>
      <c r="C481" s="16" t="s">
        <v>60</v>
      </c>
      <c r="D481" s="17">
        <v>5.04</v>
      </c>
      <c r="E481" s="17"/>
      <c r="F481" s="6"/>
      <c r="G481" s="93">
        <f>SUM('31:16'!G481)</f>
        <v>0</v>
      </c>
      <c r="H481" s="339">
        <f t="shared" si="191"/>
        <v>0</v>
      </c>
      <c r="I481" s="93">
        <f>SUM('31:16'!I481)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SUM('31:16'!O481)</f>
        <v>0</v>
      </c>
      <c r="P481" s="93">
        <f>SUM('31:16'!P481)</f>
        <v>0</v>
      </c>
      <c r="Q481" s="93">
        <f>SUM('31:16'!Q481)</f>
        <v>0</v>
      </c>
      <c r="R481" s="93">
        <f>SUM('31:16'!R481)</f>
        <v>0</v>
      </c>
      <c r="S481" s="93">
        <f>SUM('31:16'!S481)</f>
        <v>0</v>
      </c>
      <c r="T481" s="93">
        <f>SUM('31:16'!T481)</f>
        <v>0</v>
      </c>
      <c r="U481" s="93">
        <f>SUM('31:16'!U481)</f>
        <v>0</v>
      </c>
      <c r="V481" s="206">
        <f t="shared" si="194"/>
        <v>0</v>
      </c>
      <c r="W481" s="33" t="str">
        <f t="shared" si="184"/>
        <v/>
      </c>
      <c r="X481" s="93">
        <f>SUM('31:16'!X481)</f>
        <v>0</v>
      </c>
      <c r="Y481" s="93">
        <f>SUM('31:16'!Y481)</f>
        <v>0</v>
      </c>
      <c r="Z481" s="93">
        <f>SUM('31:16'!Z481)</f>
        <v>0</v>
      </c>
      <c r="AA481" s="93">
        <f>SUM('31:16'!AA481)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>
        <v>30400024</v>
      </c>
      <c r="B482" s="192" t="s">
        <v>423</v>
      </c>
      <c r="C482" s="16" t="s">
        <v>74</v>
      </c>
      <c r="D482" s="17">
        <v>5.04</v>
      </c>
      <c r="E482" s="17"/>
      <c r="F482" s="6"/>
      <c r="G482" s="93">
        <f>SUM('31:16'!G482)</f>
        <v>0</v>
      </c>
      <c r="H482" s="339">
        <f t="shared" si="191"/>
        <v>0</v>
      </c>
      <c r="I482" s="93">
        <f>SUM('31:16'!I482)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SUM('31:16'!O482)</f>
        <v>0</v>
      </c>
      <c r="P482" s="93">
        <f>SUM('31:16'!P482)</f>
        <v>0</v>
      </c>
      <c r="Q482" s="93">
        <f>SUM('31:16'!Q482)</f>
        <v>0</v>
      </c>
      <c r="R482" s="93">
        <f>SUM('31:16'!R482)</f>
        <v>0</v>
      </c>
      <c r="S482" s="93">
        <f>SUM('31:16'!S482)</f>
        <v>0</v>
      </c>
      <c r="T482" s="93">
        <f>SUM('31:16'!T482)</f>
        <v>0</v>
      </c>
      <c r="U482" s="93">
        <f>SUM('31:16'!U482)</f>
        <v>0</v>
      </c>
      <c r="V482" s="206">
        <f t="shared" si="194"/>
        <v>0</v>
      </c>
      <c r="W482" s="33" t="str">
        <f t="shared" si="184"/>
        <v/>
      </c>
      <c r="X482" s="93">
        <f>SUM('31:16'!X482)</f>
        <v>0</v>
      </c>
      <c r="Y482" s="93">
        <f>SUM('31:16'!Y482)</f>
        <v>0</v>
      </c>
      <c r="Z482" s="93">
        <f>SUM('31:16'!Z482)</f>
        <v>0</v>
      </c>
      <c r="AA482" s="93">
        <f>SUM('31:16'!AA482)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/>
      <c r="B483" s="192" t="s">
        <v>423</v>
      </c>
      <c r="C483" s="16" t="s">
        <v>66</v>
      </c>
      <c r="D483" s="17">
        <v>5.04</v>
      </c>
      <c r="E483" s="17"/>
      <c r="F483" s="6"/>
      <c r="G483" s="93">
        <f>SUM('31:16'!G483)</f>
        <v>0</v>
      </c>
      <c r="H483" s="339">
        <f t="shared" si="191"/>
        <v>0</v>
      </c>
      <c r="I483" s="93">
        <f>SUM('31:16'!I483)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2"/>
        <v>0</v>
      </c>
      <c r="N483" s="31">
        <f t="shared" si="193"/>
        <v>0</v>
      </c>
      <c r="O483" s="93">
        <f>SUM('31:16'!O483)</f>
        <v>0</v>
      </c>
      <c r="P483" s="93">
        <f>SUM('31:16'!P483)</f>
        <v>0</v>
      </c>
      <c r="Q483" s="93">
        <f>SUM('31:16'!Q483)</f>
        <v>0</v>
      </c>
      <c r="R483" s="93">
        <f>SUM('31:16'!R483)</f>
        <v>0</v>
      </c>
      <c r="S483" s="93">
        <f>SUM('31:16'!S483)</f>
        <v>0</v>
      </c>
      <c r="T483" s="93">
        <f>SUM('31:16'!T483)</f>
        <v>0</v>
      </c>
      <c r="U483" s="93">
        <f>SUM('31:16'!U483)</f>
        <v>0</v>
      </c>
      <c r="V483" s="206">
        <f t="shared" si="194"/>
        <v>0</v>
      </c>
      <c r="W483" s="33" t="str">
        <f t="shared" si="184"/>
        <v/>
      </c>
      <c r="X483" s="93">
        <f>SUM('31:16'!X483)</f>
        <v>0</v>
      </c>
      <c r="Y483" s="93">
        <f>SUM('31:16'!Y483)</f>
        <v>0</v>
      </c>
      <c r="Z483" s="93">
        <f>SUM('31:16'!Z483)</f>
        <v>0</v>
      </c>
      <c r="AA483" s="93">
        <f>SUM('31:16'!AA483)</f>
        <v>0</v>
      </c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/>
      <c r="B484" s="192" t="s">
        <v>423</v>
      </c>
      <c r="C484" s="16" t="s">
        <v>101</v>
      </c>
      <c r="D484" s="17">
        <v>5.04</v>
      </c>
      <c r="E484" s="17"/>
      <c r="F484" s="6"/>
      <c r="G484" s="93">
        <f>SUM('31:16'!G484)</f>
        <v>0</v>
      </c>
      <c r="H484" s="339">
        <f t="shared" si="191"/>
        <v>0</v>
      </c>
      <c r="I484" s="93">
        <f>SUM('31:16'!I484)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2"/>
        <v>0</v>
      </c>
      <c r="N484" s="31">
        <f t="shared" si="193"/>
        <v>0</v>
      </c>
      <c r="O484" s="93">
        <f>SUM('31:16'!O484)</f>
        <v>0</v>
      </c>
      <c r="P484" s="93">
        <f>SUM('31:16'!P484)</f>
        <v>0</v>
      </c>
      <c r="Q484" s="93">
        <f>SUM('31:16'!Q484)</f>
        <v>0</v>
      </c>
      <c r="R484" s="93">
        <f>SUM('31:16'!R484)</f>
        <v>0</v>
      </c>
      <c r="S484" s="93">
        <f>SUM('31:16'!S484)</f>
        <v>0</v>
      </c>
      <c r="T484" s="93">
        <f>SUM('31:16'!T484)</f>
        <v>0</v>
      </c>
      <c r="U484" s="93">
        <f>SUM('31:16'!U484)</f>
        <v>0</v>
      </c>
      <c r="V484" s="206">
        <f t="shared" si="194"/>
        <v>0</v>
      </c>
      <c r="W484" s="33" t="str">
        <f t="shared" si="184"/>
        <v/>
      </c>
      <c r="X484" s="93">
        <f>SUM('31:16'!X484)</f>
        <v>0</v>
      </c>
      <c r="Y484" s="93">
        <f>SUM('31:16'!Y484)</f>
        <v>0</v>
      </c>
      <c r="Z484" s="93">
        <f>SUM('31:16'!Z484)</f>
        <v>0</v>
      </c>
      <c r="AA484" s="93">
        <f>SUM('31:16'!AA484)</f>
        <v>0</v>
      </c>
      <c r="AB484" s="73"/>
      <c r="AC484" s="54"/>
      <c r="AD484" s="346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SUM('31:16'!G485)</f>
        <v>0</v>
      </c>
      <c r="H485" s="339">
        <f t="shared" si="191"/>
        <v>0</v>
      </c>
      <c r="I485" s="93">
        <f>SUM('31:16'!I485)</f>
        <v>0</v>
      </c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346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SUM('31:16'!G486)</f>
        <v>0</v>
      </c>
      <c r="H486" s="378">
        <f t="shared" si="191"/>
        <v>0</v>
      </c>
      <c r="I486" s="93">
        <f>SUM('31:16'!I486)</f>
        <v>0</v>
      </c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73"/>
      <c r="AC486" s="54"/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300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SUM('31:16'!G487)</f>
        <v>0</v>
      </c>
      <c r="H487" s="378">
        <f t="shared" si="191"/>
        <v>0</v>
      </c>
      <c r="I487" s="93">
        <f>SUM('31:16'!I487)</f>
        <v>0</v>
      </c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73"/>
      <c r="AC487" s="54"/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300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>
        <f>SUM('31:16'!G488)</f>
        <v>0</v>
      </c>
      <c r="H488" s="450">
        <f t="shared" si="191"/>
        <v>0</v>
      </c>
      <c r="I488" s="93">
        <f>SUM('31:16'!I488)</f>
        <v>0</v>
      </c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73"/>
      <c r="AC488" s="54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300">
        <v>30400022</v>
      </c>
      <c r="B489" s="192" t="s">
        <v>423</v>
      </c>
      <c r="C489" s="16" t="s">
        <v>55</v>
      </c>
      <c r="D489" s="17">
        <v>5.04</v>
      </c>
      <c r="E489" s="17"/>
      <c r="F489" s="6"/>
      <c r="G489" s="93">
        <f>SUM('31:16'!G489)</f>
        <v>0</v>
      </c>
      <c r="H489" s="339">
        <f t="shared" si="191"/>
        <v>0</v>
      </c>
      <c r="I489" s="93">
        <f>SUM('31:16'!I489)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ref="M489" si="195">IF(ISERROR(I489-K489),"",I489-K489)</f>
        <v>0</v>
      </c>
      <c r="N489" s="31">
        <f t="shared" ref="N489" si="196">SUM(O489:U489)</f>
        <v>0</v>
      </c>
      <c r="O489" s="93">
        <f>SUM('31:16'!O489)</f>
        <v>0</v>
      </c>
      <c r="P489" s="93">
        <f>SUM('31:16'!P489)</f>
        <v>0</v>
      </c>
      <c r="Q489" s="93">
        <f>SUM('31:16'!Q489)</f>
        <v>0</v>
      </c>
      <c r="R489" s="93">
        <f>SUM('31:16'!R489)</f>
        <v>0</v>
      </c>
      <c r="S489" s="93">
        <f>SUM('31:16'!S489)</f>
        <v>0</v>
      </c>
      <c r="T489" s="93">
        <f>SUM('31:16'!T489)</f>
        <v>0</v>
      </c>
      <c r="U489" s="93">
        <f>SUM('31:16'!U489)</f>
        <v>0</v>
      </c>
      <c r="V489" s="206">
        <f t="shared" ref="V489" si="197">SUM(X489:AA489)</f>
        <v>0</v>
      </c>
      <c r="W489" s="33" t="str">
        <f t="shared" ref="W489:W494" si="198">IF(ISERROR(V489/G489),"",V489/G489)</f>
        <v/>
      </c>
      <c r="X489" s="93">
        <f>SUM('31:16'!X489)</f>
        <v>0</v>
      </c>
      <c r="Y489" s="93">
        <f>SUM('31:16'!Y489)</f>
        <v>0</v>
      </c>
      <c r="Z489" s="93">
        <f>SUM('31:16'!Z489)</f>
        <v>0</v>
      </c>
      <c r="AA489" s="93">
        <f>SUM('31:16'!AA489)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731" t="s">
        <v>102</v>
      </c>
      <c r="B490" s="732"/>
      <c r="C490" s="342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98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70"/>
      <c r="AD490" s="346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30700013</v>
      </c>
      <c r="B491" s="64" t="s">
        <v>103</v>
      </c>
      <c r="C491" s="335"/>
      <c r="D491" s="17">
        <v>3.65</v>
      </c>
      <c r="E491" s="17"/>
      <c r="F491" s="53"/>
      <c r="G491" s="93">
        <f>SUM('31:16'!G491)</f>
        <v>0</v>
      </c>
      <c r="H491" s="339">
        <f>D491*G491</f>
        <v>0</v>
      </c>
      <c r="I491" s="93">
        <f>SUM('31:16'!I491)</f>
        <v>0</v>
      </c>
      <c r="J491" s="31" t="str">
        <f t="array" ref="J491">IF(ISERROR(G491/I491),"",G491/I491)</f>
        <v/>
      </c>
      <c r="K491" s="339">
        <f t="array" ref="K491">IF(ISERROR(G491/L491),"",G491/L491)</f>
        <v>0</v>
      </c>
      <c r="L491" s="87">
        <v>5</v>
      </c>
      <c r="M491" s="36">
        <f t="shared" ref="M491:M494" si="199">IF(ISERROR(I491-K491),"",I491-K491)</f>
        <v>0</v>
      </c>
      <c r="N491" s="31">
        <f t="shared" ref="N491:N494" si="200">SUM(O491:U491)</f>
        <v>0</v>
      </c>
      <c r="O491" s="93">
        <f>SUM('31:16'!O491)</f>
        <v>0</v>
      </c>
      <c r="P491" s="93">
        <f>SUM('31:16'!P491)</f>
        <v>0</v>
      </c>
      <c r="Q491" s="93">
        <f>SUM('31:16'!Q491)</f>
        <v>0</v>
      </c>
      <c r="R491" s="93">
        <f>SUM('31:16'!R491)</f>
        <v>0</v>
      </c>
      <c r="S491" s="93">
        <f>SUM('31:16'!S491)</f>
        <v>0</v>
      </c>
      <c r="T491" s="93">
        <f>SUM('31:16'!T491)</f>
        <v>0</v>
      </c>
      <c r="U491" s="93">
        <f>SUM('31:16'!U491)</f>
        <v>0</v>
      </c>
      <c r="V491" s="206">
        <f t="shared" ref="V491:V494" si="201">SUM(X491:AA491)</f>
        <v>0</v>
      </c>
      <c r="W491" s="33" t="str">
        <f t="shared" si="198"/>
        <v/>
      </c>
      <c r="X491" s="93">
        <f>SUM('31:16'!X491)</f>
        <v>0</v>
      </c>
      <c r="Y491" s="93">
        <f>SUM('31:16'!Y491)</f>
        <v>0</v>
      </c>
      <c r="Z491" s="93">
        <f>SUM('31:16'!Z491)</f>
        <v>0</v>
      </c>
      <c r="AA491" s="93">
        <f>SUM('31:16'!AA491)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>
        <v>30700014</v>
      </c>
      <c r="B492" s="64" t="s">
        <v>0</v>
      </c>
      <c r="C492" s="335"/>
      <c r="D492" s="17">
        <v>6.58</v>
      </c>
      <c r="E492" s="17"/>
      <c r="F492" s="6"/>
      <c r="G492" s="93">
        <f>SUM('31:16'!G492)</f>
        <v>0</v>
      </c>
      <c r="H492" s="339">
        <f t="shared" ref="H492:H505" si="202">D492*G492</f>
        <v>0</v>
      </c>
      <c r="I492" s="93">
        <f>SUM('31:16'!I492)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9"/>
        <v>0</v>
      </c>
      <c r="N492" s="31">
        <f t="shared" si="200"/>
        <v>0</v>
      </c>
      <c r="O492" s="93">
        <f>SUM('31:16'!O492)</f>
        <v>0</v>
      </c>
      <c r="P492" s="93">
        <f>SUM('31:16'!P492)</f>
        <v>0</v>
      </c>
      <c r="Q492" s="93">
        <f>SUM('31:16'!Q492)</f>
        <v>0</v>
      </c>
      <c r="R492" s="93">
        <f>SUM('31:16'!R492)</f>
        <v>0</v>
      </c>
      <c r="S492" s="93">
        <f>SUM('31:16'!S492)</f>
        <v>0</v>
      </c>
      <c r="T492" s="93">
        <f>SUM('31:16'!T492)</f>
        <v>0</v>
      </c>
      <c r="U492" s="93">
        <f>SUM('31:16'!U492)</f>
        <v>0</v>
      </c>
      <c r="V492" s="206">
        <f t="shared" si="201"/>
        <v>0</v>
      </c>
      <c r="W492" s="33" t="str">
        <f t="shared" si="198"/>
        <v/>
      </c>
      <c r="X492" s="93">
        <f>SUM('31:16'!X492)</f>
        <v>0</v>
      </c>
      <c r="Y492" s="93">
        <f>SUM('31:16'!Y492)</f>
        <v>0</v>
      </c>
      <c r="Z492" s="93">
        <f>SUM('31:16'!Z492)</f>
        <v>0</v>
      </c>
      <c r="AA492" s="93">
        <f>SUM('31:16'!AA492)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30700016</v>
      </c>
      <c r="B493" s="64" t="s">
        <v>1</v>
      </c>
      <c r="C493" s="335"/>
      <c r="D493" s="17">
        <v>7.8</v>
      </c>
      <c r="E493" s="17"/>
      <c r="F493" s="6"/>
      <c r="G493" s="93">
        <f>SUM('31:16'!G493)</f>
        <v>0</v>
      </c>
      <c r="H493" s="339">
        <f t="shared" si="202"/>
        <v>0</v>
      </c>
      <c r="I493" s="93">
        <f>SUM('31:16'!I493)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9"/>
        <v>0</v>
      </c>
      <c r="N493" s="31">
        <f t="shared" si="200"/>
        <v>0</v>
      </c>
      <c r="O493" s="93">
        <f>SUM('31:16'!O493)</f>
        <v>0</v>
      </c>
      <c r="P493" s="93">
        <f>SUM('31:16'!P493)</f>
        <v>0</v>
      </c>
      <c r="Q493" s="93">
        <f>SUM('31:16'!Q493)</f>
        <v>0</v>
      </c>
      <c r="R493" s="93">
        <f>SUM('31:16'!R493)</f>
        <v>0</v>
      </c>
      <c r="S493" s="93">
        <f>SUM('31:16'!S493)</f>
        <v>0</v>
      </c>
      <c r="T493" s="93">
        <f>SUM('31:16'!T493)</f>
        <v>0</v>
      </c>
      <c r="U493" s="93">
        <f>SUM('31:16'!U493)</f>
        <v>0</v>
      </c>
      <c r="V493" s="206">
        <f t="shared" si="201"/>
        <v>0</v>
      </c>
      <c r="W493" s="33" t="str">
        <f t="shared" si="198"/>
        <v/>
      </c>
      <c r="X493" s="93">
        <f>SUM('31:16'!X493)</f>
        <v>0</v>
      </c>
      <c r="Y493" s="93">
        <f>SUM('31:16'!Y493)</f>
        <v>0</v>
      </c>
      <c r="Z493" s="93">
        <f>SUM('31:16'!Z493)</f>
        <v>0</v>
      </c>
      <c r="AA493" s="93">
        <f>SUM('31:16'!AA493)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299">
        <v>30700017</v>
      </c>
      <c r="B494" s="64" t="s">
        <v>2</v>
      </c>
      <c r="C494" s="335"/>
      <c r="D494" s="17">
        <v>4.4000000000000004</v>
      </c>
      <c r="E494" s="17"/>
      <c r="F494" s="6"/>
      <c r="G494" s="93">
        <f>SUM('31:16'!G494)</f>
        <v>0</v>
      </c>
      <c r="H494" s="339">
        <f t="shared" si="202"/>
        <v>0</v>
      </c>
      <c r="I494" s="93">
        <f>SUM('31:16'!I494)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9"/>
        <v>0</v>
      </c>
      <c r="N494" s="31">
        <f t="shared" si="200"/>
        <v>0</v>
      </c>
      <c r="O494" s="93">
        <f>SUM('31:16'!O494)</f>
        <v>0</v>
      </c>
      <c r="P494" s="93">
        <f>SUM('31:16'!P494)</f>
        <v>0</v>
      </c>
      <c r="Q494" s="93">
        <f>SUM('31:16'!Q494)</f>
        <v>0</v>
      </c>
      <c r="R494" s="93">
        <f>SUM('31:16'!R494)</f>
        <v>0</v>
      </c>
      <c r="S494" s="93">
        <f>SUM('31:16'!S494)</f>
        <v>0</v>
      </c>
      <c r="T494" s="93">
        <f>SUM('31:16'!T494)</f>
        <v>0</v>
      </c>
      <c r="U494" s="93">
        <f>SUM('31:16'!U494)</f>
        <v>0</v>
      </c>
      <c r="V494" s="206">
        <f t="shared" si="201"/>
        <v>0</v>
      </c>
      <c r="W494" s="33" t="str">
        <f t="shared" si="198"/>
        <v/>
      </c>
      <c r="X494" s="93">
        <f>SUM('31:16'!X494)</f>
        <v>0</v>
      </c>
      <c r="Y494" s="93">
        <f>SUM('31:16'!Y494)</f>
        <v>0</v>
      </c>
      <c r="Z494" s="93">
        <f>SUM('31:16'!Z494)</f>
        <v>0</v>
      </c>
      <c r="AA494" s="93">
        <f>SUM('31:16'!AA494)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299"/>
      <c r="B495" s="64" t="s">
        <v>358</v>
      </c>
      <c r="C495" s="188" t="s">
        <v>376</v>
      </c>
      <c r="D495" s="17"/>
      <c r="E495" s="17"/>
      <c r="F495" s="6"/>
      <c r="G495" s="93">
        <f>SUM('31:16'!G495)</f>
        <v>0</v>
      </c>
      <c r="H495" s="339">
        <f t="shared" si="202"/>
        <v>0</v>
      </c>
      <c r="I495" s="93">
        <f>SUM('31:16'!I495)</f>
        <v>0</v>
      </c>
      <c r="J495" s="31"/>
      <c r="K495" s="35"/>
      <c r="L495" s="87"/>
      <c r="M495" s="36"/>
      <c r="N495" s="31"/>
      <c r="O495" s="93">
        <f>SUM('31:16'!O495)</f>
        <v>0</v>
      </c>
      <c r="P495" s="93">
        <f>SUM('31:16'!P495)</f>
        <v>0</v>
      </c>
      <c r="Q495" s="93">
        <f>SUM('31:16'!Q495)</f>
        <v>0</v>
      </c>
      <c r="R495" s="93">
        <f>SUM('31:16'!R495)</f>
        <v>0</v>
      </c>
      <c r="S495" s="93">
        <f>SUM('31:16'!S495)</f>
        <v>0</v>
      </c>
      <c r="T495" s="93">
        <f>SUM('31:16'!T495)</f>
        <v>0</v>
      </c>
      <c r="U495" s="93">
        <f>SUM('31:16'!U495)</f>
        <v>0</v>
      </c>
      <c r="V495" s="206"/>
      <c r="W495" s="33"/>
      <c r="X495" s="93">
        <f>SUM('31:16'!X495)</f>
        <v>0</v>
      </c>
      <c r="Y495" s="93">
        <f>SUM('31:16'!Y495)</f>
        <v>0</v>
      </c>
      <c r="Z495" s="93">
        <f>SUM('31:16'!Z495)</f>
        <v>0</v>
      </c>
      <c r="AA495" s="93">
        <f>SUM('31:16'!AA495)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299">
        <v>30700001</v>
      </c>
      <c r="B496" s="191" t="s">
        <v>359</v>
      </c>
      <c r="C496" s="335"/>
      <c r="D496" s="17"/>
      <c r="E496" s="17"/>
      <c r="F496" s="6"/>
      <c r="G496" s="93">
        <f>SUM('31:16'!G496)</f>
        <v>0</v>
      </c>
      <c r="H496" s="339">
        <f t="shared" si="202"/>
        <v>0</v>
      </c>
      <c r="I496" s="93">
        <f>SUM('31:16'!I496)</f>
        <v>0</v>
      </c>
      <c r="J496" s="31"/>
      <c r="K496" s="35"/>
      <c r="L496" s="87">
        <v>6</v>
      </c>
      <c r="M496" s="36"/>
      <c r="N496" s="31"/>
      <c r="O496" s="93">
        <f>SUM('31:16'!O496)</f>
        <v>0</v>
      </c>
      <c r="P496" s="93">
        <f>SUM('31:16'!P496)</f>
        <v>0</v>
      </c>
      <c r="Q496" s="93">
        <f>SUM('31:16'!Q496)</f>
        <v>0</v>
      </c>
      <c r="R496" s="93">
        <f>SUM('31:16'!R496)</f>
        <v>0</v>
      </c>
      <c r="S496" s="93">
        <f>SUM('31:16'!S496)</f>
        <v>0</v>
      </c>
      <c r="T496" s="93">
        <f>SUM('31:16'!T496)</f>
        <v>0</v>
      </c>
      <c r="U496" s="93">
        <f>SUM('31:16'!U496)</f>
        <v>0</v>
      </c>
      <c r="V496" s="206"/>
      <c r="W496" s="33"/>
      <c r="X496" s="93">
        <f>SUM('31:16'!X496)</f>
        <v>0</v>
      </c>
      <c r="Y496" s="93">
        <f>SUM('31:16'!Y496)</f>
        <v>0</v>
      </c>
      <c r="Z496" s="93">
        <f>SUM('31:16'!Z496)</f>
        <v>0</v>
      </c>
      <c r="AA496" s="93">
        <f>SUM('31:16'!AA496)</f>
        <v>0</v>
      </c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/>
      <c r="B497" s="66" t="s">
        <v>104</v>
      </c>
      <c r="C497" s="335" t="s">
        <v>53</v>
      </c>
      <c r="D497" s="17">
        <v>6.04</v>
      </c>
      <c r="E497" s="17"/>
      <c r="F497" s="6"/>
      <c r="G497" s="93">
        <f>SUM('31:16'!G497)</f>
        <v>0</v>
      </c>
      <c r="H497" s="339">
        <f t="shared" si="202"/>
        <v>0</v>
      </c>
      <c r="I497" s="93">
        <f>SUM('31:16'!I497)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498" si="203">IF(ISERROR(I497-K497),"",I497-K497)</f>
        <v>0</v>
      </c>
      <c r="N497" s="31">
        <f t="shared" ref="N497:N498" si="204">SUM(O497:U497)</f>
        <v>0</v>
      </c>
      <c r="O497" s="93">
        <f>SUM('31:16'!O497)</f>
        <v>0</v>
      </c>
      <c r="P497" s="93">
        <f>SUM('31:16'!P497)</f>
        <v>0</v>
      </c>
      <c r="Q497" s="93">
        <f>SUM('31:16'!Q497)</f>
        <v>0</v>
      </c>
      <c r="R497" s="93">
        <f>SUM('31:16'!R497)</f>
        <v>0</v>
      </c>
      <c r="S497" s="93">
        <f>SUM('31:16'!S497)</f>
        <v>0</v>
      </c>
      <c r="T497" s="93">
        <f>SUM('31:16'!T497)</f>
        <v>0</v>
      </c>
      <c r="U497" s="93">
        <f>SUM('31:16'!U497)</f>
        <v>0</v>
      </c>
      <c r="V497" s="206">
        <f t="shared" ref="V497:V498" si="205">SUM(X497:AA497)</f>
        <v>0</v>
      </c>
      <c r="W497" s="33" t="str">
        <f t="shared" ref="W497:W498" si="206">IF(ISERROR(V497/G497),"",V497/G497)</f>
        <v/>
      </c>
      <c r="X497" s="93">
        <f>SUM('31:16'!X497)</f>
        <v>0</v>
      </c>
      <c r="Y497" s="93">
        <f>SUM('31:16'!Y497)</f>
        <v>0</v>
      </c>
      <c r="Z497" s="93">
        <f>SUM('31:16'!Z497)</f>
        <v>0</v>
      </c>
      <c r="AA497" s="93">
        <f>SUM('31:16'!AA497)</f>
        <v>0</v>
      </c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305">
        <v>30700019</v>
      </c>
      <c r="B498" s="66" t="s">
        <v>104</v>
      </c>
      <c r="C498" s="335" t="s">
        <v>60</v>
      </c>
      <c r="D498" s="17">
        <v>6.04</v>
      </c>
      <c r="E498" s="17"/>
      <c r="F498" s="6"/>
      <c r="G498" s="93">
        <f>SUM('31:16'!G498)</f>
        <v>0</v>
      </c>
      <c r="H498" s="339">
        <f t="shared" si="202"/>
        <v>0</v>
      </c>
      <c r="I498" s="93">
        <f>SUM('31:16'!I498)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3"/>
        <v>0</v>
      </c>
      <c r="N498" s="31">
        <f t="shared" si="204"/>
        <v>0</v>
      </c>
      <c r="O498" s="93">
        <f>SUM('31:16'!O498)</f>
        <v>0</v>
      </c>
      <c r="P498" s="93">
        <f>SUM('31:16'!P498)</f>
        <v>0</v>
      </c>
      <c r="Q498" s="93">
        <f>SUM('31:16'!Q498)</f>
        <v>0</v>
      </c>
      <c r="R498" s="93">
        <f>SUM('31:16'!R498)</f>
        <v>0</v>
      </c>
      <c r="S498" s="93">
        <f>SUM('31:16'!S498)</f>
        <v>0</v>
      </c>
      <c r="T498" s="93">
        <f>SUM('31:16'!T498)</f>
        <v>0</v>
      </c>
      <c r="U498" s="93">
        <f>SUM('31:16'!U498)</f>
        <v>0</v>
      </c>
      <c r="V498" s="206">
        <f t="shared" si="205"/>
        <v>0</v>
      </c>
      <c r="W498" s="33" t="str">
        <f t="shared" si="206"/>
        <v/>
      </c>
      <c r="X498" s="93">
        <f>SUM('31:16'!X498)</f>
        <v>0</v>
      </c>
      <c r="Y498" s="93">
        <f>SUM('31:16'!Y498)</f>
        <v>0</v>
      </c>
      <c r="Z498" s="93">
        <f>SUM('31:16'!Z498)</f>
        <v>0</v>
      </c>
      <c r="AA498" s="93">
        <f>SUM('31:16'!AA498)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305">
        <v>30601015</v>
      </c>
      <c r="B499" s="281" t="s">
        <v>443</v>
      </c>
      <c r="C499" s="335" t="s">
        <v>53</v>
      </c>
      <c r="D499" s="17"/>
      <c r="E499" s="17"/>
      <c r="F499" s="6"/>
      <c r="G499" s="93">
        <f>SUM('31:16'!G499)</f>
        <v>0</v>
      </c>
      <c r="H499" s="339">
        <f t="shared" si="202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305">
        <v>30101016</v>
      </c>
      <c r="B500" s="281" t="s">
        <v>443</v>
      </c>
      <c r="C500" s="335" t="s">
        <v>60</v>
      </c>
      <c r="D500" s="17"/>
      <c r="E500" s="17"/>
      <c r="F500" s="6"/>
      <c r="G500" s="93">
        <f>SUM('31:16'!G500)</f>
        <v>0</v>
      </c>
      <c r="H500" s="339">
        <f t="shared" si="202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SUM('31:16'!G501)</f>
        <v>0</v>
      </c>
      <c r="H501" s="339">
        <f t="shared" si="202"/>
        <v>0</v>
      </c>
      <c r="I501" s="93">
        <f>SUM('31:16'!I501)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ref="M501" si="207">IF(ISERROR(I501-K501),"",I501-K501)</f>
        <v>0</v>
      </c>
      <c r="N501" s="31">
        <f t="shared" ref="N501" si="208">SUM(O501:U501)</f>
        <v>0</v>
      </c>
      <c r="O501" s="93">
        <f>SUM('31:16'!O501)</f>
        <v>0</v>
      </c>
      <c r="P501" s="93">
        <f>SUM('31:16'!P501)</f>
        <v>0</v>
      </c>
      <c r="Q501" s="93">
        <f>SUM('31:16'!Q501)</f>
        <v>0</v>
      </c>
      <c r="R501" s="93">
        <f>SUM('31:16'!R501)</f>
        <v>0</v>
      </c>
      <c r="S501" s="93">
        <f>SUM('31:16'!S501)</f>
        <v>0</v>
      </c>
      <c r="T501" s="93">
        <f>SUM('31:16'!T501)</f>
        <v>0</v>
      </c>
      <c r="U501" s="93">
        <f>SUM('31:16'!U501)</f>
        <v>0</v>
      </c>
      <c r="V501" s="206">
        <f t="shared" ref="V501" si="209">SUM(X501:AA501)</f>
        <v>0</v>
      </c>
      <c r="W501" s="33" t="str">
        <f t="shared" ref="W501" si="210">IF(ISERROR(V501/G501),"",V501/G501)</f>
        <v/>
      </c>
      <c r="X501" s="93">
        <f>SUM('31:16'!X501)</f>
        <v>0</v>
      </c>
      <c r="Y501" s="93">
        <f>SUM('31:16'!Y501)</f>
        <v>0</v>
      </c>
      <c r="Z501" s="93">
        <f>SUM('31:16'!Z501)</f>
        <v>0</v>
      </c>
      <c r="AA501" s="93">
        <f>SUM('31:16'!AA501)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SUM('31:16'!G502)</f>
        <v>0</v>
      </c>
      <c r="H502" s="339">
        <f t="shared" si="202"/>
        <v>0</v>
      </c>
      <c r="I502" s="93">
        <f>SUM('31:16'!I502)</f>
        <v>0</v>
      </c>
      <c r="J502" s="31"/>
      <c r="K502" s="35"/>
      <c r="L502" s="87"/>
      <c r="M502" s="36"/>
      <c r="N502" s="31"/>
      <c r="O502" s="93">
        <f>SUM('31:16'!O502)</f>
        <v>0</v>
      </c>
      <c r="P502" s="93">
        <f>SUM('31:16'!P502)</f>
        <v>0</v>
      </c>
      <c r="Q502" s="93">
        <f>SUM('31:16'!Q502)</f>
        <v>0</v>
      </c>
      <c r="R502" s="93">
        <f>SUM('31:16'!R502)</f>
        <v>0</v>
      </c>
      <c r="S502" s="93">
        <f>SUM('31:16'!S502)</f>
        <v>0</v>
      </c>
      <c r="T502" s="93">
        <f>SUM('31:16'!T502)</f>
        <v>0</v>
      </c>
      <c r="U502" s="93">
        <f>SUM('31:16'!U502)</f>
        <v>0</v>
      </c>
      <c r="V502" s="206"/>
      <c r="W502" s="33"/>
      <c r="X502" s="93">
        <f>SUM('31:16'!X502)</f>
        <v>0</v>
      </c>
      <c r="Y502" s="93">
        <f>SUM('31:16'!Y502)</f>
        <v>0</v>
      </c>
      <c r="Z502" s="93">
        <f>SUM('31:16'!Z502)</f>
        <v>0</v>
      </c>
      <c r="AA502" s="93">
        <f>SUM('31:16'!AA502)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299">
        <v>30700015</v>
      </c>
      <c r="B503" s="336" t="s">
        <v>159</v>
      </c>
      <c r="C503" s="16"/>
      <c r="D503" s="17">
        <v>4.5</v>
      </c>
      <c r="E503" s="17"/>
      <c r="F503" s="6"/>
      <c r="G503" s="93">
        <f>SUM('31:16'!G503)</f>
        <v>0</v>
      </c>
      <c r="H503" s="339">
        <f t="shared" si="202"/>
        <v>0</v>
      </c>
      <c r="I503" s="93">
        <f>SUM('31:16'!I503)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73"/>
      <c r="AC503" s="54"/>
      <c r="AD503" s="346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>
      <c r="A504" s="299">
        <v>30700012</v>
      </c>
      <c r="B504" s="336" t="s">
        <v>160</v>
      </c>
      <c r="C504" s="16"/>
      <c r="D504" s="17">
        <v>4.5</v>
      </c>
      <c r="E504" s="17"/>
      <c r="F504" s="6"/>
      <c r="G504" s="93">
        <f>SUM('31:16'!G504)</f>
        <v>0</v>
      </c>
      <c r="H504" s="339">
        <f t="shared" si="202"/>
        <v>0</v>
      </c>
      <c r="I504" s="93">
        <f>SUM('31:16'!I504)</f>
        <v>0</v>
      </c>
      <c r="J504" s="31"/>
      <c r="K504" s="35"/>
      <c r="L504" s="87"/>
      <c r="M504" s="36"/>
      <c r="N504" s="31"/>
      <c r="O504" s="93">
        <f>SUM('31:16'!O504)</f>
        <v>0</v>
      </c>
      <c r="P504" s="93">
        <f>SUM('31:16'!P504)</f>
        <v>0</v>
      </c>
      <c r="Q504" s="93">
        <f>SUM('31:16'!Q504)</f>
        <v>0</v>
      </c>
      <c r="R504" s="93">
        <f>SUM('31:16'!R504)</f>
        <v>0</v>
      </c>
      <c r="S504" s="93">
        <f>SUM('31:16'!S504)</f>
        <v>0</v>
      </c>
      <c r="T504" s="93">
        <f>SUM('31:16'!T504)</f>
        <v>0</v>
      </c>
      <c r="U504" s="93">
        <f>SUM('31:16'!U504)</f>
        <v>0</v>
      </c>
      <c r="V504" s="206"/>
      <c r="W504" s="33"/>
      <c r="X504" s="93">
        <f>SUM('31:16'!X504)</f>
        <v>0</v>
      </c>
      <c r="Y504" s="93">
        <f>SUM('31:16'!Y504)</f>
        <v>0</v>
      </c>
      <c r="Z504" s="93">
        <f>SUM('31:16'!Z504)</f>
        <v>0</v>
      </c>
      <c r="AA504" s="93">
        <f>SUM('31:16'!AA504)</f>
        <v>0</v>
      </c>
      <c r="AB504" s="73"/>
      <c r="AC504" s="54"/>
      <c r="AD504" s="346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>
      <c r="A505" s="299"/>
      <c r="B505" s="336"/>
      <c r="C505" s="16"/>
      <c r="D505" s="17"/>
      <c r="E505" s="17"/>
      <c r="F505" s="6"/>
      <c r="G505" s="93">
        <f>SUM('31:16'!G505)</f>
        <v>0</v>
      </c>
      <c r="H505" s="339">
        <f t="shared" si="202"/>
        <v>0</v>
      </c>
      <c r="I505" s="93">
        <f>SUM('31:16'!I505)</f>
        <v>0</v>
      </c>
      <c r="J505" s="31"/>
      <c r="K505" s="35"/>
      <c r="L505" s="87"/>
      <c r="M505" s="36"/>
      <c r="N505" s="31"/>
      <c r="O505" s="93">
        <f>SUM('31:16'!O505)</f>
        <v>0</v>
      </c>
      <c r="P505" s="93">
        <f>SUM('31:16'!P505)</f>
        <v>0</v>
      </c>
      <c r="Q505" s="93">
        <f>SUM('31:16'!Q505)</f>
        <v>0</v>
      </c>
      <c r="R505" s="93">
        <f>SUM('31:16'!R505)</f>
        <v>0</v>
      </c>
      <c r="S505" s="93">
        <f>SUM('31:16'!S505)</f>
        <v>0</v>
      </c>
      <c r="T505" s="93">
        <f>SUM('31:16'!T505)</f>
        <v>0</v>
      </c>
      <c r="U505" s="93">
        <f>SUM('31:16'!U505)</f>
        <v>0</v>
      </c>
      <c r="V505" s="206"/>
      <c r="W505" s="33"/>
      <c r="X505" s="93">
        <f>SUM('31:16'!X505)</f>
        <v>0</v>
      </c>
      <c r="Y505" s="93">
        <f>SUM('31:16'!Y505)</f>
        <v>0</v>
      </c>
      <c r="Z505" s="93">
        <f>SUM('31:16'!Z505)</f>
        <v>0</v>
      </c>
      <c r="AA505" s="93">
        <f>SUM('31:16'!AA505)</f>
        <v>0</v>
      </c>
      <c r="AB505" s="73"/>
      <c r="AC505" s="54"/>
      <c r="AD505" s="346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>
      <c r="A506" s="731" t="s">
        <v>106</v>
      </c>
      <c r="B506" s="732"/>
      <c r="C506" s="342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11">SUM(M491:M501)</f>
        <v>0</v>
      </c>
      <c r="N506" s="20">
        <f t="shared" si="211"/>
        <v>0</v>
      </c>
      <c r="O506" s="91">
        <f t="shared" si="211"/>
        <v>0</v>
      </c>
      <c r="P506" s="91">
        <f t="shared" si="211"/>
        <v>0</v>
      </c>
      <c r="Q506" s="91">
        <f t="shared" si="211"/>
        <v>0</v>
      </c>
      <c r="R506" s="91">
        <f t="shared" si="211"/>
        <v>0</v>
      </c>
      <c r="S506" s="92">
        <f t="shared" si="211"/>
        <v>0</v>
      </c>
      <c r="T506" s="91">
        <f t="shared" si="211"/>
        <v>0</v>
      </c>
      <c r="U506" s="91">
        <f t="shared" si="211"/>
        <v>0</v>
      </c>
      <c r="V506" s="206">
        <f t="shared" si="211"/>
        <v>0</v>
      </c>
      <c r="W506" s="33" t="str">
        <f t="shared" ref="W506:W507" si="212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70"/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>
      <c r="A507" s="733" t="s">
        <v>108</v>
      </c>
      <c r="B507" s="734"/>
      <c r="C507" s="734"/>
      <c r="D507" s="734"/>
      <c r="E507" s="734"/>
      <c r="F507" s="735"/>
      <c r="G507" s="193">
        <f>SUM(G370,G428,G463,G479,G490,G506)</f>
        <v>11079</v>
      </c>
      <c r="H507" s="193">
        <f>SUM(H370,H428,H463,H479,H490,H506)</f>
        <v>55767.570000000007</v>
      </c>
      <c r="I507" s="193">
        <f>SUM(I370,I428,I463,I479,I490,I506)</f>
        <v>926</v>
      </c>
      <c r="J507" s="52">
        <f t="array" ref="J507">IF(ISERROR(G507/I507),"",G507/I507)</f>
        <v>11.964362850971922</v>
      </c>
      <c r="K507" s="193">
        <f>SUM(K370,K428,K463,K479,K490,K506)</f>
        <v>1187.250782013685</v>
      </c>
      <c r="L507" s="52">
        <f>IF(ISERROR(G507/K507),"",G507/K507)</f>
        <v>9.3316426216279353</v>
      </c>
      <c r="M507" s="193">
        <f t="shared" ref="M507:V507" si="213">SUM(M370,M428,M463,M479,M490,M506)</f>
        <v>-261.25078201368518</v>
      </c>
      <c r="N507" s="193">
        <f t="shared" si="213"/>
        <v>0</v>
      </c>
      <c r="O507" s="193">
        <f t="shared" si="213"/>
        <v>0</v>
      </c>
      <c r="P507" s="193">
        <f t="shared" si="213"/>
        <v>0</v>
      </c>
      <c r="Q507" s="193">
        <f t="shared" si="213"/>
        <v>0</v>
      </c>
      <c r="R507" s="193">
        <f t="shared" si="213"/>
        <v>0</v>
      </c>
      <c r="S507" s="193">
        <f t="shared" si="213"/>
        <v>0</v>
      </c>
      <c r="T507" s="193">
        <f t="shared" si="213"/>
        <v>0</v>
      </c>
      <c r="U507" s="193">
        <f t="shared" si="213"/>
        <v>0</v>
      </c>
      <c r="V507" s="193">
        <f t="shared" si="213"/>
        <v>0</v>
      </c>
      <c r="W507" s="78">
        <f t="shared" si="212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6"/>
      <c r="AC507" s="71"/>
      <c r="AD507" s="346"/>
      <c r="AE507" s="77"/>
      <c r="AF507" s="77"/>
      <c r="AG507" s="77"/>
      <c r="AH507" s="77"/>
      <c r="AI507" s="57"/>
      <c r="AJ507" s="57"/>
      <c r="AK507" s="57"/>
      <c r="AL507" s="736"/>
      <c r="AM507" s="736"/>
      <c r="AN507" s="736"/>
      <c r="AO507" s="736"/>
      <c r="AP507" s="736"/>
      <c r="AQ507" s="736"/>
      <c r="AR507" s="736"/>
      <c r="AS507" s="736"/>
      <c r="AT507" s="736"/>
      <c r="AU507" s="736"/>
      <c r="AV507" s="736"/>
      <c r="AW507" s="736"/>
      <c r="AX507" s="736"/>
      <c r="AY507" s="736"/>
      <c r="AZ507" s="736"/>
      <c r="BA507" s="736"/>
    </row>
    <row r="508" spans="1:53" ht="15.75" customHeight="1">
      <c r="A508" s="623" t="s">
        <v>503</v>
      </c>
      <c r="B508" s="337" t="s">
        <v>110</v>
      </c>
      <c r="C508" s="714" t="s">
        <v>111</v>
      </c>
      <c r="D508" s="714"/>
      <c r="E508" s="724" t="s">
        <v>112</v>
      </c>
      <c r="F508" s="724"/>
      <c r="G508" s="694" t="s">
        <v>113</v>
      </c>
      <c r="H508" s="694"/>
      <c r="I508" s="724" t="s">
        <v>114</v>
      </c>
      <c r="J508" s="724"/>
      <c r="K508" s="724" t="s">
        <v>36</v>
      </c>
      <c r="L508" s="724"/>
      <c r="M508" s="724" t="s">
        <v>115</v>
      </c>
      <c r="N508" s="724"/>
      <c r="O508" s="724" t="s">
        <v>116</v>
      </c>
      <c r="P508" s="694" t="s">
        <v>117</v>
      </c>
      <c r="Q508" s="694"/>
      <c r="R508" s="694" t="s">
        <v>36</v>
      </c>
      <c r="S508" s="694"/>
      <c r="T508" s="694" t="s">
        <v>118</v>
      </c>
      <c r="U508" s="694"/>
      <c r="V508" s="694" t="s">
        <v>119</v>
      </c>
      <c r="W508" s="694"/>
      <c r="X508" s="694" t="s">
        <v>36</v>
      </c>
      <c r="Y508" s="694"/>
      <c r="Z508" s="694" t="s">
        <v>118</v>
      </c>
      <c r="AA508" s="694"/>
      <c r="AB508" s="12"/>
      <c r="AC508" s="12"/>
      <c r="AD508" s="12"/>
      <c r="AE508" s="3"/>
      <c r="AF508" s="3"/>
      <c r="AG508" s="3"/>
      <c r="AH508" s="34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624"/>
      <c r="B509" s="337" t="s">
        <v>120</v>
      </c>
      <c r="C509" s="729">
        <f>SUM('31:16'!C509)</f>
        <v>0</v>
      </c>
      <c r="D509" s="730"/>
      <c r="E509" s="728">
        <f>D509*11</f>
        <v>0</v>
      </c>
      <c r="F509" s="728"/>
      <c r="G509" s="641">
        <v>0</v>
      </c>
      <c r="H509" s="642"/>
      <c r="I509" s="724">
        <f>G509*11</f>
        <v>0</v>
      </c>
      <c r="J509" s="724"/>
      <c r="K509" s="724">
        <f>E509-I509</f>
        <v>0</v>
      </c>
      <c r="L509" s="724"/>
      <c r="M509" s="726" t="str">
        <f>IF(ISERROR(K509/E509),"",K509/E509)</f>
        <v/>
      </c>
      <c r="N509" s="726"/>
      <c r="O509" s="724"/>
      <c r="P509" s="694" t="s">
        <v>70</v>
      </c>
      <c r="Q509" s="694"/>
      <c r="R509" s="717">
        <f>SUM(O370:U370)</f>
        <v>0</v>
      </c>
      <c r="S509" s="717"/>
      <c r="T509" s="725" t="str">
        <f t="array" ref="T509">IF(ISERROR(R509/R516),"",R509/R516)</f>
        <v/>
      </c>
      <c r="U509" s="725"/>
      <c r="V509" s="694" t="s">
        <v>41</v>
      </c>
      <c r="W509" s="694"/>
      <c r="X509" s="717">
        <f>SUM(O370,O428,O463,O479,O490,O506)</f>
        <v>0</v>
      </c>
      <c r="Y509" s="717"/>
      <c r="Z509" s="725" t="str">
        <f t="array" ref="Z509">IF(ISERROR(X509/X516),"",X509/X516)</f>
        <v/>
      </c>
      <c r="AA509" s="725"/>
      <c r="AB509" s="12"/>
      <c r="AC509" s="22"/>
      <c r="AD509" s="22"/>
      <c r="AE509" s="3"/>
      <c r="AF509" s="3"/>
      <c r="AG509" s="3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 ht="15.75" customHeight="1">
      <c r="A510" s="624"/>
      <c r="B510" s="337" t="s">
        <v>121</v>
      </c>
      <c r="C510" s="729">
        <f>SUM('31:16'!C510)</f>
        <v>0</v>
      </c>
      <c r="D510" s="730"/>
      <c r="E510" s="728">
        <f>D510*11</f>
        <v>0</v>
      </c>
      <c r="F510" s="728"/>
      <c r="G510" s="641">
        <v>0</v>
      </c>
      <c r="H510" s="642"/>
      <c r="I510" s="724">
        <f>G510*11</f>
        <v>0</v>
      </c>
      <c r="J510" s="724"/>
      <c r="K510" s="724">
        <f>E510-I510</f>
        <v>0</v>
      </c>
      <c r="L510" s="724"/>
      <c r="M510" s="726" t="str">
        <f>IF(ISERROR(K510/E510),"",K510/E510)</f>
        <v/>
      </c>
      <c r="N510" s="726"/>
      <c r="O510" s="724"/>
      <c r="P510" s="694" t="s">
        <v>86</v>
      </c>
      <c r="Q510" s="694"/>
      <c r="R510" s="717">
        <f>SUM(O428:U428)</f>
        <v>0</v>
      </c>
      <c r="S510" s="717"/>
      <c r="T510" s="725" t="str">
        <f>IF(ISERROR(R510/R516),"",R510/R516)</f>
        <v/>
      </c>
      <c r="U510" s="725"/>
      <c r="V510" s="694" t="s">
        <v>42</v>
      </c>
      <c r="W510" s="694"/>
      <c r="X510" s="717">
        <f>SUM(O371,O429,O464,O480,O491,O507)</f>
        <v>0</v>
      </c>
      <c r="Y510" s="717"/>
      <c r="Z510" s="725" t="str">
        <f>IF(ISERROR(X510/X516),"",X510/X516)</f>
        <v/>
      </c>
      <c r="AA510" s="725"/>
      <c r="AB510" s="12"/>
      <c r="AC510" s="22"/>
      <c r="AD510" s="22"/>
      <c r="AE510" s="3"/>
      <c r="AF510" s="3"/>
      <c r="AG510" s="3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21"/>
      <c r="AV510" s="21"/>
      <c r="AW510" s="21"/>
      <c r="AX510" s="21"/>
      <c r="AY510" s="21"/>
      <c r="AZ510" s="21"/>
      <c r="BA510" s="21"/>
    </row>
    <row r="511" spans="1:53">
      <c r="A511" s="624"/>
      <c r="B511" s="337" t="s">
        <v>122</v>
      </c>
      <c r="C511" s="729">
        <f>SUM('31:16'!C511)</f>
        <v>0</v>
      </c>
      <c r="D511" s="730"/>
      <c r="E511" s="728">
        <f>D511*11</f>
        <v>0</v>
      </c>
      <c r="F511" s="728"/>
      <c r="G511" s="641">
        <v>0</v>
      </c>
      <c r="H511" s="642"/>
      <c r="I511" s="724">
        <f>G511*11</f>
        <v>0</v>
      </c>
      <c r="J511" s="724"/>
      <c r="K511" s="724">
        <f>E511-I511</f>
        <v>0</v>
      </c>
      <c r="L511" s="724"/>
      <c r="M511" s="726" t="str">
        <f>IF(ISERROR(K511/E511),"",K511/E511)</f>
        <v/>
      </c>
      <c r="N511" s="726"/>
      <c r="O511" s="724"/>
      <c r="P511" s="694" t="s">
        <v>92</v>
      </c>
      <c r="Q511" s="694"/>
      <c r="R511" s="717">
        <f>SUM(O463:U463)</f>
        <v>0</v>
      </c>
      <c r="S511" s="717"/>
      <c r="T511" s="725" t="str">
        <f>IF(ISERROR(R511/R516),"",R511/R516)</f>
        <v/>
      </c>
      <c r="U511" s="725"/>
      <c r="V511" s="694" t="s">
        <v>43</v>
      </c>
      <c r="W511" s="694"/>
      <c r="X511" s="717">
        <f>SUM(O373,O430,O465,O481,O492,O508)</f>
        <v>0</v>
      </c>
      <c r="Y511" s="717"/>
      <c r="Z511" s="725" t="str">
        <f>IF(ISERROR(X511/X516),"",X511/X516)</f>
        <v/>
      </c>
      <c r="AA511" s="725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21"/>
      <c r="AV511" s="21"/>
      <c r="AW511" s="21"/>
      <c r="AX511" s="21"/>
      <c r="AY511" s="21"/>
      <c r="AZ511" s="21"/>
      <c r="BA511" s="21"/>
    </row>
    <row r="512" spans="1:53">
      <c r="A512" s="624"/>
      <c r="B512" s="337" t="s">
        <v>47</v>
      </c>
      <c r="C512" s="626">
        <v>1</v>
      </c>
      <c r="D512" s="627"/>
      <c r="E512" s="728">
        <f>D512*11</f>
        <v>0</v>
      </c>
      <c r="F512" s="728"/>
      <c r="G512" s="641">
        <v>1</v>
      </c>
      <c r="H512" s="642"/>
      <c r="I512" s="724">
        <f>G512*11</f>
        <v>11</v>
      </c>
      <c r="J512" s="724"/>
      <c r="K512" s="724">
        <f>E512-I512</f>
        <v>-11</v>
      </c>
      <c r="L512" s="724"/>
      <c r="M512" s="726" t="str">
        <f>IF(ISERROR(K512/E512),"",K512/E512)</f>
        <v/>
      </c>
      <c r="N512" s="726"/>
      <c r="O512" s="724"/>
      <c r="P512" s="694" t="s">
        <v>99</v>
      </c>
      <c r="Q512" s="694"/>
      <c r="R512" s="717">
        <f>SUM(O479:U479)</f>
        <v>0</v>
      </c>
      <c r="S512" s="717"/>
      <c r="T512" s="725" t="str">
        <f>IF(ISERROR(R512/R516),"",R512/R516)</f>
        <v/>
      </c>
      <c r="U512" s="725"/>
      <c r="V512" s="694" t="s">
        <v>44</v>
      </c>
      <c r="W512" s="694"/>
      <c r="X512" s="717">
        <f>SUM(O374,O431,O466,O482,O493,O509)</f>
        <v>0</v>
      </c>
      <c r="Y512" s="717"/>
      <c r="Z512" s="725" t="str">
        <f>IF(ISERROR(X512/X516),"",X512/X516)</f>
        <v/>
      </c>
      <c r="AA512" s="725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21"/>
      <c r="AV512" s="21"/>
      <c r="AW512" s="21"/>
      <c r="AX512" s="21"/>
      <c r="AY512" s="21"/>
      <c r="AZ512" s="21"/>
      <c r="BA512" s="21"/>
    </row>
    <row r="513" spans="1:53">
      <c r="A513" s="625"/>
      <c r="B513" s="337" t="s">
        <v>123</v>
      </c>
      <c r="C513" s="727">
        <f>SUM(C509:D512)</f>
        <v>1</v>
      </c>
      <c r="D513" s="724"/>
      <c r="E513" s="724">
        <f>SUM(F509:F512)</f>
        <v>0</v>
      </c>
      <c r="F513" s="724"/>
      <c r="G513" s="727">
        <f>SUM(G509:H512)</f>
        <v>1</v>
      </c>
      <c r="H513" s="724"/>
      <c r="I513" s="724">
        <f>SUM(I509:J512)</f>
        <v>11</v>
      </c>
      <c r="J513" s="724"/>
      <c r="K513" s="724">
        <f>SUM(K509:L512)</f>
        <v>-11</v>
      </c>
      <c r="L513" s="724"/>
      <c r="M513" s="726" t="str">
        <f>IF(ISERROR(K513/E513),"",K513/E513)</f>
        <v/>
      </c>
      <c r="N513" s="726"/>
      <c r="O513" s="724"/>
      <c r="P513" s="694" t="s">
        <v>102</v>
      </c>
      <c r="Q513" s="694"/>
      <c r="R513" s="717">
        <f>SUM(O490:U490)</f>
        <v>0</v>
      </c>
      <c r="S513" s="717"/>
      <c r="T513" s="725" t="str">
        <f>IF(ISERROR(R513/R516),"",R513/R516)</f>
        <v/>
      </c>
      <c r="U513" s="725"/>
      <c r="V513" s="694" t="s">
        <v>45</v>
      </c>
      <c r="W513" s="694"/>
      <c r="X513" s="717">
        <f>SUM(O375,O432,O467,O483,O494,O510)</f>
        <v>0</v>
      </c>
      <c r="Y513" s="717"/>
      <c r="Z513" s="725" t="str">
        <f>IF(ISERROR(X513/X516),"",X513/X516)</f>
        <v/>
      </c>
      <c r="AA513" s="725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09" t="s">
        <v>504</v>
      </c>
      <c r="B514" s="337">
        <f>G507</f>
        <v>11079</v>
      </c>
      <c r="C514" s="717" t="s">
        <v>155</v>
      </c>
      <c r="D514" s="717"/>
      <c r="E514" s="694">
        <f>H507</f>
        <v>55767.570000000007</v>
      </c>
      <c r="F514" s="694"/>
      <c r="G514" s="694" t="s">
        <v>34</v>
      </c>
      <c r="H514" s="694"/>
      <c r="I514" s="723">
        <f>L507</f>
        <v>9.3316426216279353</v>
      </c>
      <c r="J514" s="723"/>
      <c r="K514" s="724" t="s">
        <v>32</v>
      </c>
      <c r="L514" s="724"/>
      <c r="M514" s="723">
        <f>J507</f>
        <v>11.964362850971922</v>
      </c>
      <c r="N514" s="723"/>
      <c r="O514" s="724"/>
      <c r="P514" s="694" t="s">
        <v>106</v>
      </c>
      <c r="Q514" s="694"/>
      <c r="R514" s="717">
        <f>SUM(O506:U506)</f>
        <v>0</v>
      </c>
      <c r="S514" s="717"/>
      <c r="T514" s="725" t="str">
        <f>IF(ISERROR(R514/R516),"",R514/R516)</f>
        <v/>
      </c>
      <c r="U514" s="725"/>
      <c r="V514" s="694" t="s">
        <v>46</v>
      </c>
      <c r="W514" s="694"/>
      <c r="X514" s="717">
        <f>SUM(O376,O433,O468,O484,O495,O511)</f>
        <v>0</v>
      </c>
      <c r="Y514" s="717"/>
      <c r="Z514" s="725" t="str">
        <f>IF(ISERROR(X514/X516),"",X514/X516)</f>
        <v/>
      </c>
      <c r="AA514" s="725"/>
      <c r="AB514" s="12"/>
      <c r="AC514" s="22"/>
      <c r="AD514" s="22"/>
      <c r="AE514" s="3"/>
      <c r="AF514" s="3"/>
      <c r="AG514" s="346"/>
      <c r="AH514" s="346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43"/>
      <c r="AV514" s="343"/>
      <c r="AW514" s="343"/>
      <c r="AX514" s="343"/>
      <c r="AY514" s="343"/>
      <c r="AZ514" s="343"/>
      <c r="BA514" s="343"/>
    </row>
    <row r="515" spans="1:53" ht="15.75" customHeight="1">
      <c r="A515" s="310" t="s">
        <v>505</v>
      </c>
      <c r="B515" s="337">
        <f>I507+C513</f>
        <v>927</v>
      </c>
      <c r="C515" s="694" t="s">
        <v>114</v>
      </c>
      <c r="D515" s="694"/>
      <c r="E515" s="714">
        <f>K507+I513</f>
        <v>1198.250782013685</v>
      </c>
      <c r="F515" s="714"/>
      <c r="G515" s="694" t="s">
        <v>150</v>
      </c>
      <c r="H515" s="694"/>
      <c r="I515" s="723">
        <f>B515-E515</f>
        <v>-271.25078201368501</v>
      </c>
      <c r="J515" s="723"/>
      <c r="K515" s="724" t="s">
        <v>151</v>
      </c>
      <c r="L515" s="724"/>
      <c r="M515" s="726">
        <f>IF(ISERROR(I515/B515),"",I515/B515)</f>
        <v>-0.29261141533299356</v>
      </c>
      <c r="N515" s="726"/>
      <c r="O515" s="724"/>
      <c r="P515" s="694" t="s">
        <v>107</v>
      </c>
      <c r="Q515" s="694"/>
      <c r="R515" s="717"/>
      <c r="S515" s="717"/>
      <c r="T515" s="725" t="str">
        <f>IF(ISERROR(R515/R516),"",R515/R516)</f>
        <v/>
      </c>
      <c r="U515" s="725"/>
      <c r="V515" s="694" t="s">
        <v>47</v>
      </c>
      <c r="W515" s="694"/>
      <c r="X515" s="717">
        <f>SUM(O377,O434,O469,O489,O496,O512)</f>
        <v>0</v>
      </c>
      <c r="Y515" s="717"/>
      <c r="Z515" s="725" t="str">
        <f>IF(ISERROR(X515/X516),"",X515/X516)</f>
        <v/>
      </c>
      <c r="AA515" s="725"/>
      <c r="AB515" s="12"/>
      <c r="AC515" s="22"/>
      <c r="AD515" s="22"/>
      <c r="AE515" s="3"/>
      <c r="AF515" s="3"/>
      <c r="AG515" s="346"/>
      <c r="AH515" s="346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43"/>
      <c r="AV515" s="343"/>
      <c r="AW515" s="343"/>
      <c r="AX515" s="343"/>
      <c r="AY515" s="343"/>
      <c r="AZ515" s="343"/>
      <c r="BA515" s="343"/>
    </row>
    <row r="516" spans="1:53" ht="15.75" customHeight="1">
      <c r="A516" s="310" t="s">
        <v>507</v>
      </c>
      <c r="B516" s="337">
        <f>N507</f>
        <v>0</v>
      </c>
      <c r="C516" s="694" t="s">
        <v>149</v>
      </c>
      <c r="D516" s="694"/>
      <c r="E516" s="725">
        <f>IF(ISERROR(B516/B515),"",B516/B515)</f>
        <v>0</v>
      </c>
      <c r="F516" s="725"/>
      <c r="G516" s="694" t="s">
        <v>158</v>
      </c>
      <c r="H516" s="694"/>
      <c r="I516" s="724">
        <f>V507</f>
        <v>0</v>
      </c>
      <c r="J516" s="724"/>
      <c r="K516" s="724" t="s">
        <v>156</v>
      </c>
      <c r="L516" s="724"/>
      <c r="M516" s="726">
        <f t="array" ref="M516">IF(ISERROR(I516/B514),"",I516/B514)</f>
        <v>0</v>
      </c>
      <c r="N516" s="726"/>
      <c r="O516" s="724"/>
      <c r="P516" s="694" t="s">
        <v>123</v>
      </c>
      <c r="Q516" s="694"/>
      <c r="R516" s="717">
        <f>SUM(R509:S515)</f>
        <v>0</v>
      </c>
      <c r="S516" s="717"/>
      <c r="T516" s="725">
        <f>SUM(T509:U515)</f>
        <v>0</v>
      </c>
      <c r="U516" s="725"/>
      <c r="V516" s="694" t="s">
        <v>123</v>
      </c>
      <c r="W516" s="694"/>
      <c r="X516" s="717">
        <f>SUM(X509:Y515)</f>
        <v>0</v>
      </c>
      <c r="Y516" s="717"/>
      <c r="Z516" s="725">
        <f>SUM(Z509:AA515)</f>
        <v>0</v>
      </c>
      <c r="AA516" s="725"/>
      <c r="AB516" s="12"/>
      <c r="AC516" s="22"/>
      <c r="AD516" s="22"/>
      <c r="AE516" s="3"/>
      <c r="AF516" s="3"/>
      <c r="AG516" s="346"/>
      <c r="AH516" s="346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43"/>
      <c r="AV516" s="343"/>
      <c r="AW516" s="343"/>
      <c r="AX516" s="343"/>
      <c r="AY516" s="343"/>
      <c r="AZ516" s="343"/>
      <c r="BA516" s="343"/>
    </row>
    <row r="517" spans="1:53" ht="17.25">
      <c r="A517" s="329" t="s">
        <v>508</v>
      </c>
      <c r="B517" s="341"/>
      <c r="C517" s="7"/>
      <c r="D517" s="7"/>
      <c r="E517" s="15"/>
      <c r="F517" s="15"/>
      <c r="G517" s="718" t="str">
        <f>IF(ISERROR(#REF!/#REF!),"",#REF!/#REF!)</f>
        <v/>
      </c>
      <c r="H517" s="718"/>
      <c r="I517" s="718"/>
      <c r="J517" s="8"/>
      <c r="K517" s="47"/>
      <c r="L517" s="12"/>
      <c r="M517" s="12"/>
      <c r="N517" s="718" t="str">
        <f>IF(ISERROR(G517/#REF!),"",G517/#REF!)</f>
        <v/>
      </c>
      <c r="O517" s="718"/>
      <c r="P517" s="718"/>
      <c r="Q517" s="718"/>
      <c r="R517" s="718"/>
      <c r="S517" s="346"/>
      <c r="T517" s="15"/>
      <c r="U517" s="15"/>
      <c r="V517" s="209"/>
      <c r="W517" s="8"/>
      <c r="X517" s="9"/>
      <c r="Y517" s="9"/>
      <c r="Z517" s="9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9"/>
      <c r="AN517" s="9"/>
      <c r="AO517" s="9"/>
      <c r="AP517" s="9"/>
      <c r="AQ517" s="9"/>
      <c r="AR517" s="9"/>
      <c r="AS517" s="12"/>
      <c r="AT517" s="12"/>
      <c r="AU517" s="12"/>
      <c r="AV517" s="12"/>
      <c r="AW517" s="12"/>
      <c r="AX517" s="12"/>
      <c r="AY517" s="12"/>
      <c r="AZ517" s="12"/>
      <c r="BA517" s="12"/>
    </row>
    <row r="518" spans="1:53" ht="15.75" customHeight="1">
      <c r="A518" s="311" t="s">
        <v>509</v>
      </c>
      <c r="B518" s="341"/>
      <c r="C518" s="7"/>
      <c r="D518" s="7"/>
      <c r="E518" s="7"/>
      <c r="F518" s="7"/>
      <c r="G518" s="11"/>
      <c r="H518" s="7"/>
      <c r="I518" s="11"/>
      <c r="J518" s="44"/>
      <c r="K518" s="48"/>
      <c r="L518" s="7"/>
      <c r="M518" s="7"/>
      <c r="N518" s="7"/>
      <c r="O518" s="7"/>
      <c r="P518" s="7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>
      <c r="A519" s="717" t="s">
        <v>157</v>
      </c>
      <c r="B519" s="717"/>
      <c r="C519" s="714">
        <f>SUM(B171,B342,B514)</f>
        <v>193621</v>
      </c>
      <c r="D519" s="714"/>
      <c r="E519" s="717" t="s">
        <v>124</v>
      </c>
      <c r="F519" s="717"/>
      <c r="G519" s="714">
        <f>SUM(E171,E342,E514)</f>
        <v>965003.74</v>
      </c>
      <c r="H519" s="714"/>
      <c r="I519" s="694" t="s">
        <v>34</v>
      </c>
      <c r="J519" s="717"/>
      <c r="K519" s="719">
        <f>IF(ISERROR(C519/G520),"",C519/G520)</f>
        <v>16.789248334332729</v>
      </c>
      <c r="L519" s="720"/>
      <c r="M519" s="694" t="s">
        <v>32</v>
      </c>
      <c r="N519" s="694"/>
      <c r="O519" s="721">
        <f t="array" ref="O519">IF(ISERROR(C519/C520),"",C519/C520)</f>
        <v>17.112552321963914</v>
      </c>
      <c r="P519" s="722"/>
      <c r="Q519" s="7"/>
      <c r="R519" s="7"/>
      <c r="S519" s="7"/>
      <c r="T519" s="7"/>
      <c r="U519" s="18"/>
      <c r="V519" s="210"/>
      <c r="W519" s="18"/>
      <c r="X519" s="7"/>
      <c r="Y519" s="7"/>
      <c r="Z519" s="7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94" t="s">
        <v>125</v>
      </c>
      <c r="B520" s="694"/>
      <c r="C520" s="714">
        <f>SUM(B172,B343,B515)</f>
        <v>11314.56</v>
      </c>
      <c r="D520" s="714"/>
      <c r="E520" s="694" t="s">
        <v>114</v>
      </c>
      <c r="F520" s="694"/>
      <c r="G520" s="714">
        <f>SUM(E172,E343,E515)</f>
        <v>11532.440055941031</v>
      </c>
      <c r="H520" s="714"/>
      <c r="I520" s="701" t="s">
        <v>150</v>
      </c>
      <c r="J520" s="702"/>
      <c r="K520" s="705">
        <f>C520-G520</f>
        <v>-217.88005594103197</v>
      </c>
      <c r="L520" s="704"/>
      <c r="M520" s="705" t="s">
        <v>151</v>
      </c>
      <c r="N520" s="704"/>
      <c r="O520" s="715">
        <f>IF(ISERROR(K520/C520),"",K520/C520)</f>
        <v>-1.9256608824473245E-2</v>
      </c>
      <c r="P520" s="716"/>
      <c r="Q520" s="7"/>
      <c r="R520" s="7"/>
      <c r="S520" s="7"/>
      <c r="T520" s="7"/>
      <c r="U520" s="18"/>
      <c r="V520" s="210"/>
      <c r="W520" s="18"/>
      <c r="X520" s="7"/>
      <c r="Y520" s="7"/>
      <c r="Z520" s="7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7"/>
      <c r="AN520" s="7"/>
      <c r="AO520" s="7"/>
      <c r="AP520" s="7"/>
      <c r="AQ520" s="7"/>
      <c r="AR520" s="7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>
      <c r="A521" s="701" t="s">
        <v>148</v>
      </c>
      <c r="B521" s="702"/>
      <c r="C521" s="714">
        <f>SUM(B173,B344,B516)</f>
        <v>0</v>
      </c>
      <c r="D521" s="714"/>
      <c r="E521" s="701" t="s">
        <v>149</v>
      </c>
      <c r="F521" s="702"/>
      <c r="G521" s="715">
        <f>IF(ISERROR(C521/C520),"",C521/C520)</f>
        <v>0</v>
      </c>
      <c r="H521" s="716"/>
      <c r="I521" s="694" t="s">
        <v>126</v>
      </c>
      <c r="J521" s="717"/>
      <c r="K521" s="714">
        <f>SUM(I173,I344,I516)</f>
        <v>0</v>
      </c>
      <c r="L521" s="714"/>
      <c r="M521" s="717" t="s">
        <v>127</v>
      </c>
      <c r="N521" s="717"/>
      <c r="O521" s="715">
        <f t="array" ref="O521">IF(ISERROR(K521/C519),"",K521/C519)</f>
        <v>0</v>
      </c>
      <c r="P521" s="716"/>
      <c r="Q521" s="7"/>
      <c r="R521" s="7"/>
      <c r="S521" s="7"/>
      <c r="T521" s="7"/>
      <c r="U521" s="18"/>
      <c r="V521" s="210"/>
      <c r="W521" s="18"/>
      <c r="X521" s="7"/>
      <c r="Y521" s="7"/>
      <c r="Z521" s="7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7"/>
      <c r="AN521" s="7"/>
      <c r="AO521" s="7"/>
      <c r="AP521" s="7"/>
      <c r="AQ521" s="7"/>
      <c r="AR521" s="7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 ht="17.25">
      <c r="A522" s="311" t="s">
        <v>510</v>
      </c>
      <c r="B522" s="19"/>
      <c r="C522" s="26"/>
      <c r="D522" s="26"/>
      <c r="E522" s="25"/>
      <c r="F522" s="25"/>
      <c r="G522" s="346"/>
      <c r="H522" s="22"/>
      <c r="I522" s="346"/>
      <c r="J522" s="8"/>
      <c r="K522" s="54"/>
      <c r="L522" s="344"/>
      <c r="M522" s="344"/>
      <c r="N522" s="15"/>
      <c r="O522" s="15"/>
      <c r="P522" s="15"/>
      <c r="Q522" s="15"/>
      <c r="R522" s="15"/>
      <c r="S522" s="15"/>
      <c r="T522" s="344"/>
      <c r="U522" s="344"/>
      <c r="V522" s="211"/>
      <c r="W522" s="344"/>
      <c r="X522" s="12"/>
      <c r="Y522" s="12"/>
      <c r="Z522" s="12"/>
      <c r="AA522" s="4"/>
      <c r="AB522" s="4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7"/>
      <c r="AN522" s="7"/>
      <c r="AO522" s="7"/>
      <c r="AP522" s="7"/>
      <c r="AQ522" s="7"/>
      <c r="AR522" s="7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701" t="s">
        <v>130</v>
      </c>
      <c r="B523" s="702"/>
      <c r="C523" s="701" t="s">
        <v>131</v>
      </c>
      <c r="D523" s="702"/>
      <c r="E523" s="701" t="s">
        <v>118</v>
      </c>
      <c r="F523" s="702"/>
      <c r="G523" s="708" t="s">
        <v>116</v>
      </c>
      <c r="H523" s="709"/>
      <c r="I523" s="701" t="s">
        <v>117</v>
      </c>
      <c r="J523" s="704"/>
      <c r="K523" s="701" t="s">
        <v>14</v>
      </c>
      <c r="L523" s="702"/>
      <c r="M523" s="701" t="s">
        <v>118</v>
      </c>
      <c r="N523" s="702"/>
      <c r="O523" s="694" t="s">
        <v>119</v>
      </c>
      <c r="P523" s="694"/>
      <c r="Q523" s="701" t="s">
        <v>14</v>
      </c>
      <c r="R523" s="702"/>
      <c r="S523" s="701" t="s">
        <v>118</v>
      </c>
      <c r="T523" s="702"/>
      <c r="U523" s="14"/>
      <c r="V523" s="203"/>
      <c r="W523" s="1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11"/>
      <c r="AI523" s="11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23.25" customHeight="1">
      <c r="A524" s="706" t="s">
        <v>70</v>
      </c>
      <c r="B524" s="702"/>
      <c r="C524" s="703">
        <f>SUM(G28,G199,G370)</f>
        <v>48594</v>
      </c>
      <c r="D524" s="702"/>
      <c r="E524" s="697">
        <f>IF(ISERROR(C524/C530),"",C524/C530)</f>
        <v>0.25097484260488273</v>
      </c>
      <c r="F524" s="698"/>
      <c r="G524" s="710"/>
      <c r="H524" s="711"/>
      <c r="I524" s="699" t="s">
        <v>15</v>
      </c>
      <c r="J524" s="707"/>
      <c r="K524" s="705">
        <f t="shared" ref="K524:K529" si="214">SUM(R166,U337,U509)</f>
        <v>0</v>
      </c>
      <c r="L524" s="704"/>
      <c r="M524" s="697" t="str">
        <f t="array" ref="M524">IF(ISERROR(K524/K530),"",K524/K530)</f>
        <v/>
      </c>
      <c r="N524" s="698"/>
      <c r="O524" s="694" t="s">
        <v>41</v>
      </c>
      <c r="P524" s="694"/>
      <c r="Q524" s="695">
        <f t="shared" ref="Q524:Q529" si="215">SUM(X166,AA337,AA509)</f>
        <v>0</v>
      </c>
      <c r="R524" s="696"/>
      <c r="S524" s="697" t="str">
        <f t="array" ref="S524">IF(ISERROR(Q524/Q530),"",Q524/Q530)</f>
        <v/>
      </c>
      <c r="T524" s="698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11"/>
      <c r="AI524" s="11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>
      <c r="A525" s="706" t="s">
        <v>86</v>
      </c>
      <c r="B525" s="702"/>
      <c r="C525" s="701">
        <f>SUM(G86,G257,G428)</f>
        <v>81296</v>
      </c>
      <c r="D525" s="702"/>
      <c r="E525" s="697">
        <f>IF(ISERROR(C525/C530),"",C525/C530)</f>
        <v>0.41987181142541358</v>
      </c>
      <c r="F525" s="698"/>
      <c r="G525" s="710"/>
      <c r="H525" s="711"/>
      <c r="I525" s="699" t="s">
        <v>16</v>
      </c>
      <c r="J525" s="707"/>
      <c r="K525" s="705">
        <f t="shared" si="214"/>
        <v>0</v>
      </c>
      <c r="L525" s="704"/>
      <c r="M525" s="697" t="str">
        <f>IF(ISERROR(K525/K530),"",K525/K530)</f>
        <v/>
      </c>
      <c r="N525" s="698"/>
      <c r="O525" s="694" t="s">
        <v>42</v>
      </c>
      <c r="P525" s="694"/>
      <c r="Q525" s="701">
        <f t="shared" si="215"/>
        <v>0</v>
      </c>
      <c r="R525" s="702"/>
      <c r="S525" s="697" t="str">
        <f>IF(ISERROR(Q525/Q530),"",Q525/Q530)</f>
        <v/>
      </c>
      <c r="T525" s="698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11"/>
      <c r="AI525" s="11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>
      <c r="A526" s="706" t="s">
        <v>92</v>
      </c>
      <c r="B526" s="702"/>
      <c r="C526" s="701">
        <f>SUM(G121,G292,G463)</f>
        <v>26412</v>
      </c>
      <c r="D526" s="702"/>
      <c r="E526" s="697">
        <f>IF(ISERROR(C526/C530),"",C526/C530)</f>
        <v>0.13641082320616049</v>
      </c>
      <c r="F526" s="698"/>
      <c r="G526" s="710"/>
      <c r="H526" s="711"/>
      <c r="I526" s="699" t="s">
        <v>17</v>
      </c>
      <c r="J526" s="707"/>
      <c r="K526" s="705">
        <f t="shared" si="214"/>
        <v>0</v>
      </c>
      <c r="L526" s="704"/>
      <c r="M526" s="697" t="str">
        <f>IF(ISERROR(K526/K530),"",K526/K530)</f>
        <v/>
      </c>
      <c r="N526" s="698"/>
      <c r="O526" s="694" t="s">
        <v>43</v>
      </c>
      <c r="P526" s="694"/>
      <c r="Q526" s="701">
        <f t="shared" si="215"/>
        <v>0</v>
      </c>
      <c r="R526" s="702"/>
      <c r="S526" s="697" t="str">
        <f>IF(ISERROR(Q526/Q530),"",Q526/Q530)</f>
        <v/>
      </c>
      <c r="T526" s="698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706" t="s">
        <v>99</v>
      </c>
      <c r="B527" s="702"/>
      <c r="C527" s="701">
        <f>SUM(G137,G308,G479)</f>
        <v>23362</v>
      </c>
      <c r="D527" s="702"/>
      <c r="E527" s="697">
        <f>IF(ISERROR(C527/C530),"",C527/C530)</f>
        <v>0.12065839965706199</v>
      </c>
      <c r="F527" s="698"/>
      <c r="G527" s="710"/>
      <c r="H527" s="711"/>
      <c r="I527" s="699" t="s">
        <v>18</v>
      </c>
      <c r="J527" s="707"/>
      <c r="K527" s="705">
        <f t="shared" si="214"/>
        <v>0</v>
      </c>
      <c r="L527" s="704"/>
      <c r="M527" s="697" t="str">
        <f>IF(ISERROR(K527/K530),"",K527/K530)</f>
        <v/>
      </c>
      <c r="N527" s="698"/>
      <c r="O527" s="694" t="s">
        <v>21</v>
      </c>
      <c r="P527" s="694"/>
      <c r="Q527" s="701">
        <f t="shared" si="215"/>
        <v>0</v>
      </c>
      <c r="R527" s="702"/>
      <c r="S527" s="697" t="str">
        <f>IF(ISERROR(Q527/Q530),"",Q527/Q530)</f>
        <v/>
      </c>
      <c r="T527" s="698"/>
      <c r="U527" s="14"/>
      <c r="V527" s="203"/>
      <c r="W527" s="2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706" t="s">
        <v>102</v>
      </c>
      <c r="B528" s="702"/>
      <c r="C528" s="701">
        <f>SUM(G148,G319,G490)</f>
        <v>10057</v>
      </c>
      <c r="D528" s="702"/>
      <c r="E528" s="697">
        <f>IF(ISERROR(C528/C530),"",C528/C530)</f>
        <v>5.1941679879765106E-2</v>
      </c>
      <c r="F528" s="698"/>
      <c r="G528" s="710"/>
      <c r="H528" s="711"/>
      <c r="I528" s="699" t="s">
        <v>19</v>
      </c>
      <c r="J528" s="707"/>
      <c r="K528" s="705">
        <f t="shared" si="214"/>
        <v>0</v>
      </c>
      <c r="L528" s="704"/>
      <c r="M528" s="697" t="str">
        <f>IF(ISERROR(K528/K530),"",K528/K530)</f>
        <v/>
      </c>
      <c r="N528" s="698"/>
      <c r="O528" s="694" t="s">
        <v>45</v>
      </c>
      <c r="P528" s="694"/>
      <c r="Q528" s="701">
        <f t="shared" si="215"/>
        <v>0</v>
      </c>
      <c r="R528" s="702"/>
      <c r="S528" s="697" t="str">
        <f>IF(ISERROR(Q528/Q530),"",Q528/Q530)</f>
        <v/>
      </c>
      <c r="T528" s="698"/>
      <c r="U528" s="14"/>
      <c r="V528" s="203"/>
      <c r="W528" s="22"/>
      <c r="X528" s="3"/>
      <c r="Y528" s="14"/>
      <c r="Z528" s="15"/>
      <c r="AA528" s="15"/>
      <c r="AB528" s="15"/>
      <c r="AC528" s="15"/>
      <c r="AD528" s="15"/>
      <c r="AE528" s="15"/>
      <c r="AF528" s="15"/>
      <c r="AG528" s="15"/>
      <c r="AH528" s="7"/>
      <c r="AI528" s="7"/>
      <c r="AJ528" s="15"/>
      <c r="AK528" s="15"/>
      <c r="AL528" s="15"/>
      <c r="AM528" s="15"/>
      <c r="AN528" s="15"/>
      <c r="AO528" s="15"/>
      <c r="AP528" s="15"/>
      <c r="AQ528" s="15"/>
      <c r="AR528" s="15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5.75" customHeight="1">
      <c r="A529" s="706" t="s">
        <v>106</v>
      </c>
      <c r="B529" s="702"/>
      <c r="C529" s="701">
        <f>SUM(G163,G334,G506)</f>
        <v>3900</v>
      </c>
      <c r="D529" s="702"/>
      <c r="E529" s="697">
        <f>IF(ISERROR(C529/C530),"",C529/C530)</f>
        <v>2.0142443226716111E-2</v>
      </c>
      <c r="F529" s="698"/>
      <c r="G529" s="710"/>
      <c r="H529" s="711"/>
      <c r="I529" s="699" t="s">
        <v>20</v>
      </c>
      <c r="J529" s="707"/>
      <c r="K529" s="705">
        <f t="shared" si="214"/>
        <v>0</v>
      </c>
      <c r="L529" s="704"/>
      <c r="M529" s="697" t="str">
        <f>IF(ISERROR(K529/K530),"",K529/K530)</f>
        <v/>
      </c>
      <c r="N529" s="698"/>
      <c r="O529" s="694" t="s">
        <v>46</v>
      </c>
      <c r="P529" s="694"/>
      <c r="Q529" s="701">
        <f t="shared" si="215"/>
        <v>0</v>
      </c>
      <c r="R529" s="702"/>
      <c r="S529" s="697" t="str">
        <f>IF(ISERROR(Q529/Q530),"",Q529/Q530)</f>
        <v/>
      </c>
      <c r="T529" s="698"/>
      <c r="U529" s="14"/>
      <c r="V529" s="203"/>
      <c r="W529" s="22"/>
      <c r="X529" s="3"/>
      <c r="Y529" s="14"/>
      <c r="Z529" s="15"/>
      <c r="AA529" s="15"/>
      <c r="AB529" s="15"/>
      <c r="AC529" s="15"/>
      <c r="AD529" s="15"/>
      <c r="AE529" s="15"/>
      <c r="AF529" s="15"/>
      <c r="AG529" s="15"/>
      <c r="AH529" s="7"/>
      <c r="AI529" s="7"/>
      <c r="AJ529" s="15"/>
      <c r="AK529" s="15"/>
      <c r="AL529" s="15"/>
      <c r="AM529" s="15"/>
      <c r="AN529" s="15"/>
      <c r="AO529" s="15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701" t="s">
        <v>123</v>
      </c>
      <c r="B530" s="702"/>
      <c r="C530" s="703">
        <f>SUM(C524:C529)</f>
        <v>193621</v>
      </c>
      <c r="D530" s="702"/>
      <c r="E530" s="697">
        <f>SUM(E524:F529)</f>
        <v>0.99999999999999989</v>
      </c>
      <c r="F530" s="702"/>
      <c r="G530" s="712"/>
      <c r="H530" s="713"/>
      <c r="I530" s="701" t="s">
        <v>123</v>
      </c>
      <c r="J530" s="704"/>
      <c r="K530" s="705">
        <f>SUM(R173,U344,U516)</f>
        <v>0</v>
      </c>
      <c r="L530" s="704"/>
      <c r="M530" s="697">
        <f>SUM(M524:N529)</f>
        <v>0</v>
      </c>
      <c r="N530" s="698"/>
      <c r="O530" s="694" t="s">
        <v>123</v>
      </c>
      <c r="P530" s="694"/>
      <c r="Q530" s="695">
        <f>SUM(X173,AA344,AA516)</f>
        <v>0</v>
      </c>
      <c r="R530" s="696"/>
      <c r="S530" s="697">
        <f>SUM(S524:T529)</f>
        <v>0</v>
      </c>
      <c r="T530" s="698"/>
      <c r="U530" s="14"/>
      <c r="V530" s="203"/>
      <c r="W530" s="12"/>
      <c r="X530" s="3"/>
      <c r="Y530" s="14"/>
      <c r="Z530" s="15"/>
      <c r="AA530" s="15"/>
      <c r="AB530" s="15"/>
      <c r="AC530" s="15"/>
      <c r="AD530" s="15"/>
      <c r="AE530" s="15"/>
      <c r="AF530" s="15"/>
      <c r="AG530" s="15"/>
      <c r="AH530" s="7"/>
      <c r="AI530" s="7"/>
      <c r="AJ530" s="15"/>
      <c r="AK530" s="15"/>
      <c r="AL530" s="15"/>
      <c r="AM530" s="15"/>
      <c r="AN530" s="15"/>
      <c r="AO530" s="15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 ht="15.75" customHeight="1">
      <c r="A531" s="330" t="s">
        <v>511</v>
      </c>
      <c r="B531" s="67"/>
      <c r="C531" s="501"/>
      <c r="D531" s="1"/>
      <c r="E531" s="1"/>
      <c r="F531" s="1"/>
      <c r="G531" s="27"/>
      <c r="H531" s="2"/>
      <c r="I531" s="27"/>
      <c r="J531" s="2"/>
      <c r="K531" s="49"/>
      <c r="L531" s="2"/>
      <c r="M531" s="2"/>
      <c r="N531" s="2"/>
      <c r="O531" s="2"/>
      <c r="P531" s="2"/>
      <c r="Q531" s="2"/>
      <c r="R531" s="2"/>
      <c r="S531" s="2"/>
      <c r="T531" s="2"/>
      <c r="U531" s="24"/>
      <c r="V531" s="212"/>
      <c r="W531" s="24"/>
      <c r="X531" s="5"/>
      <c r="Y531" s="5"/>
      <c r="Z531" s="24"/>
      <c r="AA531" s="3"/>
      <c r="AB531" s="344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12"/>
      <c r="AN531" s="12"/>
      <c r="AO531" s="12"/>
      <c r="AP531" s="12"/>
      <c r="AQ531" s="12"/>
      <c r="AR531" s="12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 ht="18.75" customHeight="1">
      <c r="A532" s="699" t="s">
        <v>132</v>
      </c>
      <c r="B532" s="700"/>
      <c r="C532" s="335" t="s">
        <v>133</v>
      </c>
      <c r="D532" s="335" t="s">
        <v>134</v>
      </c>
      <c r="E532" s="335" t="s">
        <v>3</v>
      </c>
      <c r="F532" s="335" t="s">
        <v>4</v>
      </c>
      <c r="G532" s="335" t="s">
        <v>5</v>
      </c>
      <c r="H532" s="87" t="s">
        <v>6</v>
      </c>
      <c r="I532" s="87" t="s">
        <v>7</v>
      </c>
      <c r="J532" s="87" t="s">
        <v>135</v>
      </c>
      <c r="K532" s="338" t="s">
        <v>8</v>
      </c>
      <c r="L532" s="87" t="s">
        <v>9</v>
      </c>
      <c r="M532" s="87" t="s">
        <v>136</v>
      </c>
      <c r="N532" s="87" t="s">
        <v>10</v>
      </c>
      <c r="O532" s="87" t="s">
        <v>137</v>
      </c>
      <c r="P532" s="339" t="s">
        <v>138</v>
      </c>
      <c r="Q532" s="87" t="s">
        <v>139</v>
      </c>
      <c r="R532" s="36" t="s">
        <v>140</v>
      </c>
      <c r="S532" s="335" t="s">
        <v>141</v>
      </c>
      <c r="T532" s="335" t="s">
        <v>142</v>
      </c>
      <c r="U532" s="51"/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ht="15.75" customHeight="1">
      <c r="A533" s="690" t="s">
        <v>143</v>
      </c>
      <c r="B533" s="691"/>
      <c r="C533" s="93">
        <f>SUM('31:16'!C533)</f>
        <v>754</v>
      </c>
      <c r="D533" s="93">
        <f>SUM('31:16'!D533)</f>
        <v>746</v>
      </c>
      <c r="E533" s="93">
        <f>SUM('31:16'!E533)</f>
        <v>8</v>
      </c>
      <c r="F533" s="93">
        <f>SUM('31:16'!F533)</f>
        <v>0</v>
      </c>
      <c r="G533" s="93">
        <f>SUM('31:16'!G533)</f>
        <v>0</v>
      </c>
      <c r="H533" s="93">
        <f>SUM('31:16'!H533)</f>
        <v>0</v>
      </c>
      <c r="I533" s="93">
        <f>SUM('31:16'!I533)</f>
        <v>0</v>
      </c>
      <c r="J533" s="93">
        <f>+C533-H533-I533</f>
        <v>754</v>
      </c>
      <c r="K533" s="93">
        <f>SUM('31:16'!K533)</f>
        <v>2.5</v>
      </c>
      <c r="L533" s="93">
        <f>SUM('31:16'!L533)</f>
        <v>0</v>
      </c>
      <c r="M533" s="93">
        <f>SUM('31:16'!M533)</f>
        <v>0</v>
      </c>
      <c r="N533" s="93">
        <f>SUM('31:16'!N533)</f>
        <v>0</v>
      </c>
      <c r="O533" s="93">
        <f>SUM('31:16'!O533)</f>
        <v>0</v>
      </c>
      <c r="P533" s="93">
        <f>SUM('31:16'!P533)</f>
        <v>0</v>
      </c>
      <c r="Q533" s="93">
        <f>J533-K533-L533</f>
        <v>751.5</v>
      </c>
      <c r="R533" s="93">
        <f>Q533*11-M533-N533</f>
        <v>8266.5</v>
      </c>
      <c r="S533" s="200">
        <f>IF(ISERROR(Q533/J533),"",Q533/J533)</f>
        <v>0.99668435013262602</v>
      </c>
      <c r="T533" s="194">
        <f t="array" ref="T533">IF(ISERROR((O533:P533)/C533),"",SUM(O533:P533)/C533)</f>
        <v>0</v>
      </c>
      <c r="X533" s="14"/>
      <c r="Y533" s="14"/>
      <c r="Z533" s="15"/>
      <c r="AA533" s="15"/>
      <c r="AB533" s="15"/>
      <c r="AC533" s="344"/>
      <c r="AD533" s="344"/>
      <c r="AE533" s="344"/>
      <c r="AF533" s="344"/>
      <c r="AG533" s="344"/>
      <c r="AH533" s="344"/>
      <c r="AI533" s="344"/>
      <c r="AJ533" s="344"/>
      <c r="AK533" s="344"/>
      <c r="AL533" s="344"/>
      <c r="AM533" s="344"/>
      <c r="AN533" s="15"/>
      <c r="AO533" s="34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690" t="s">
        <v>144</v>
      </c>
      <c r="B534" s="691"/>
      <c r="C534" s="93">
        <f>SUM('31:16'!C534)</f>
        <v>719</v>
      </c>
      <c r="D534" s="93">
        <f>SUM('31:16'!D534)</f>
        <v>726</v>
      </c>
      <c r="E534" s="93">
        <f>SUM('31:16'!E534)</f>
        <v>1</v>
      </c>
      <c r="F534" s="93">
        <f>SUM('31:16'!F534)</f>
        <v>0</v>
      </c>
      <c r="G534" s="93">
        <f>SUM('31:16'!G534)</f>
        <v>0</v>
      </c>
      <c r="H534" s="93">
        <f>SUM('31:16'!H534)</f>
        <v>0</v>
      </c>
      <c r="I534" s="93">
        <f>SUM('31:16'!I534)</f>
        <v>2</v>
      </c>
      <c r="J534" s="93">
        <f t="shared" ref="J534:J535" si="216">C534-G534-H534-I534</f>
        <v>717</v>
      </c>
      <c r="K534" s="93">
        <f>SUM('31:16'!K534)</f>
        <v>16</v>
      </c>
      <c r="L534" s="93">
        <f>SUM('31:16'!L534)</f>
        <v>0</v>
      </c>
      <c r="M534" s="93">
        <f>SUM('31:16'!M534)</f>
        <v>0</v>
      </c>
      <c r="N534" s="93">
        <f>SUM('31:16'!N534)</f>
        <v>0</v>
      </c>
      <c r="O534" s="93">
        <f>SUM('31:16'!O534)</f>
        <v>6</v>
      </c>
      <c r="P534" s="93">
        <f>SUM('31:16'!P534)</f>
        <v>2</v>
      </c>
      <c r="Q534" s="93">
        <f t="shared" ref="Q534:Q535" si="217">J534-K534-L534</f>
        <v>701</v>
      </c>
      <c r="R534" s="93">
        <f t="shared" ref="R534:R535" si="218">Q534*11-M534-N534</f>
        <v>7711</v>
      </c>
      <c r="S534" s="194">
        <f t="array" ref="S534">IF(ISERROR(Q534/J534),"",Q534/J534)</f>
        <v>0.97768479776847983</v>
      </c>
      <c r="T534" s="194">
        <f t="array" ref="T534">IF(ISERROR((O534:P534)/C534),"",SUM(O534:P534)/C534)</f>
        <v>1.1126564673157162E-2</v>
      </c>
      <c r="X534" s="14"/>
      <c r="Y534" s="14"/>
      <c r="Z534" s="15"/>
      <c r="AA534" s="15"/>
      <c r="AB534" s="15"/>
      <c r="AC534" s="344"/>
      <c r="AD534" s="344"/>
      <c r="AE534" s="344"/>
      <c r="AF534" s="344"/>
      <c r="AG534" s="344"/>
      <c r="AH534" s="344"/>
      <c r="AI534" s="344"/>
      <c r="AJ534" s="344"/>
      <c r="AK534" s="344"/>
      <c r="AL534" s="344"/>
      <c r="AM534" s="344"/>
      <c r="AN534" s="15"/>
      <c r="AO534" s="344"/>
      <c r="AP534" s="15"/>
      <c r="AQ534" s="15"/>
      <c r="AR534" s="15"/>
      <c r="AS534" s="15"/>
      <c r="AT534" s="15"/>
      <c r="AU534" s="15"/>
      <c r="AV534" s="15"/>
      <c r="AW534" s="15"/>
      <c r="AX534" s="15"/>
      <c r="AY534" s="15"/>
      <c r="AZ534" s="15"/>
      <c r="BA534" s="15"/>
    </row>
    <row r="535" spans="1:53">
      <c r="A535" s="690" t="s">
        <v>145</v>
      </c>
      <c r="B535" s="691"/>
      <c r="C535" s="93">
        <f>SUM('31:16'!C535)</f>
        <v>170</v>
      </c>
      <c r="D535" s="93">
        <f>SUM('31:16'!D535)</f>
        <v>170</v>
      </c>
      <c r="E535" s="93">
        <f>SUM('31:16'!E535)</f>
        <v>0</v>
      </c>
      <c r="F535" s="93">
        <f>SUM('31:16'!F535)</f>
        <v>0</v>
      </c>
      <c r="G535" s="93">
        <f>SUM('31:16'!G535)</f>
        <v>0</v>
      </c>
      <c r="H535" s="93">
        <f>SUM('31:16'!H535)</f>
        <v>0</v>
      </c>
      <c r="I535" s="93">
        <f>SUM('31:16'!I535)</f>
        <v>0</v>
      </c>
      <c r="J535" s="93">
        <f t="shared" si="216"/>
        <v>170</v>
      </c>
      <c r="K535" s="93">
        <f>SUM('31:16'!K535)</f>
        <v>1</v>
      </c>
      <c r="L535" s="93">
        <f>SUM('31:16'!L535)</f>
        <v>0</v>
      </c>
      <c r="M535" s="93">
        <f>SUM('31:16'!M535)</f>
        <v>0</v>
      </c>
      <c r="N535" s="93">
        <f>SUM('31:16'!N535)</f>
        <v>0</v>
      </c>
      <c r="O535" s="93">
        <f>SUM('31:16'!O535)</f>
        <v>0</v>
      </c>
      <c r="P535" s="93">
        <f>SUM('31:16'!P535)</f>
        <v>0</v>
      </c>
      <c r="Q535" s="93">
        <f t="shared" si="217"/>
        <v>169</v>
      </c>
      <c r="R535" s="93">
        <f t="shared" si="218"/>
        <v>1859</v>
      </c>
      <c r="S535" s="194">
        <f t="array" ref="S535">IF(ISERROR(Q535/J535),"",Q535/J535)</f>
        <v>0.99411764705882355</v>
      </c>
      <c r="T535" s="194">
        <f t="array" ref="T535">IF(ISERROR((O535:P535)/C535),"",SUM(O535:P535)/C535)</f>
        <v>0</v>
      </c>
      <c r="V535" s="213"/>
      <c r="X535" s="14"/>
      <c r="Y535" s="14"/>
      <c r="Z535" s="15"/>
      <c r="AA535" s="15"/>
      <c r="AB535" s="15"/>
      <c r="AC535" s="344"/>
      <c r="AD535" s="344"/>
      <c r="AE535" s="344"/>
      <c r="AF535" s="344"/>
      <c r="AG535" s="344"/>
      <c r="AH535" s="344"/>
      <c r="AI535" s="344"/>
      <c r="AJ535" s="344"/>
      <c r="AK535" s="344"/>
      <c r="AL535" s="344"/>
      <c r="AM535" s="344"/>
      <c r="AN535" s="15"/>
      <c r="AO535" s="344"/>
      <c r="AP535" s="15"/>
      <c r="AQ535" s="15"/>
      <c r="AR535" s="15"/>
      <c r="AS535" s="15"/>
      <c r="AT535" s="15"/>
      <c r="AU535" s="15"/>
      <c r="AV535" s="15"/>
      <c r="AW535" s="15"/>
      <c r="AX535" s="15"/>
      <c r="AY535" s="15"/>
      <c r="AZ535" s="15"/>
      <c r="BA535" s="15"/>
    </row>
    <row r="536" spans="1:53" s="42" customFormat="1">
      <c r="A536" s="692" t="s">
        <v>11</v>
      </c>
      <c r="B536" s="693"/>
      <c r="C536" s="37">
        <f>SUM(C533:C535)</f>
        <v>1643</v>
      </c>
      <c r="D536" s="37">
        <f>SUM(D533:D535)</f>
        <v>1642</v>
      </c>
      <c r="E536" s="37">
        <f t="shared" ref="E536:N536" si="219">SUM(E533:E535)</f>
        <v>9</v>
      </c>
      <c r="F536" s="37">
        <f t="shared" si="219"/>
        <v>0</v>
      </c>
      <c r="G536" s="37">
        <f t="shared" si="219"/>
        <v>0</v>
      </c>
      <c r="H536" s="37">
        <f t="shared" si="219"/>
        <v>0</v>
      </c>
      <c r="I536" s="37">
        <f t="shared" si="219"/>
        <v>2</v>
      </c>
      <c r="J536" s="45">
        <f t="shared" si="219"/>
        <v>1641</v>
      </c>
      <c r="K536" s="88">
        <f t="shared" si="219"/>
        <v>19.5</v>
      </c>
      <c r="L536" s="37">
        <f t="shared" si="219"/>
        <v>0</v>
      </c>
      <c r="M536" s="37">
        <f t="shared" si="219"/>
        <v>0</v>
      </c>
      <c r="N536" s="37">
        <f t="shared" si="219"/>
        <v>0</v>
      </c>
      <c r="O536" s="37">
        <f>SUM(O533:O535)</f>
        <v>6</v>
      </c>
      <c r="P536" s="37">
        <f>SUM(P533:P535)</f>
        <v>2</v>
      </c>
      <c r="Q536" s="37">
        <f>SUM(Q533:Q535)</f>
        <v>1621.5</v>
      </c>
      <c r="R536" s="37">
        <f>SUM(R533:R535)</f>
        <v>17836.5</v>
      </c>
      <c r="S536" s="38">
        <f t="array" ref="S536">IF(ISERROR(Q536/J536),"",Q536/J536)</f>
        <v>0.98811700182815354</v>
      </c>
      <c r="T536" s="39">
        <f t="array" ref="T536">IF(ISERROR((O536:P536)/C536),"",SUM(O536:P536)/C536)</f>
        <v>4.8691418137553257E-3</v>
      </c>
      <c r="V536" s="214"/>
      <c r="X536" s="29"/>
      <c r="Y536" s="29"/>
      <c r="Z536" s="40"/>
      <c r="AA536" s="40"/>
      <c r="AB536" s="40"/>
      <c r="AC536" s="41"/>
      <c r="AD536" s="4"/>
      <c r="AE536" s="41"/>
      <c r="AF536" s="41"/>
      <c r="AG536" s="41"/>
      <c r="AH536" s="41"/>
      <c r="AI536" s="4"/>
      <c r="AJ536" s="4"/>
      <c r="AK536" s="4"/>
      <c r="AL536" s="4"/>
      <c r="AM536" s="4"/>
      <c r="AN536" s="15"/>
      <c r="AO536" s="4"/>
      <c r="AP536" s="15"/>
      <c r="AQ536" s="15"/>
      <c r="AR536" s="15"/>
      <c r="AS536" s="15"/>
      <c r="AT536" s="15"/>
      <c r="AU536" s="15"/>
      <c r="AV536" s="15"/>
      <c r="AW536" s="15"/>
      <c r="AX536" s="15"/>
      <c r="AY536" s="15"/>
      <c r="AZ536" s="15"/>
      <c r="BA536" s="15"/>
    </row>
    <row r="537" spans="1:53">
      <c r="A537" s="313"/>
      <c r="B537" s="68"/>
      <c r="C537" s="14"/>
      <c r="D537" s="14"/>
      <c r="E537" s="14"/>
      <c r="F537" s="14"/>
      <c r="G537" s="4"/>
      <c r="H537" s="14"/>
      <c r="I537" s="4"/>
      <c r="J537" s="43"/>
      <c r="K537" s="28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203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14"/>
    </row>
    <row r="538" spans="1:53">
      <c r="A538" s="313"/>
      <c r="B538" s="68" t="s">
        <v>146</v>
      </c>
      <c r="C538" s="14"/>
      <c r="D538" s="14"/>
      <c r="E538" s="14"/>
      <c r="F538" s="14"/>
      <c r="G538" s="4"/>
      <c r="H538" s="14"/>
      <c r="I538" s="4" t="s">
        <v>147</v>
      </c>
      <c r="J538" s="43" t="s">
        <v>449</v>
      </c>
      <c r="K538" s="28"/>
      <c r="L538" s="14"/>
      <c r="M538" s="14"/>
      <c r="N538" s="14"/>
      <c r="O538" s="14"/>
      <c r="P538" s="14"/>
      <c r="Q538" s="14"/>
      <c r="R538" s="14"/>
      <c r="S538" s="14"/>
      <c r="T538" s="14"/>
      <c r="V538" s="203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14"/>
    </row>
    <row r="539" spans="1:53">
      <c r="A539" s="179"/>
      <c r="B539" s="257"/>
      <c r="C539" s="257"/>
      <c r="D539" s="51"/>
      <c r="E539" s="257"/>
    </row>
    <row r="540" spans="1:53">
      <c r="A540" s="327"/>
      <c r="B540" s="258"/>
      <c r="C540" s="257"/>
      <c r="D540" s="51"/>
      <c r="E540" s="257"/>
    </row>
    <row r="541" spans="1:53">
      <c r="A541" s="327"/>
      <c r="B541" s="260"/>
      <c r="C541" s="257"/>
      <c r="D541" s="51"/>
      <c r="E541" s="257"/>
    </row>
    <row r="542" spans="1:53">
      <c r="A542" s="331"/>
      <c r="B542" s="257"/>
      <c r="C542" s="257"/>
      <c r="D542" s="51"/>
      <c r="E542" s="257"/>
    </row>
    <row r="543" spans="1:53">
      <c r="A543" s="331"/>
      <c r="B543" s="257"/>
      <c r="C543" s="257"/>
      <c r="D543" s="51"/>
      <c r="E543" s="257"/>
      <c r="J543" s="46" t="s">
        <v>174</v>
      </c>
      <c r="K543" s="50" t="s">
        <v>176</v>
      </c>
      <c r="L543" t="s">
        <v>175</v>
      </c>
    </row>
    <row r="544" spans="1:53">
      <c r="A544" s="331"/>
      <c r="B544" s="257"/>
      <c r="C544" s="257"/>
      <c r="D544" s="259"/>
      <c r="E544" s="257"/>
      <c r="H544" s="100" t="s">
        <v>163</v>
      </c>
      <c r="J544" s="101">
        <f>+G28+G199+G370</f>
        <v>48594</v>
      </c>
      <c r="K544" s="101">
        <f>+H28+H199+H370</f>
        <v>245010.05</v>
      </c>
      <c r="L544" s="101">
        <f>+I28+I199+I370</f>
        <v>3118.09</v>
      </c>
      <c r="M544" s="50">
        <f>+J544/L544</f>
        <v>15.584540536033277</v>
      </c>
    </row>
    <row r="545" spans="1:13">
      <c r="A545" s="331"/>
      <c r="B545" s="257"/>
      <c r="C545" s="257"/>
      <c r="D545" s="259"/>
      <c r="E545" s="257"/>
      <c r="H545" s="100" t="s">
        <v>164</v>
      </c>
      <c r="J545" s="101">
        <f>+G428+G257+G86</f>
        <v>81296</v>
      </c>
      <c r="K545" s="101">
        <f>+H428+H257+H86</f>
        <v>399262.48</v>
      </c>
      <c r="L545" s="101">
        <f>+I428+I257+I86</f>
        <v>2193.9699999999998</v>
      </c>
      <c r="M545" s="50">
        <f>+J545/L545</f>
        <v>37.054289712256782</v>
      </c>
    </row>
    <row r="546" spans="1:13">
      <c r="A546" s="331"/>
      <c r="B546" s="257"/>
      <c r="C546" s="257"/>
      <c r="D546" s="259"/>
      <c r="E546" s="257"/>
      <c r="H546" s="100" t="s">
        <v>165</v>
      </c>
      <c r="J546" s="101">
        <f>+G463+G292+G121</f>
        <v>26412</v>
      </c>
      <c r="K546" s="101">
        <f>+H463+H292+H121</f>
        <v>127121.11000000002</v>
      </c>
      <c r="L546" s="101">
        <f>+I463+I292+I121</f>
        <v>3057.7</v>
      </c>
      <c r="M546" s="50">
        <f>+J546/L546</f>
        <v>8.6378650619746882</v>
      </c>
    </row>
    <row r="547" spans="1:13">
      <c r="A547" s="331"/>
      <c r="B547" s="257"/>
      <c r="C547" s="257"/>
      <c r="D547" s="259"/>
      <c r="E547" s="257"/>
      <c r="H547" s="100" t="s">
        <v>166</v>
      </c>
      <c r="J547" s="101">
        <f>+G479+G308+G137</f>
        <v>23362</v>
      </c>
      <c r="K547" s="101">
        <f>+H479+H308+H137</f>
        <v>117957.44</v>
      </c>
      <c r="L547" s="101">
        <f>+I479+I308+I137</f>
        <v>1142.8600000000001</v>
      </c>
      <c r="M547" s="50">
        <f t="shared" ref="M547:M548" si="220">+J547/L547</f>
        <v>20.441698895752758</v>
      </c>
    </row>
    <row r="548" spans="1:13">
      <c r="A548" s="331"/>
      <c r="B548" s="257"/>
      <c r="C548" s="257"/>
      <c r="D548" s="259"/>
      <c r="E548" s="257"/>
      <c r="H548" s="100" t="s">
        <v>167</v>
      </c>
      <c r="J548" s="101">
        <f>+G506+G334+G163</f>
        <v>3900</v>
      </c>
      <c r="K548" s="101">
        <f>+H506+H334+H163</f>
        <v>25017.42</v>
      </c>
      <c r="L548" s="101">
        <f>+I506+I334+I163</f>
        <v>938</v>
      </c>
      <c r="M548" s="50">
        <f t="shared" si="220"/>
        <v>4.157782515991471</v>
      </c>
    </row>
    <row r="549" spans="1:13">
      <c r="A549" s="331"/>
      <c r="B549" s="257"/>
      <c r="C549" s="257"/>
      <c r="D549" s="259"/>
      <c r="E549" s="257"/>
      <c r="J549" s="101">
        <f>SUM(J544:J548)</f>
        <v>183564</v>
      </c>
      <c r="K549" s="101"/>
      <c r="L549" s="101"/>
      <c r="M549" s="50"/>
    </row>
    <row r="550" spans="1:13">
      <c r="A550" s="331"/>
      <c r="B550" s="257"/>
      <c r="C550" s="257"/>
      <c r="D550" s="259"/>
      <c r="E550" s="257"/>
    </row>
    <row r="551" spans="1:13">
      <c r="A551" s="331"/>
      <c r="B551" s="257"/>
      <c r="C551" s="257"/>
      <c r="D551" s="259"/>
      <c r="E551" s="257"/>
      <c r="G551" t="s">
        <v>168</v>
      </c>
    </row>
    <row r="552" spans="1:13">
      <c r="A552" s="331"/>
      <c r="B552" s="257"/>
      <c r="C552" s="257"/>
      <c r="D552" s="259"/>
      <c r="E552" s="257"/>
      <c r="H552" s="100" t="s">
        <v>163</v>
      </c>
      <c r="J552" s="46">
        <f>+G28</f>
        <v>22419</v>
      </c>
      <c r="K552" s="101">
        <f>+H28</f>
        <v>112773.71999999999</v>
      </c>
      <c r="L552" s="101">
        <f>+I28</f>
        <v>1377.54</v>
      </c>
      <c r="M552" s="102">
        <f>+J552/L552</f>
        <v>16.274663530641579</v>
      </c>
    </row>
    <row r="553" spans="1:13">
      <c r="A553" s="331"/>
      <c r="B553" s="257"/>
      <c r="C553" s="257"/>
      <c r="D553" s="259"/>
      <c r="E553" s="257"/>
      <c r="H553" s="100" t="s">
        <v>164</v>
      </c>
      <c r="J553" s="46">
        <f>G86</f>
        <v>39853</v>
      </c>
      <c r="K553" s="101">
        <f>H86</f>
        <v>190273.22</v>
      </c>
      <c r="L553" s="101">
        <f>I86</f>
        <v>1009.7199999999999</v>
      </c>
      <c r="M553" s="102">
        <f>+J553/L553</f>
        <v>39.469357841777921</v>
      </c>
    </row>
    <row r="554" spans="1:13">
      <c r="E554" s="252"/>
      <c r="H554" s="100" t="s">
        <v>165</v>
      </c>
      <c r="J554" s="46">
        <f>+G121</f>
        <v>9928</v>
      </c>
      <c r="K554" s="101">
        <f>+H121</f>
        <v>49777.82</v>
      </c>
      <c r="L554" s="101">
        <f>+I121</f>
        <v>1094.7</v>
      </c>
      <c r="M554" s="102">
        <f>+J554/L554</f>
        <v>9.0691513656709599</v>
      </c>
    </row>
    <row r="555" spans="1:13">
      <c r="H555" s="100" t="s">
        <v>166</v>
      </c>
      <c r="J555" s="46">
        <f>+G137</f>
        <v>12373</v>
      </c>
      <c r="K555" s="101">
        <f>+H137</f>
        <v>62461.3</v>
      </c>
      <c r="L555" s="101">
        <f>+I137</f>
        <v>527.5</v>
      </c>
      <c r="M555" s="102">
        <f>+J555/L555</f>
        <v>23.455924170616115</v>
      </c>
    </row>
    <row r="556" spans="1:13">
      <c r="H556" s="100" t="s">
        <v>167</v>
      </c>
      <c r="J556" s="46">
        <f>+G163</f>
        <v>1824</v>
      </c>
      <c r="K556" s="101">
        <f>+H163</f>
        <v>11543.66</v>
      </c>
      <c r="L556" s="101">
        <f>+I163</f>
        <v>412</v>
      </c>
      <c r="M556" s="102">
        <f>+J556/L556</f>
        <v>4.4271844660194173</v>
      </c>
    </row>
    <row r="557" spans="1:13">
      <c r="J557" s="46">
        <f>+B171</f>
        <v>91250</v>
      </c>
      <c r="M557" s="102"/>
    </row>
    <row r="558" spans="1:13">
      <c r="G558" t="s">
        <v>169</v>
      </c>
      <c r="M558" s="102"/>
    </row>
    <row r="559" spans="1:13">
      <c r="H559" s="100" t="s">
        <v>163</v>
      </c>
      <c r="J559" s="46">
        <f>+G199</f>
        <v>26175</v>
      </c>
      <c r="K559" s="101">
        <f>+H199</f>
        <v>132236.33000000002</v>
      </c>
      <c r="L559" s="101">
        <f>+I199</f>
        <v>1740.55</v>
      </c>
      <c r="M559" s="102">
        <f>+J559/L559</f>
        <v>15.038349946855879</v>
      </c>
    </row>
    <row r="560" spans="1:13">
      <c r="H560" s="100" t="s">
        <v>164</v>
      </c>
      <c r="J560" s="46">
        <f>+G257</f>
        <v>41443</v>
      </c>
      <c r="K560" s="101">
        <f>+H257</f>
        <v>208989.25999999998</v>
      </c>
      <c r="L560" s="101">
        <f>+I257</f>
        <v>1184.25</v>
      </c>
      <c r="M560" s="102">
        <f>+J560/L560</f>
        <v>34.9951446062909</v>
      </c>
    </row>
    <row r="561" spans="7:13">
      <c r="H561" s="100" t="s">
        <v>165</v>
      </c>
      <c r="J561" s="46">
        <f>+G292</f>
        <v>5405</v>
      </c>
      <c r="K561" s="101">
        <f>+H292</f>
        <v>21575.719999999998</v>
      </c>
      <c r="L561" s="101">
        <f>+I292</f>
        <v>1037</v>
      </c>
      <c r="M561" s="102">
        <f>+J561/L561</f>
        <v>5.2121504339440694</v>
      </c>
    </row>
    <row r="562" spans="7:13">
      <c r="H562" s="100" t="s">
        <v>166</v>
      </c>
      <c r="J562" s="46">
        <f>+G308</f>
        <v>10989</v>
      </c>
      <c r="K562" s="101">
        <f>+H308</f>
        <v>55496.14</v>
      </c>
      <c r="L562" s="101">
        <f>+I308</f>
        <v>615.36</v>
      </c>
      <c r="M562" s="102">
        <f>+J562/L562</f>
        <v>17.857839313572544</v>
      </c>
    </row>
    <row r="563" spans="7:13">
      <c r="H563" s="100" t="s">
        <v>167</v>
      </c>
      <c r="J563" s="46">
        <f>+G334</f>
        <v>2076</v>
      </c>
      <c r="K563" s="101">
        <f>+H334</f>
        <v>13473.76</v>
      </c>
      <c r="L563" s="101">
        <f>+I334</f>
        <v>526</v>
      </c>
      <c r="M563" s="102">
        <f>+J563/L563</f>
        <v>3.9467680608365021</v>
      </c>
    </row>
    <row r="564" spans="7:13">
      <c r="G564" t="s">
        <v>170</v>
      </c>
      <c r="J564" s="46">
        <f>+B342</f>
        <v>91292</v>
      </c>
      <c r="K564" s="101"/>
      <c r="L564" s="101"/>
      <c r="M564" s="102"/>
    </row>
    <row r="565" spans="7:13">
      <c r="H565" s="100" t="s">
        <v>163</v>
      </c>
      <c r="J565" s="46">
        <f>+G370</f>
        <v>0</v>
      </c>
      <c r="K565" s="101">
        <f>+H370</f>
        <v>0</v>
      </c>
      <c r="L565" s="101">
        <f>+I370</f>
        <v>0</v>
      </c>
      <c r="M565" s="102" t="e">
        <f>+J565/L565</f>
        <v>#DIV/0!</v>
      </c>
    </row>
    <row r="566" spans="7:13">
      <c r="H566" s="100" t="s">
        <v>164</v>
      </c>
      <c r="J566" s="46">
        <f>+G428</f>
        <v>0</v>
      </c>
      <c r="K566" s="101">
        <f>+H428</f>
        <v>0</v>
      </c>
      <c r="L566" s="101">
        <f>+I428</f>
        <v>0</v>
      </c>
      <c r="M566" s="102" t="e">
        <f>+J566/L566</f>
        <v>#DIV/0!</v>
      </c>
    </row>
    <row r="567" spans="7:13">
      <c r="H567" s="100" t="s">
        <v>165</v>
      </c>
      <c r="J567" s="46">
        <f>+G463</f>
        <v>11079</v>
      </c>
      <c r="K567" s="101">
        <f>+H463</f>
        <v>55767.570000000007</v>
      </c>
      <c r="L567" s="101">
        <f>+I463</f>
        <v>926</v>
      </c>
      <c r="M567" s="102">
        <f>+J567/L567</f>
        <v>11.964362850971922</v>
      </c>
    </row>
    <row r="568" spans="7:13">
      <c r="H568" s="100" t="s">
        <v>166</v>
      </c>
      <c r="J568" s="46">
        <f>+G479</f>
        <v>0</v>
      </c>
      <c r="K568" s="101">
        <f>+H479</f>
        <v>0</v>
      </c>
      <c r="L568" s="101">
        <f>+I479</f>
        <v>0</v>
      </c>
      <c r="M568" s="102" t="e">
        <f>+J568/L568</f>
        <v>#DIV/0!</v>
      </c>
    </row>
    <row r="569" spans="7:13">
      <c r="H569" s="100" t="s">
        <v>167</v>
      </c>
      <c r="J569" s="46">
        <f>+G506</f>
        <v>0</v>
      </c>
      <c r="K569" s="101">
        <f>+H506</f>
        <v>0</v>
      </c>
      <c r="L569" s="101">
        <f>+I506</f>
        <v>0</v>
      </c>
      <c r="M569" s="102" t="e">
        <f>+J569/L569</f>
        <v>#DIV/0!</v>
      </c>
    </row>
    <row r="570" spans="7:13">
      <c r="J570" s="46">
        <f>+B514</f>
        <v>11079</v>
      </c>
    </row>
  </sheetData>
  <mergeCells count="558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M529:N529"/>
    <mergeCell ref="O529:P529"/>
    <mergeCell ref="Q529:R529"/>
    <mergeCell ref="S529:T529"/>
    <mergeCell ref="A530:B530"/>
    <mergeCell ref="C530:D530"/>
    <mergeCell ref="E530:F530"/>
    <mergeCell ref="I530:J530"/>
    <mergeCell ref="K530:L530"/>
    <mergeCell ref="M530:N530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A527:B527"/>
    <mergeCell ref="C527:D527"/>
    <mergeCell ref="E527:F527"/>
    <mergeCell ref="I527:J527"/>
    <mergeCell ref="K527:L527"/>
    <mergeCell ref="M527:N527"/>
    <mergeCell ref="O527:P527"/>
    <mergeCell ref="Q527:R527"/>
    <mergeCell ref="S527:T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A523:B523"/>
    <mergeCell ref="C523:D523"/>
    <mergeCell ref="E523:F523"/>
    <mergeCell ref="G523:H530"/>
    <mergeCell ref="I523:J523"/>
    <mergeCell ref="K523:L523"/>
    <mergeCell ref="A528:B528"/>
    <mergeCell ref="C528:D528"/>
    <mergeCell ref="E528:F528"/>
    <mergeCell ref="I528:J528"/>
    <mergeCell ref="O524:P524"/>
    <mergeCell ref="Q524:R524"/>
    <mergeCell ref="S524:T524"/>
    <mergeCell ref="A525:B525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21:B521"/>
    <mergeCell ref="C521:D521"/>
    <mergeCell ref="E521:F521"/>
    <mergeCell ref="G521:H521"/>
    <mergeCell ref="I521:J521"/>
    <mergeCell ref="K521:L521"/>
    <mergeCell ref="M521:N521"/>
    <mergeCell ref="O521:P521"/>
    <mergeCell ref="G517:I517"/>
    <mergeCell ref="N517:R517"/>
    <mergeCell ref="A519:B519"/>
    <mergeCell ref="C519:D519"/>
    <mergeCell ref="E519:F519"/>
    <mergeCell ref="G519:H519"/>
    <mergeCell ref="I519:J519"/>
    <mergeCell ref="K519:L519"/>
    <mergeCell ref="M519:N519"/>
    <mergeCell ref="O519:P519"/>
    <mergeCell ref="C515:D515"/>
    <mergeCell ref="E515:F515"/>
    <mergeCell ref="G515:H515"/>
    <mergeCell ref="I515:J515"/>
    <mergeCell ref="K515:L515"/>
    <mergeCell ref="Z515:AA515"/>
    <mergeCell ref="C516:D516"/>
    <mergeCell ref="E516:F516"/>
    <mergeCell ref="G516:H516"/>
    <mergeCell ref="I516:J516"/>
    <mergeCell ref="K516:L516"/>
    <mergeCell ref="M516:N516"/>
    <mergeCell ref="P516:Q516"/>
    <mergeCell ref="R516:S516"/>
    <mergeCell ref="T516:U516"/>
    <mergeCell ref="M515:N515"/>
    <mergeCell ref="P515:Q515"/>
    <mergeCell ref="R515:S515"/>
    <mergeCell ref="T515:U515"/>
    <mergeCell ref="V515:W515"/>
    <mergeCell ref="X515:Y515"/>
    <mergeCell ref="V516:W516"/>
    <mergeCell ref="X516:Y516"/>
    <mergeCell ref="Z516:AA516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M514:N514"/>
    <mergeCell ref="P514:Q514"/>
    <mergeCell ref="R514:S514"/>
    <mergeCell ref="T514:U514"/>
    <mergeCell ref="V514:W514"/>
    <mergeCell ref="X514:Y514"/>
    <mergeCell ref="Z514:AA514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V511:W511"/>
    <mergeCell ref="X511:Y511"/>
    <mergeCell ref="Z511:AA511"/>
    <mergeCell ref="C512:D512"/>
    <mergeCell ref="E512:F512"/>
    <mergeCell ref="G512:H512"/>
    <mergeCell ref="I512:J512"/>
    <mergeCell ref="K512:L512"/>
    <mergeCell ref="Z512:AA512"/>
    <mergeCell ref="M512:N512"/>
    <mergeCell ref="P512:Q512"/>
    <mergeCell ref="R512:S512"/>
    <mergeCell ref="T512:U512"/>
    <mergeCell ref="V512:W512"/>
    <mergeCell ref="X512:Y512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C510:D510"/>
    <mergeCell ref="E510:F510"/>
    <mergeCell ref="G510:H510"/>
    <mergeCell ref="I510:J510"/>
    <mergeCell ref="K510:L510"/>
    <mergeCell ref="M510:N510"/>
    <mergeCell ref="P510:Q510"/>
    <mergeCell ref="V510:W510"/>
    <mergeCell ref="X510:Y510"/>
    <mergeCell ref="R508:S508"/>
    <mergeCell ref="T508:U508"/>
    <mergeCell ref="R509:S509"/>
    <mergeCell ref="T509:U509"/>
    <mergeCell ref="R510:S510"/>
    <mergeCell ref="T510:U510"/>
    <mergeCell ref="V509:W509"/>
    <mergeCell ref="X509:Y509"/>
    <mergeCell ref="Z509:AA509"/>
    <mergeCell ref="Z510:AA510"/>
    <mergeCell ref="A490:B490"/>
    <mergeCell ref="A506:B506"/>
    <mergeCell ref="A507:F507"/>
    <mergeCell ref="AL507:AR507"/>
    <mergeCell ref="AS507:BA507"/>
    <mergeCell ref="A508:A513"/>
    <mergeCell ref="C508:D508"/>
    <mergeCell ref="E508:F508"/>
    <mergeCell ref="G508:H508"/>
    <mergeCell ref="I508:J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K508:L508"/>
    <mergeCell ref="M508:N508"/>
    <mergeCell ref="O508:O516"/>
    <mergeCell ref="P508:Q508"/>
    <mergeCell ref="A370:B370"/>
    <mergeCell ref="A428:B428"/>
    <mergeCell ref="A463:B463"/>
    <mergeCell ref="A479:B479"/>
    <mergeCell ref="AJ346:AJ348"/>
    <mergeCell ref="AK346:AK348"/>
    <mergeCell ref="AL346:BA346"/>
    <mergeCell ref="O347:O348"/>
    <mergeCell ref="P347:P348"/>
    <mergeCell ref="Q347:Q348"/>
    <mergeCell ref="R347:R348"/>
    <mergeCell ref="S347:S348"/>
    <mergeCell ref="T347:T348"/>
    <mergeCell ref="U347:U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G346:H347"/>
    <mergeCell ref="I346:I348"/>
    <mergeCell ref="J346:J348"/>
    <mergeCell ref="K346:K348"/>
    <mergeCell ref="L346:L348"/>
    <mergeCell ref="M346:M348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32"/>
  <sheetViews>
    <sheetView topLeftCell="A73" zoomScaleNormal="100" workbookViewId="0">
      <selection activeCell="E487" sqref="E487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765" t="s">
        <v>23</v>
      </c>
      <c r="B2" s="765"/>
      <c r="C2" s="765"/>
      <c r="D2" s="765"/>
      <c r="E2" s="765"/>
      <c r="F2" s="765"/>
      <c r="G2" s="765"/>
      <c r="H2" s="765"/>
      <c r="I2" s="765"/>
      <c r="J2" s="765"/>
      <c r="K2" s="765"/>
      <c r="L2" s="765"/>
      <c r="M2" s="765"/>
      <c r="N2" s="765"/>
      <c r="O2" s="765"/>
      <c r="P2" s="765"/>
      <c r="Q2" s="765"/>
      <c r="R2" s="765"/>
      <c r="S2" s="765"/>
      <c r="T2" s="765"/>
      <c r="U2" s="765"/>
      <c r="V2" s="765"/>
      <c r="W2" s="765"/>
      <c r="X2" s="765"/>
      <c r="Y2" s="765"/>
      <c r="Z2" s="765"/>
      <c r="AA2" s="765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766" t="s">
        <v>12</v>
      </c>
      <c r="B4" s="745" t="s">
        <v>25</v>
      </c>
      <c r="C4" s="745" t="s">
        <v>26</v>
      </c>
      <c r="D4" s="745" t="s">
        <v>27</v>
      </c>
      <c r="E4" s="757" t="s">
        <v>28</v>
      </c>
      <c r="F4" s="760" t="s">
        <v>29</v>
      </c>
      <c r="G4" s="724" t="s">
        <v>30</v>
      </c>
      <c r="H4" s="724"/>
      <c r="I4" s="745" t="s">
        <v>31</v>
      </c>
      <c r="J4" s="748" t="s">
        <v>32</v>
      </c>
      <c r="K4" s="751" t="s">
        <v>33</v>
      </c>
      <c r="L4" s="745" t="s">
        <v>34</v>
      </c>
      <c r="M4" s="754" t="s">
        <v>35</v>
      </c>
      <c r="N4" s="742" t="s">
        <v>36</v>
      </c>
      <c r="O4" s="724" t="s">
        <v>37</v>
      </c>
      <c r="P4" s="724"/>
      <c r="Q4" s="724"/>
      <c r="R4" s="724"/>
      <c r="S4" s="724"/>
      <c r="T4" s="724"/>
      <c r="U4" s="724"/>
      <c r="V4" s="743" t="s">
        <v>38</v>
      </c>
      <c r="W4" s="742" t="s">
        <v>39</v>
      </c>
      <c r="X4" s="724" t="s">
        <v>40</v>
      </c>
      <c r="Y4" s="724"/>
      <c r="Z4" s="724"/>
      <c r="AA4" s="724"/>
      <c r="AB4" s="769" t="s">
        <v>434</v>
      </c>
      <c r="AC4" s="771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767"/>
      <c r="B5" s="746"/>
      <c r="C5" s="746"/>
      <c r="D5" s="746"/>
      <c r="E5" s="758"/>
      <c r="F5" s="761"/>
      <c r="G5" s="724"/>
      <c r="H5" s="724"/>
      <c r="I5" s="746"/>
      <c r="J5" s="749"/>
      <c r="K5" s="752"/>
      <c r="L5" s="746"/>
      <c r="M5" s="755"/>
      <c r="N5" s="742"/>
      <c r="O5" s="724" t="s">
        <v>41</v>
      </c>
      <c r="P5" s="724" t="s">
        <v>42</v>
      </c>
      <c r="Q5" s="724" t="s">
        <v>43</v>
      </c>
      <c r="R5" s="741" t="s">
        <v>44</v>
      </c>
      <c r="S5" s="694" t="s">
        <v>45</v>
      </c>
      <c r="T5" s="724" t="s">
        <v>46</v>
      </c>
      <c r="U5" s="724" t="s">
        <v>47</v>
      </c>
      <c r="V5" s="743"/>
      <c r="W5" s="742"/>
      <c r="X5" s="724" t="s">
        <v>13</v>
      </c>
      <c r="Y5" s="724" t="s">
        <v>48</v>
      </c>
      <c r="Z5" s="724" t="s">
        <v>49</v>
      </c>
      <c r="AA5" s="724" t="s">
        <v>47</v>
      </c>
      <c r="AB5" s="770"/>
      <c r="AC5" s="77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768"/>
      <c r="B6" s="747"/>
      <c r="C6" s="747"/>
      <c r="D6" s="747"/>
      <c r="E6" s="759"/>
      <c r="F6" s="762"/>
      <c r="G6" s="242" t="s">
        <v>50</v>
      </c>
      <c r="H6" s="242" t="s">
        <v>51</v>
      </c>
      <c r="I6" s="747"/>
      <c r="J6" s="750"/>
      <c r="K6" s="753"/>
      <c r="L6" s="747"/>
      <c r="M6" s="755"/>
      <c r="N6" s="742"/>
      <c r="O6" s="724"/>
      <c r="P6" s="724"/>
      <c r="Q6" s="724"/>
      <c r="R6" s="741"/>
      <c r="S6" s="694"/>
      <c r="T6" s="724"/>
      <c r="U6" s="724"/>
      <c r="V6" s="743"/>
      <c r="W6" s="742"/>
      <c r="X6" s="724"/>
      <c r="Y6" s="724"/>
      <c r="Z6" s="724"/>
      <c r="AA6" s="724"/>
      <c r="AB6" s="770"/>
      <c r="AC6" s="77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SUM('1:2'!G7)</f>
        <v>0</v>
      </c>
      <c r="H7" s="95">
        <f t="shared" ref="H7:H24" si="0">D7*G7</f>
        <v>0</v>
      </c>
      <c r="I7" s="93">
        <f>SUM('1:2'!I7)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SUM('1:2'!N7)</f>
        <v>0</v>
      </c>
      <c r="O7" s="93">
        <f>SUM('1:2'!O7)</f>
        <v>0</v>
      </c>
      <c r="P7" s="93">
        <f>SUM('1:2'!P7)</f>
        <v>0</v>
      </c>
      <c r="Q7" s="93">
        <f>SUM('1:2'!Q7)</f>
        <v>0</v>
      </c>
      <c r="R7" s="93">
        <f>SUM('1:2'!R7)</f>
        <v>0</v>
      </c>
      <c r="S7" s="93">
        <f>SUM('1:2'!S7)</f>
        <v>0</v>
      </c>
      <c r="T7" s="93">
        <f>SUM('1:2'!T7)</f>
        <v>0</v>
      </c>
      <c r="U7" s="93">
        <f>SUM('1:2'!U7)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SUM('1:2'!X7)</f>
        <v>0</v>
      </c>
      <c r="Y7" s="93">
        <f>SUM('1:2'!Y7)</f>
        <v>0</v>
      </c>
      <c r="Z7" s="93">
        <f>SUM('1:2'!Z7)</f>
        <v>0</v>
      </c>
      <c r="AA7" s="93">
        <f>SUM('1:2'!AA7)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SUM('1:2'!G8)</f>
        <v>0</v>
      </c>
      <c r="H8" s="95">
        <f t="shared" si="0"/>
        <v>0</v>
      </c>
      <c r="I8" s="93">
        <f>SUM('1:2'!I8)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SUM('1:2'!N8)</f>
        <v>0</v>
      </c>
      <c r="O8" s="93">
        <f>SUM('1:2'!O8)</f>
        <v>0</v>
      </c>
      <c r="P8" s="93">
        <f>SUM('1:2'!P8)</f>
        <v>0</v>
      </c>
      <c r="Q8" s="93">
        <f>SUM('1:2'!Q8)</f>
        <v>0</v>
      </c>
      <c r="R8" s="93">
        <f>SUM('1:2'!R8)</f>
        <v>0</v>
      </c>
      <c r="S8" s="93">
        <f>SUM('1:2'!S8)</f>
        <v>0</v>
      </c>
      <c r="T8" s="93">
        <f>SUM('1:2'!T8)</f>
        <v>0</v>
      </c>
      <c r="U8" s="93">
        <f>SUM('1:2'!U8)</f>
        <v>0</v>
      </c>
      <c r="V8" s="205">
        <f t="shared" si="2"/>
        <v>0</v>
      </c>
      <c r="W8" s="33" t="str">
        <f t="shared" si="3"/>
        <v/>
      </c>
      <c r="X8" s="93">
        <f>SUM('1:2'!X8)</f>
        <v>0</v>
      </c>
      <c r="Y8" s="93">
        <f>SUM('1:2'!Y8)</f>
        <v>0</v>
      </c>
      <c r="Z8" s="93">
        <f>SUM('1:2'!Z8)</f>
        <v>0</v>
      </c>
      <c r="AA8" s="93">
        <f>SUM('1:2'!AA8)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SUM('1:2'!G9)</f>
        <v>0</v>
      </c>
      <c r="H9" s="95">
        <f t="shared" si="0"/>
        <v>0</v>
      </c>
      <c r="I9" s="93">
        <f>SUM('1:2'!I9)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SUM('1:2'!N9)</f>
        <v>0</v>
      </c>
      <c r="O9" s="93">
        <f>SUM('1:2'!O9)</f>
        <v>0</v>
      </c>
      <c r="P9" s="93">
        <f>SUM('1:2'!P9)</f>
        <v>0</v>
      </c>
      <c r="Q9" s="93">
        <f>SUM('1:2'!Q9)</f>
        <v>0</v>
      </c>
      <c r="R9" s="93">
        <f>SUM('1:2'!R9)</f>
        <v>0</v>
      </c>
      <c r="S9" s="93">
        <f>SUM('1:2'!S9)</f>
        <v>0</v>
      </c>
      <c r="T9" s="93">
        <f>SUM('1:2'!T9)</f>
        <v>0</v>
      </c>
      <c r="U9" s="93">
        <f>SUM('1:2'!U9)</f>
        <v>0</v>
      </c>
      <c r="V9" s="205">
        <f t="shared" si="2"/>
        <v>0</v>
      </c>
      <c r="W9" s="33" t="str">
        <f t="shared" si="3"/>
        <v/>
      </c>
      <c r="X9" s="93">
        <f>SUM('1:2'!X9)</f>
        <v>0</v>
      </c>
      <c r="Y9" s="93">
        <f>SUM('1:2'!Y9)</f>
        <v>0</v>
      </c>
      <c r="Z9" s="93">
        <f>SUM('1:2'!Z9)</f>
        <v>0</v>
      </c>
      <c r="AA9" s="93">
        <f>SUM('1:2'!AA9)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SUM('1:2'!G10)</f>
        <v>504</v>
      </c>
      <c r="H10" s="95">
        <f t="shared" si="0"/>
        <v>2535.1200000000003</v>
      </c>
      <c r="I10" s="93">
        <f>SUM('1:2'!I10)</f>
        <v>36</v>
      </c>
      <c r="J10" s="31">
        <f t="array" ref="J10">IF(ISERROR(G10/I10),"",G10/I10)</f>
        <v>14</v>
      </c>
      <c r="K10" s="35">
        <f t="array" ref="K10">IF(ISERROR(G10/L10),"",G10/L10)</f>
        <v>26.526315789473685</v>
      </c>
      <c r="L10" s="87">
        <v>19</v>
      </c>
      <c r="M10" s="36">
        <f t="shared" si="1"/>
        <v>9.473684210526315</v>
      </c>
      <c r="N10" s="93">
        <f>SUM('1:2'!N10)</f>
        <v>0</v>
      </c>
      <c r="O10" s="93">
        <f>SUM('1:2'!O10)</f>
        <v>0</v>
      </c>
      <c r="P10" s="93">
        <f>SUM('1:2'!P10)</f>
        <v>0</v>
      </c>
      <c r="Q10" s="93">
        <f>SUM('1:2'!Q10)</f>
        <v>0</v>
      </c>
      <c r="R10" s="93">
        <f>SUM('1:2'!R10)</f>
        <v>0</v>
      </c>
      <c r="S10" s="93">
        <f>SUM('1:2'!S10)</f>
        <v>0</v>
      </c>
      <c r="T10" s="93">
        <f>SUM('1:2'!T10)</f>
        <v>0</v>
      </c>
      <c r="U10" s="93">
        <f>SUM('1:2'!U10)</f>
        <v>0</v>
      </c>
      <c r="V10" s="205">
        <f t="shared" si="2"/>
        <v>0</v>
      </c>
      <c r="W10" s="33">
        <f t="shared" si="3"/>
        <v>0</v>
      </c>
      <c r="X10" s="93">
        <f>SUM('1:2'!X10)</f>
        <v>0</v>
      </c>
      <c r="Y10" s="93">
        <f>SUM('1:2'!Y10)</f>
        <v>0</v>
      </c>
      <c r="Z10" s="93">
        <f>SUM('1:2'!Z10)</f>
        <v>0</v>
      </c>
      <c r="AA10" s="93">
        <f>SUM('1:2'!AA10)</f>
        <v>0</v>
      </c>
      <c r="AB10" s="358">
        <v>0.55000000000000004</v>
      </c>
      <c r="AC10" s="269">
        <f t="shared" si="4"/>
        <v>277.20000000000005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SUM('1:2'!G11)</f>
        <v>258</v>
      </c>
      <c r="H11" s="95">
        <f t="shared" si="0"/>
        <v>1297.74</v>
      </c>
      <c r="I11" s="93">
        <f>SUM('1:2'!I11)</f>
        <v>24</v>
      </c>
      <c r="J11" s="31">
        <f t="array" ref="J11">IF(ISERROR(G11/I11),"",G11/I11)</f>
        <v>10.75</v>
      </c>
      <c r="K11" s="35">
        <f t="array" ref="K11">IF(ISERROR(G11/L11),"",G11/L11)</f>
        <v>12.9</v>
      </c>
      <c r="L11" s="87">
        <v>20</v>
      </c>
      <c r="M11" s="36">
        <f t="shared" si="1"/>
        <v>11.1</v>
      </c>
      <c r="N11" s="93">
        <f>SUM('1:2'!N11)</f>
        <v>0</v>
      </c>
      <c r="O11" s="93">
        <f>SUM('1:2'!O11)</f>
        <v>0</v>
      </c>
      <c r="P11" s="93">
        <f>SUM('1:2'!P11)</f>
        <v>0</v>
      </c>
      <c r="Q11" s="93">
        <f>SUM('1:2'!Q11)</f>
        <v>0</v>
      </c>
      <c r="R11" s="93">
        <f>SUM('1:2'!R11)</f>
        <v>0</v>
      </c>
      <c r="S11" s="93">
        <f>SUM('1:2'!S11)</f>
        <v>0</v>
      </c>
      <c r="T11" s="93">
        <f>SUM('1:2'!T11)</f>
        <v>0</v>
      </c>
      <c r="U11" s="93">
        <f>SUM('1:2'!U11)</f>
        <v>0</v>
      </c>
      <c r="V11" s="205">
        <f t="shared" si="2"/>
        <v>0</v>
      </c>
      <c r="W11" s="33">
        <f t="shared" si="3"/>
        <v>0</v>
      </c>
      <c r="X11" s="93">
        <f>SUM('1:2'!X11)</f>
        <v>0</v>
      </c>
      <c r="Y11" s="93">
        <f>SUM('1:2'!Y11)</f>
        <v>0</v>
      </c>
      <c r="Z11" s="93">
        <f>SUM('1:2'!Z11)</f>
        <v>0</v>
      </c>
      <c r="AA11" s="93">
        <f>SUM('1:2'!AA11)</f>
        <v>0</v>
      </c>
      <c r="AB11" s="358">
        <v>0.52</v>
      </c>
      <c r="AC11" s="269">
        <f t="shared" si="4"/>
        <v>134.16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SUM('1:2'!G12)</f>
        <v>0</v>
      </c>
      <c r="H12" s="95">
        <f t="shared" si="0"/>
        <v>0</v>
      </c>
      <c r="I12" s="93">
        <f>SUM('1:2'!I12)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SUM('1:2'!N12)</f>
        <v>0</v>
      </c>
      <c r="O12" s="93">
        <f>SUM('1:2'!O12)</f>
        <v>0</v>
      </c>
      <c r="P12" s="93">
        <f>SUM('1:2'!P12)</f>
        <v>0</v>
      </c>
      <c r="Q12" s="93">
        <f>SUM('1:2'!Q12)</f>
        <v>0</v>
      </c>
      <c r="R12" s="93">
        <f>SUM('1:2'!R12)</f>
        <v>0</v>
      </c>
      <c r="S12" s="93">
        <f>SUM('1:2'!S12)</f>
        <v>0</v>
      </c>
      <c r="T12" s="93">
        <f>SUM('1:2'!T12)</f>
        <v>0</v>
      </c>
      <c r="U12" s="93">
        <f>SUM('1:2'!U12)</f>
        <v>0</v>
      </c>
      <c r="V12" s="205">
        <f t="shared" si="2"/>
        <v>0</v>
      </c>
      <c r="W12" s="33" t="str">
        <f t="shared" si="3"/>
        <v/>
      </c>
      <c r="X12" s="93">
        <f>SUM('1:2'!X12)</f>
        <v>0</v>
      </c>
      <c r="Y12" s="93">
        <f>SUM('1:2'!Y12)</f>
        <v>0</v>
      </c>
      <c r="Z12" s="93">
        <f>SUM('1:2'!Z12)</f>
        <v>0</v>
      </c>
      <c r="AA12" s="93">
        <f>SUM('1:2'!AA12)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SUM('1:2'!G13)</f>
        <v>0</v>
      </c>
      <c r="H13" s="95">
        <f t="shared" si="0"/>
        <v>0</v>
      </c>
      <c r="I13" s="93">
        <f>SUM('1:2'!I13)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SUM('1:2'!N13)</f>
        <v>0</v>
      </c>
      <c r="O13" s="93">
        <f>SUM('1:2'!O13)</f>
        <v>0</v>
      </c>
      <c r="P13" s="93">
        <f>SUM('1:2'!P13)</f>
        <v>0</v>
      </c>
      <c r="Q13" s="93">
        <f>SUM('1:2'!Q13)</f>
        <v>0</v>
      </c>
      <c r="R13" s="93">
        <f>SUM('1:2'!R13)</f>
        <v>0</v>
      </c>
      <c r="S13" s="93">
        <f>SUM('1:2'!S13)</f>
        <v>0</v>
      </c>
      <c r="T13" s="93">
        <f>SUM('1:2'!T13)</f>
        <v>0</v>
      </c>
      <c r="U13" s="93">
        <f>SUM('1:2'!U13)</f>
        <v>0</v>
      </c>
      <c r="V13" s="205">
        <f t="shared" si="2"/>
        <v>0</v>
      </c>
      <c r="W13" s="33" t="str">
        <f t="shared" si="3"/>
        <v/>
      </c>
      <c r="X13" s="93">
        <f>SUM('1:2'!X13)</f>
        <v>0</v>
      </c>
      <c r="Y13" s="93">
        <f>SUM('1:2'!Y13)</f>
        <v>0</v>
      </c>
      <c r="Z13" s="93">
        <f>SUM('1:2'!Z13)</f>
        <v>0</v>
      </c>
      <c r="AA13" s="93">
        <f>SUM('1:2'!AA13)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SUM('1:2'!G14)</f>
        <v>0</v>
      </c>
      <c r="H14" s="95">
        <f t="shared" si="0"/>
        <v>0</v>
      </c>
      <c r="I14" s="93">
        <f>SUM('1:2'!I14)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SUM('1:2'!N14)</f>
        <v>0</v>
      </c>
      <c r="O14" s="93">
        <f>SUM('1:2'!O14)</f>
        <v>0</v>
      </c>
      <c r="P14" s="93">
        <f>SUM('1:2'!P14)</f>
        <v>0</v>
      </c>
      <c r="Q14" s="93">
        <f>SUM('1:2'!Q14)</f>
        <v>0</v>
      </c>
      <c r="R14" s="93">
        <f>SUM('1:2'!R14)</f>
        <v>0</v>
      </c>
      <c r="S14" s="93">
        <f>SUM('1:2'!S14)</f>
        <v>0</v>
      </c>
      <c r="T14" s="93">
        <f>SUM('1:2'!T14)</f>
        <v>0</v>
      </c>
      <c r="U14" s="93">
        <f>SUM('1:2'!U14)</f>
        <v>0</v>
      </c>
      <c r="V14" s="205">
        <f t="shared" si="2"/>
        <v>0</v>
      </c>
      <c r="W14" s="33" t="str">
        <f t="shared" si="3"/>
        <v/>
      </c>
      <c r="X14" s="93">
        <f>SUM('1:2'!X14)</f>
        <v>0</v>
      </c>
      <c r="Y14" s="93">
        <f>SUM('1:2'!Y14)</f>
        <v>0</v>
      </c>
      <c r="Z14" s="93">
        <f>SUM('1:2'!Z14)</f>
        <v>0</v>
      </c>
      <c r="AA14" s="93">
        <f>SUM('1:2'!AA14)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SUM('1:2'!G15)</f>
        <v>0</v>
      </c>
      <c r="H15" s="95">
        <f t="shared" si="0"/>
        <v>0</v>
      </c>
      <c r="I15" s="93">
        <f>SUM('1:2'!I15)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SUM('1:2'!N15)</f>
        <v>0</v>
      </c>
      <c r="O15" s="93">
        <f>SUM('1:2'!O15)</f>
        <v>0</v>
      </c>
      <c r="P15" s="93">
        <f>SUM('1:2'!P15)</f>
        <v>0</v>
      </c>
      <c r="Q15" s="93">
        <f>SUM('1:2'!Q15)</f>
        <v>0</v>
      </c>
      <c r="R15" s="93">
        <f>SUM('1:2'!R15)</f>
        <v>0</v>
      </c>
      <c r="S15" s="93">
        <f>SUM('1:2'!S15)</f>
        <v>0</v>
      </c>
      <c r="T15" s="93">
        <f>SUM('1:2'!T15)</f>
        <v>0</v>
      </c>
      <c r="U15" s="93">
        <f>SUM('1:2'!U15)</f>
        <v>0</v>
      </c>
      <c r="V15" s="205">
        <f t="shared" si="2"/>
        <v>0</v>
      </c>
      <c r="W15" s="33" t="str">
        <f t="shared" si="3"/>
        <v/>
      </c>
      <c r="X15" s="93">
        <f>SUM('1:2'!X15)</f>
        <v>0</v>
      </c>
      <c r="Y15" s="93">
        <f>SUM('1:2'!Y15)</f>
        <v>0</v>
      </c>
      <c r="Z15" s="93">
        <f>SUM('1:2'!Z15)</f>
        <v>0</v>
      </c>
      <c r="AA15" s="93">
        <f>SUM('1:2'!AA15)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SUM('1:2'!G16)</f>
        <v>140</v>
      </c>
      <c r="H16" s="95">
        <f t="shared" si="0"/>
        <v>705.6</v>
      </c>
      <c r="I16" s="93">
        <f>SUM('1:2'!I16)</f>
        <v>10</v>
      </c>
      <c r="J16" s="31">
        <f t="array" ref="J16">IF(ISERROR(G16/I16),"",G16/I16)</f>
        <v>14</v>
      </c>
      <c r="K16" s="35">
        <f t="array" ref="K16">IF(ISERROR(G16/L16),"",G16/L16)</f>
        <v>8.235294117647058</v>
      </c>
      <c r="L16" s="87">
        <v>17</v>
      </c>
      <c r="M16" s="36">
        <f t="shared" si="1"/>
        <v>1.764705882352942</v>
      </c>
      <c r="N16" s="93">
        <f>SUM('1:2'!N16)</f>
        <v>0</v>
      </c>
      <c r="O16" s="93">
        <f>SUM('1:2'!O16)</f>
        <v>0</v>
      </c>
      <c r="P16" s="93">
        <f>SUM('1:2'!P16)</f>
        <v>0</v>
      </c>
      <c r="Q16" s="93">
        <f>SUM('1:2'!Q16)</f>
        <v>0</v>
      </c>
      <c r="R16" s="93">
        <f>SUM('1:2'!R16)</f>
        <v>0</v>
      </c>
      <c r="S16" s="93">
        <f>SUM('1:2'!S16)</f>
        <v>0</v>
      </c>
      <c r="T16" s="93">
        <f>SUM('1:2'!T16)</f>
        <v>0</v>
      </c>
      <c r="U16" s="93">
        <f>SUM('1:2'!U16)</f>
        <v>0</v>
      </c>
      <c r="V16" s="205">
        <f t="shared" si="2"/>
        <v>0</v>
      </c>
      <c r="W16" s="33">
        <f t="shared" si="3"/>
        <v>0</v>
      </c>
      <c r="X16" s="93">
        <f>SUM('1:2'!X16)</f>
        <v>0</v>
      </c>
      <c r="Y16" s="93">
        <f>SUM('1:2'!Y16)</f>
        <v>0</v>
      </c>
      <c r="Z16" s="93">
        <f>SUM('1:2'!Z16)</f>
        <v>0</v>
      </c>
      <c r="AA16" s="93">
        <f>SUM('1:2'!AA16)</f>
        <v>0</v>
      </c>
      <c r="AB16" s="358">
        <v>0.61</v>
      </c>
      <c r="AC16" s="269">
        <f t="shared" si="4"/>
        <v>85.399999999999991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SUM('1:2'!G17)</f>
        <v>0</v>
      </c>
      <c r="H17" s="95">
        <f t="shared" si="0"/>
        <v>0</v>
      </c>
      <c r="I17" s="93">
        <f>SUM('1:2'!I17)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SUM('1:2'!N17)</f>
        <v>0</v>
      </c>
      <c r="O17" s="93">
        <f>SUM('1:2'!O17)</f>
        <v>0</v>
      </c>
      <c r="P17" s="93">
        <f>SUM('1:2'!P17)</f>
        <v>0</v>
      </c>
      <c r="Q17" s="93">
        <f>SUM('1:2'!Q17)</f>
        <v>0</v>
      </c>
      <c r="R17" s="93">
        <f>SUM('1:2'!R17)</f>
        <v>0</v>
      </c>
      <c r="S17" s="93">
        <f>SUM('1:2'!S17)</f>
        <v>0</v>
      </c>
      <c r="T17" s="93">
        <f>SUM('1:2'!T17)</f>
        <v>0</v>
      </c>
      <c r="U17" s="93">
        <f>SUM('1:2'!U17)</f>
        <v>0</v>
      </c>
      <c r="V17" s="205">
        <f t="shared" si="2"/>
        <v>0</v>
      </c>
      <c r="W17" s="33" t="str">
        <f>IF(ISERROR(V17/G17),"",V17/G17)</f>
        <v/>
      </c>
      <c r="X17" s="93">
        <f>SUM('1:2'!X17)</f>
        <v>0</v>
      </c>
      <c r="Y17" s="93">
        <f>SUM('1:2'!Y17)</f>
        <v>0</v>
      </c>
      <c r="Z17" s="93">
        <f>SUM('1:2'!Z17)</f>
        <v>0</v>
      </c>
      <c r="AA17" s="93">
        <f>SUM('1:2'!AA17)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SUM('1:2'!G18)</f>
        <v>0</v>
      </c>
      <c r="H18" s="95">
        <f t="shared" si="0"/>
        <v>0</v>
      </c>
      <c r="I18" s="93">
        <f>SUM('1:2'!I18)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SUM('1:2'!N18)</f>
        <v>0</v>
      </c>
      <c r="O18" s="93">
        <f>SUM('1:2'!O18)</f>
        <v>0</v>
      </c>
      <c r="P18" s="93">
        <f>SUM('1:2'!P18)</f>
        <v>0</v>
      </c>
      <c r="Q18" s="93">
        <f>SUM('1:2'!Q18)</f>
        <v>0</v>
      </c>
      <c r="R18" s="93">
        <f>SUM('1:2'!R18)</f>
        <v>0</v>
      </c>
      <c r="S18" s="93">
        <f>SUM('1:2'!S18)</f>
        <v>0</v>
      </c>
      <c r="T18" s="93">
        <f>SUM('1:2'!T18)</f>
        <v>0</v>
      </c>
      <c r="U18" s="93">
        <f>SUM('1:2'!U18)</f>
        <v>0</v>
      </c>
      <c r="V18" s="205">
        <f t="shared" si="2"/>
        <v>0</v>
      </c>
      <c r="W18" s="33" t="str">
        <f>IF(ISERROR(V18/G18),"",V18/G18)</f>
        <v/>
      </c>
      <c r="X18" s="93">
        <f>SUM('1:2'!X18)</f>
        <v>0</v>
      </c>
      <c r="Y18" s="93">
        <f>SUM('1:2'!Y18)</f>
        <v>0</v>
      </c>
      <c r="Z18" s="93">
        <f>SUM('1:2'!Z18)</f>
        <v>0</v>
      </c>
      <c r="AA18" s="93">
        <f>SUM('1:2'!AA18)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SUM('1:2'!G19)</f>
        <v>704</v>
      </c>
      <c r="H19" s="95">
        <f t="shared" si="0"/>
        <v>3562.24</v>
      </c>
      <c r="I19" s="93">
        <f>SUM('1:2'!I19)</f>
        <v>42.5</v>
      </c>
      <c r="J19" s="31">
        <f t="array" ref="J19">IF(ISERROR(G19/I19),"",G19/I19)</f>
        <v>16.564705882352943</v>
      </c>
      <c r="K19" s="35">
        <f t="array" ref="K19">IF(ISERROR(G19/L19),"",G19/L19)</f>
        <v>37.05263157894737</v>
      </c>
      <c r="L19" s="87">
        <v>19</v>
      </c>
      <c r="M19" s="36">
        <f t="shared" ref="M19:M21" si="5">IF(ISERROR(I19-K19),"",I19-K19)</f>
        <v>5.4473684210526301</v>
      </c>
      <c r="N19" s="93">
        <f>SUM('1:2'!N19)</f>
        <v>0</v>
      </c>
      <c r="O19" s="93">
        <f>SUM('1:2'!O19)</f>
        <v>0</v>
      </c>
      <c r="P19" s="93">
        <f>SUM('1:2'!P19)</f>
        <v>0</v>
      </c>
      <c r="Q19" s="93">
        <f>SUM('1:2'!Q19)</f>
        <v>0</v>
      </c>
      <c r="R19" s="93">
        <f>SUM('1:2'!R19)</f>
        <v>0</v>
      </c>
      <c r="S19" s="93">
        <f>SUM('1:2'!S19)</f>
        <v>0</v>
      </c>
      <c r="T19" s="93">
        <f>SUM('1:2'!T19)</f>
        <v>0</v>
      </c>
      <c r="U19" s="93">
        <f>SUM('1:2'!U19)</f>
        <v>0</v>
      </c>
      <c r="V19" s="205">
        <f t="shared" si="2"/>
        <v>0</v>
      </c>
      <c r="W19" s="33">
        <f t="shared" ref="W19:W21" si="6">IF(ISERROR(V19/G19),"",V19/G19)</f>
        <v>0</v>
      </c>
      <c r="X19" s="93">
        <f>SUM('1:2'!X19)</f>
        <v>0</v>
      </c>
      <c r="Y19" s="93">
        <f>SUM('1:2'!Y19)</f>
        <v>0</v>
      </c>
      <c r="Z19" s="93">
        <f>SUM('1:2'!Z19)</f>
        <v>0</v>
      </c>
      <c r="AA19" s="93">
        <f>SUM('1:2'!AA19)</f>
        <v>0</v>
      </c>
      <c r="AB19" s="358">
        <v>0.55000000000000004</v>
      </c>
      <c r="AC19" s="269">
        <f t="shared" si="4"/>
        <v>387.20000000000005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SUM('1:2'!G20)</f>
        <v>490</v>
      </c>
      <c r="H20" s="95">
        <f t="shared" si="0"/>
        <v>2494.1</v>
      </c>
      <c r="I20" s="93">
        <f>SUM('1:2'!I20)</f>
        <v>27.5</v>
      </c>
      <c r="J20" s="31">
        <f t="array" ref="J20">IF(ISERROR(G20/I20),"",G20/I20)</f>
        <v>17.818181818181817</v>
      </c>
      <c r="K20" s="35">
        <f t="array" ref="K20">IF(ISERROR(G20/L20),"",G20/L20)</f>
        <v>21.304347826086957</v>
      </c>
      <c r="L20" s="87">
        <v>23</v>
      </c>
      <c r="M20" s="36">
        <f t="shared" si="5"/>
        <v>6.195652173913043</v>
      </c>
      <c r="N20" s="93">
        <f>SUM('1:2'!N20)</f>
        <v>0</v>
      </c>
      <c r="O20" s="93">
        <f>SUM('1:2'!O20)</f>
        <v>0</v>
      </c>
      <c r="P20" s="93">
        <f>SUM('1:2'!P20)</f>
        <v>0</v>
      </c>
      <c r="Q20" s="93">
        <f>SUM('1:2'!Q20)</f>
        <v>0</v>
      </c>
      <c r="R20" s="93">
        <f>SUM('1:2'!R20)</f>
        <v>0</v>
      </c>
      <c r="S20" s="93">
        <f>SUM('1:2'!S20)</f>
        <v>0</v>
      </c>
      <c r="T20" s="93">
        <f>SUM('1:2'!T20)</f>
        <v>0</v>
      </c>
      <c r="U20" s="93">
        <f>SUM('1:2'!U20)</f>
        <v>0</v>
      </c>
      <c r="V20" s="205">
        <f t="shared" si="2"/>
        <v>0</v>
      </c>
      <c r="W20" s="33">
        <f t="shared" si="6"/>
        <v>0</v>
      </c>
      <c r="X20" s="93">
        <f>SUM('1:2'!X20)</f>
        <v>0</v>
      </c>
      <c r="Y20" s="93">
        <f>SUM('1:2'!Y20)</f>
        <v>0</v>
      </c>
      <c r="Z20" s="93">
        <f>SUM('1:2'!Z20)</f>
        <v>0</v>
      </c>
      <c r="AA20" s="93">
        <f>SUM('1:2'!AA20)</f>
        <v>0</v>
      </c>
      <c r="AB20" s="358">
        <v>0.45</v>
      </c>
      <c r="AC20" s="269">
        <f t="shared" si="4"/>
        <v>220.5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SUM('1:2'!G21)</f>
        <v>1190</v>
      </c>
      <c r="H21" s="95">
        <f t="shared" si="0"/>
        <v>6057.0999999999995</v>
      </c>
      <c r="I21" s="93">
        <f>SUM('1:2'!I21)</f>
        <v>72.5</v>
      </c>
      <c r="J21" s="31">
        <f t="array" ref="J21">IF(ISERROR(G21/I21),"",G21/I21)</f>
        <v>16.413793103448278</v>
      </c>
      <c r="K21" s="35">
        <f t="array" ref="K21">IF(ISERROR(G21/L21),"",G21/L21)</f>
        <v>51.739130434782609</v>
      </c>
      <c r="L21" s="87">
        <v>23</v>
      </c>
      <c r="M21" s="36">
        <f t="shared" si="5"/>
        <v>20.760869565217391</v>
      </c>
      <c r="N21" s="93">
        <f>SUM('1:2'!N21)</f>
        <v>0</v>
      </c>
      <c r="O21" s="93">
        <f>SUM('1:2'!O21)</f>
        <v>0</v>
      </c>
      <c r="P21" s="93">
        <f>SUM('1:2'!P21)</f>
        <v>0</v>
      </c>
      <c r="Q21" s="93">
        <f>SUM('1:2'!Q21)</f>
        <v>0</v>
      </c>
      <c r="R21" s="93">
        <f>SUM('1:2'!R21)</f>
        <v>0</v>
      </c>
      <c r="S21" s="93">
        <f>SUM('1:2'!S21)</f>
        <v>0</v>
      </c>
      <c r="T21" s="93">
        <f>SUM('1:2'!T21)</f>
        <v>0</v>
      </c>
      <c r="U21" s="93">
        <f>SUM('1:2'!U21)</f>
        <v>0</v>
      </c>
      <c r="V21" s="205">
        <f t="shared" si="2"/>
        <v>0</v>
      </c>
      <c r="W21" s="33">
        <f t="shared" si="6"/>
        <v>0</v>
      </c>
      <c r="X21" s="93">
        <f>SUM('1:2'!X21)</f>
        <v>0</v>
      </c>
      <c r="Y21" s="93">
        <f>SUM('1:2'!Y21)</f>
        <v>0</v>
      </c>
      <c r="Z21" s="93">
        <f>SUM('1:2'!Z21)</f>
        <v>0</v>
      </c>
      <c r="AA21" s="93">
        <f>SUM('1:2'!AA21)</f>
        <v>0</v>
      </c>
      <c r="AB21" s="358">
        <v>0.45</v>
      </c>
      <c r="AC21" s="269">
        <f t="shared" si="4"/>
        <v>535.5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SUM('1:2'!G22)</f>
        <v>0</v>
      </c>
      <c r="H22" s="95">
        <f t="shared" si="0"/>
        <v>0</v>
      </c>
      <c r="I22" s="93">
        <f>SUM('1:2'!I22)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SUM('1:2'!N22)</f>
        <v>0</v>
      </c>
      <c r="O22" s="93">
        <f>SUM('1:2'!O22)</f>
        <v>0</v>
      </c>
      <c r="P22" s="93">
        <f>SUM('1:2'!P22)</f>
        <v>0</v>
      </c>
      <c r="Q22" s="93">
        <f>SUM('1:2'!Q22)</f>
        <v>0</v>
      </c>
      <c r="R22" s="93">
        <f>SUM('1:2'!R22)</f>
        <v>0</v>
      </c>
      <c r="S22" s="93">
        <f>SUM('1:2'!S22)</f>
        <v>0</v>
      </c>
      <c r="T22" s="93">
        <f>SUM('1:2'!T22)</f>
        <v>0</v>
      </c>
      <c r="U22" s="93">
        <f>SUM('1:2'!U22)</f>
        <v>0</v>
      </c>
      <c r="V22" s="205">
        <f t="shared" si="2"/>
        <v>0</v>
      </c>
      <c r="W22" s="33"/>
      <c r="X22" s="93">
        <f>SUM('1:2'!X22)</f>
        <v>0</v>
      </c>
      <c r="Y22" s="93">
        <f>SUM('1:2'!Y22)</f>
        <v>0</v>
      </c>
      <c r="Z22" s="93">
        <f>SUM('1:2'!Z22)</f>
        <v>0</v>
      </c>
      <c r="AA22" s="93">
        <f>SUM('1:2'!AA22)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SUM('1:2'!G23)</f>
        <v>0</v>
      </c>
      <c r="H23" s="95">
        <f t="shared" si="0"/>
        <v>0</v>
      </c>
      <c r="I23" s="93">
        <f>SUM('1:2'!I23)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SUM('1:2'!N23)</f>
        <v>0</v>
      </c>
      <c r="O23" s="93">
        <f>SUM('1:2'!O23)</f>
        <v>0</v>
      </c>
      <c r="P23" s="93">
        <f>SUM('1:2'!P23)</f>
        <v>0</v>
      </c>
      <c r="Q23" s="93">
        <f>SUM('1:2'!Q23)</f>
        <v>0</v>
      </c>
      <c r="R23" s="93">
        <f>SUM('1:2'!R23)</f>
        <v>0</v>
      </c>
      <c r="S23" s="93">
        <f>SUM('1:2'!S23)</f>
        <v>0</v>
      </c>
      <c r="T23" s="93">
        <f>SUM('1:2'!T23)</f>
        <v>0</v>
      </c>
      <c r="U23" s="93">
        <f>SUM('1:2'!U23)</f>
        <v>0</v>
      </c>
      <c r="V23" s="205">
        <f t="shared" si="2"/>
        <v>0</v>
      </c>
      <c r="W23" s="33"/>
      <c r="X23" s="93">
        <f>SUM('1:2'!X23)</f>
        <v>0</v>
      </c>
      <c r="Y23" s="93">
        <f>SUM('1:2'!Y23)</f>
        <v>0</v>
      </c>
      <c r="Z23" s="93">
        <f>SUM('1:2'!Z23)</f>
        <v>0</v>
      </c>
      <c r="AA23" s="93">
        <f>SUM('1:2'!AA23)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SUM('1:2'!G24)</f>
        <v>0</v>
      </c>
      <c r="H24" s="95">
        <f t="shared" si="0"/>
        <v>0</v>
      </c>
      <c r="I24" s="93">
        <f>SUM('1:2'!I24)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SUM('1:2'!N24)</f>
        <v>0</v>
      </c>
      <c r="O24" s="93">
        <f>SUM('1:2'!O24)</f>
        <v>0</v>
      </c>
      <c r="P24" s="93">
        <f>SUM('1:2'!P24)</f>
        <v>0</v>
      </c>
      <c r="Q24" s="93">
        <f>SUM('1:2'!Q24)</f>
        <v>0</v>
      </c>
      <c r="R24" s="93">
        <f>SUM('1:2'!R24)</f>
        <v>0</v>
      </c>
      <c r="S24" s="93">
        <f>SUM('1:2'!S24)</f>
        <v>0</v>
      </c>
      <c r="T24" s="93">
        <f>SUM('1:2'!T24)</f>
        <v>0</v>
      </c>
      <c r="U24" s="93">
        <f>SUM('1:2'!U24)</f>
        <v>0</v>
      </c>
      <c r="V24" s="205">
        <f t="shared" si="2"/>
        <v>0</v>
      </c>
      <c r="W24" s="33"/>
      <c r="X24" s="93">
        <f>SUM('1:2'!X24)</f>
        <v>0</v>
      </c>
      <c r="Y24" s="93">
        <f>SUM('1:2'!Y24)</f>
        <v>0</v>
      </c>
      <c r="Z24" s="93">
        <f>SUM('1:2'!Z24)</f>
        <v>0</v>
      </c>
      <c r="AA24" s="93">
        <f>SUM('1:2'!AA24)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SUM('1:2'!G25)</f>
        <v>0</v>
      </c>
      <c r="H25" s="95">
        <f>D25*G25</f>
        <v>0</v>
      </c>
      <c r="I25" s="93">
        <f>SUM('1:2'!I25)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SUM('1:2'!N25)</f>
        <v>0</v>
      </c>
      <c r="O25" s="93">
        <f>SUM('1:2'!O25)</f>
        <v>0</v>
      </c>
      <c r="P25" s="93">
        <f>SUM('1:2'!P25)</f>
        <v>0</v>
      </c>
      <c r="Q25" s="93">
        <f>SUM('1:2'!Q25)</f>
        <v>0</v>
      </c>
      <c r="R25" s="93">
        <f>SUM('1:2'!R25)</f>
        <v>0</v>
      </c>
      <c r="S25" s="93">
        <f>SUM('1:2'!S25)</f>
        <v>0</v>
      </c>
      <c r="T25" s="93">
        <f>SUM('1:2'!T25)</f>
        <v>0</v>
      </c>
      <c r="U25" s="93">
        <f>SUM('1:2'!U25)</f>
        <v>0</v>
      </c>
      <c r="V25" s="205">
        <f t="shared" si="2"/>
        <v>0</v>
      </c>
      <c r="W25" s="33"/>
      <c r="X25" s="93">
        <f>SUM('1:2'!X25)</f>
        <v>0</v>
      </c>
      <c r="Y25" s="93">
        <f>SUM('1:2'!Y25)</f>
        <v>0</v>
      </c>
      <c r="Z25" s="93">
        <f>SUM('1:2'!Z25)</f>
        <v>0</v>
      </c>
      <c r="AA25" s="93">
        <f>SUM('1:2'!AA25)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SUM('1:2'!G26)</f>
        <v>0</v>
      </c>
      <c r="H26" s="95">
        <f t="shared" ref="H26:H27" si="7">D26*G26</f>
        <v>0</v>
      </c>
      <c r="I26" s="93">
        <f>SUM('1:2'!I26)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SUM('1:2'!N26)</f>
        <v>0</v>
      </c>
      <c r="O26" s="93">
        <f>SUM('1:2'!O26)</f>
        <v>0</v>
      </c>
      <c r="P26" s="93">
        <f>SUM('1:2'!P26)</f>
        <v>0</v>
      </c>
      <c r="Q26" s="93">
        <f>SUM('1:2'!Q26)</f>
        <v>0</v>
      </c>
      <c r="R26" s="93">
        <f>SUM('1:2'!R26)</f>
        <v>0</v>
      </c>
      <c r="S26" s="93">
        <f>SUM('1:2'!S26)</f>
        <v>0</v>
      </c>
      <c r="T26" s="93">
        <f>SUM('1:2'!T26)</f>
        <v>0</v>
      </c>
      <c r="U26" s="93">
        <f>SUM('1:2'!U26)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SUM('1:2'!X26)</f>
        <v>0</v>
      </c>
      <c r="Y26" s="93">
        <f>SUM('1:2'!Y26)</f>
        <v>0</v>
      </c>
      <c r="Z26" s="93">
        <f>SUM('1:2'!Z26)</f>
        <v>0</v>
      </c>
      <c r="AA26" s="93">
        <f>SUM('1:2'!AA26)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SUM('1:2'!G27)</f>
        <v>0</v>
      </c>
      <c r="H27" s="95">
        <f t="shared" si="7"/>
        <v>0</v>
      </c>
      <c r="I27" s="93">
        <f>SUM('1:2'!I27)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SUM('1:2'!N27)</f>
        <v>0</v>
      </c>
      <c r="O27" s="93">
        <f>SUM('1:2'!O27)</f>
        <v>0</v>
      </c>
      <c r="P27" s="93">
        <f>SUM('1:2'!P27)</f>
        <v>0</v>
      </c>
      <c r="Q27" s="93">
        <f>SUM('1:2'!Q27)</f>
        <v>0</v>
      </c>
      <c r="R27" s="93">
        <f>SUM('1:2'!R27)</f>
        <v>0</v>
      </c>
      <c r="S27" s="93">
        <f>SUM('1:2'!S27)</f>
        <v>0</v>
      </c>
      <c r="T27" s="93">
        <f>SUM('1:2'!T27)</f>
        <v>0</v>
      </c>
      <c r="U27" s="93">
        <f>SUM('1:2'!U27)</f>
        <v>0</v>
      </c>
      <c r="V27" s="205">
        <f t="shared" si="2"/>
        <v>0</v>
      </c>
      <c r="W27" s="33" t="str">
        <f t="shared" si="9"/>
        <v/>
      </c>
      <c r="X27" s="93">
        <f>SUM('1:2'!X27)</f>
        <v>0</v>
      </c>
      <c r="Y27" s="93">
        <f>SUM('1:2'!Y27)</f>
        <v>0</v>
      </c>
      <c r="Z27" s="93">
        <f>SUM('1:2'!Z27)</f>
        <v>0</v>
      </c>
      <c r="AA27" s="93">
        <f>SUM('1:2'!AA27)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737" t="s">
        <v>70</v>
      </c>
      <c r="B28" s="738"/>
      <c r="C28" s="31" t="s">
        <v>71</v>
      </c>
      <c r="D28" s="30"/>
      <c r="E28" s="30"/>
      <c r="F28" s="30"/>
      <c r="G28" s="94">
        <f>SUM(G7:G27)</f>
        <v>3286</v>
      </c>
      <c r="H28" s="30">
        <f>SUM(H7:H27)</f>
        <v>16651.900000000001</v>
      </c>
      <c r="I28" s="30">
        <f>SUM(I7:I27)</f>
        <v>212.5</v>
      </c>
      <c r="J28" s="31">
        <f t="array" ref="J28">IF(ISERROR(G28/I28),"",G28/I28)</f>
        <v>15.463529411764705</v>
      </c>
      <c r="K28" s="30">
        <f>SUM(K7:K27)</f>
        <v>157.75771974693768</v>
      </c>
      <c r="L28" s="98"/>
      <c r="M28" s="89">
        <f t="shared" ref="M28:AA28" si="10">SUM(M7:M27)</f>
        <v>54.742280253062319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1639.96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SUM('1:2'!G29)</f>
        <v>0</v>
      </c>
      <c r="H29" s="246">
        <f t="shared" ref="H29:H85" si="11">D29*G29</f>
        <v>0</v>
      </c>
      <c r="I29" s="93">
        <f>SUM('1:2'!I29)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SUM('1:2'!N29)</f>
        <v>0</v>
      </c>
      <c r="O29" s="93">
        <f>SUM('1:2'!O29)</f>
        <v>0</v>
      </c>
      <c r="P29" s="93">
        <f>SUM('1:2'!P29)</f>
        <v>0</v>
      </c>
      <c r="Q29" s="93">
        <f>SUM('1:2'!Q29)</f>
        <v>0</v>
      </c>
      <c r="R29" s="93">
        <f>SUM('1:2'!R29)</f>
        <v>0</v>
      </c>
      <c r="S29" s="93">
        <f>SUM('1:2'!S29)</f>
        <v>0</v>
      </c>
      <c r="T29" s="93">
        <f>SUM('1:2'!T29)</f>
        <v>0</v>
      </c>
      <c r="U29" s="93">
        <f>SUM('1:2'!U29)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SUM('1:2'!X29)</f>
        <v>0</v>
      </c>
      <c r="Y29" s="93">
        <f>SUM('1:2'!Y29)</f>
        <v>0</v>
      </c>
      <c r="Z29" s="93">
        <f>SUM('1:2'!Z29)</f>
        <v>0</v>
      </c>
      <c r="AA29" s="93">
        <f>SUM('1:2'!AA29)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SUM('1:2'!G30)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SUM('1:2'!G31)</f>
        <v>0</v>
      </c>
      <c r="H31" s="246">
        <f t="shared" si="11"/>
        <v>0</v>
      </c>
      <c r="I31" s="93">
        <f>SUM('1:2'!I31)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SUM('1:2'!N31)</f>
        <v>0</v>
      </c>
      <c r="O31" s="93">
        <f>SUM('1:2'!O31)</f>
        <v>0</v>
      </c>
      <c r="P31" s="93">
        <f>SUM('1:2'!P31)</f>
        <v>0</v>
      </c>
      <c r="Q31" s="93">
        <f>SUM('1:2'!Q31)</f>
        <v>0</v>
      </c>
      <c r="R31" s="93">
        <f>SUM('1:2'!R31)</f>
        <v>0</v>
      </c>
      <c r="S31" s="93">
        <f>SUM('1:2'!S31)</f>
        <v>0</v>
      </c>
      <c r="T31" s="93">
        <f>SUM('1:2'!T31)</f>
        <v>0</v>
      </c>
      <c r="U31" s="93">
        <f>SUM('1:2'!U31)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SUM('1:2'!X31)</f>
        <v>0</v>
      </c>
      <c r="Y31" s="93">
        <f>SUM('1:2'!Y31)</f>
        <v>0</v>
      </c>
      <c r="Z31" s="93">
        <f>SUM('1:2'!Z31)</f>
        <v>0</v>
      </c>
      <c r="AA31" s="93">
        <f>SUM('1:2'!AA31)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SUM('1:2'!G32)</f>
        <v>0</v>
      </c>
      <c r="H32" s="246">
        <f t="shared" si="11"/>
        <v>0</v>
      </c>
      <c r="I32" s="93">
        <f>SUM('1:2'!I32)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SUM('1:2'!N32)</f>
        <v>0</v>
      </c>
      <c r="O32" s="93">
        <f>SUM('1:2'!O32)</f>
        <v>0</v>
      </c>
      <c r="P32" s="93">
        <f>SUM('1:2'!P32)</f>
        <v>0</v>
      </c>
      <c r="Q32" s="93">
        <f>SUM('1:2'!Q32)</f>
        <v>0</v>
      </c>
      <c r="R32" s="93">
        <f>SUM('1:2'!R32)</f>
        <v>0</v>
      </c>
      <c r="S32" s="93">
        <f>SUM('1:2'!S32)</f>
        <v>0</v>
      </c>
      <c r="T32" s="93">
        <f>SUM('1:2'!T32)</f>
        <v>0</v>
      </c>
      <c r="U32" s="93">
        <f>SUM('1:2'!U32)</f>
        <v>0</v>
      </c>
      <c r="V32" s="206">
        <f t="shared" si="16"/>
        <v>0</v>
      </c>
      <c r="W32" s="33" t="str">
        <f t="shared" si="17"/>
        <v/>
      </c>
      <c r="X32" s="93">
        <f>SUM('1:2'!X32)</f>
        <v>0</v>
      </c>
      <c r="Y32" s="93">
        <f>SUM('1:2'!Y32)</f>
        <v>0</v>
      </c>
      <c r="Z32" s="93">
        <f>SUM('1:2'!Z32)</f>
        <v>0</v>
      </c>
      <c r="AA32" s="93">
        <f>SUM('1:2'!AA32)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SUM('1:2'!G33)</f>
        <v>0</v>
      </c>
      <c r="H33" s="246">
        <f t="shared" si="11"/>
        <v>0</v>
      </c>
      <c r="I33" s="93">
        <f>SUM('1:2'!I33)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SUM('1:2'!N33)</f>
        <v>0</v>
      </c>
      <c r="O33" s="93">
        <f>SUM('1:2'!O33)</f>
        <v>0</v>
      </c>
      <c r="P33" s="93">
        <f>SUM('1:2'!P33)</f>
        <v>0</v>
      </c>
      <c r="Q33" s="93">
        <f>SUM('1:2'!Q33)</f>
        <v>0</v>
      </c>
      <c r="R33" s="93">
        <f>SUM('1:2'!R33)</f>
        <v>0</v>
      </c>
      <c r="S33" s="93">
        <f>SUM('1:2'!S33)</f>
        <v>0</v>
      </c>
      <c r="T33" s="93">
        <f>SUM('1:2'!T33)</f>
        <v>0</v>
      </c>
      <c r="U33" s="93">
        <f>SUM('1:2'!U33)</f>
        <v>0</v>
      </c>
      <c r="V33" s="206">
        <f t="shared" si="16"/>
        <v>0</v>
      </c>
      <c r="W33" s="33" t="str">
        <f t="shared" si="17"/>
        <v/>
      </c>
      <c r="X33" s="93">
        <f>SUM('1:2'!X33)</f>
        <v>0</v>
      </c>
      <c r="Y33" s="93">
        <f>SUM('1:2'!Y33)</f>
        <v>0</v>
      </c>
      <c r="Z33" s="93">
        <f>SUM('1:2'!Z33)</f>
        <v>0</v>
      </c>
      <c r="AA33" s="93">
        <f>SUM('1:2'!AA33)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SUM('1:2'!G34)</f>
        <v>0</v>
      </c>
      <c r="H34" s="246">
        <f t="shared" si="11"/>
        <v>0</v>
      </c>
      <c r="I34" s="93">
        <f>SUM('1:2'!I34)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SUM('1:2'!G35)</f>
        <v>0</v>
      </c>
      <c r="H35" s="246">
        <f t="shared" si="11"/>
        <v>0</v>
      </c>
      <c r="I35" s="93">
        <f>SUM('1:2'!I35)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SUM('1:2'!G36)</f>
        <v>0</v>
      </c>
      <c r="H36" s="246">
        <f t="shared" si="11"/>
        <v>0</v>
      </c>
      <c r="I36" s="93">
        <f>SUM('1:2'!I36)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SUM('1:2'!G37)</f>
        <v>633</v>
      </c>
      <c r="H37" s="246">
        <f t="shared" si="11"/>
        <v>3215.64</v>
      </c>
      <c r="I37" s="93">
        <f>SUM('1:2'!I37)</f>
        <v>33</v>
      </c>
      <c r="J37" s="31">
        <f t="array" ref="J37">IF(ISERROR(G37/I37),"",G37/I37)</f>
        <v>19.181818181818183</v>
      </c>
      <c r="K37" s="35">
        <f t="array" ref="K37">IF(ISERROR(G37/L37),"",G37/L37)</f>
        <v>30.142857142857142</v>
      </c>
      <c r="L37" s="87">
        <v>21</v>
      </c>
      <c r="M37" s="36">
        <f t="shared" ref="M37:M66" si="18">IF(ISERROR(I37-K37),"",I37-K37)</f>
        <v>2.8571428571428577</v>
      </c>
      <c r="N37" s="93">
        <f>SUM('1:2'!N37)</f>
        <v>0</v>
      </c>
      <c r="O37" s="93">
        <f>SUM('1:2'!O37)</f>
        <v>0</v>
      </c>
      <c r="P37" s="93">
        <f>SUM('1:2'!P37)</f>
        <v>0</v>
      </c>
      <c r="Q37" s="93">
        <f>SUM('1:2'!Q37)</f>
        <v>0</v>
      </c>
      <c r="R37" s="93">
        <f>SUM('1:2'!R37)</f>
        <v>0</v>
      </c>
      <c r="S37" s="93">
        <f>SUM('1:2'!S37)</f>
        <v>0</v>
      </c>
      <c r="T37" s="93">
        <f>SUM('1:2'!T37)</f>
        <v>0</v>
      </c>
      <c r="U37" s="93">
        <f>SUM('1:2'!U37)</f>
        <v>0</v>
      </c>
      <c r="V37" s="206">
        <f t="shared" ref="V37:V48" si="19">SUM(X37:AA37)</f>
        <v>0</v>
      </c>
      <c r="W37" s="33">
        <f t="shared" ref="W37:W48" si="20">IF(ISERROR(V37/G37),"",V37/G37)</f>
        <v>0</v>
      </c>
      <c r="X37" s="93">
        <f>SUM('1:2'!X37)</f>
        <v>0</v>
      </c>
      <c r="Y37" s="93">
        <f>SUM('1:2'!Y37)</f>
        <v>0</v>
      </c>
      <c r="Z37" s="93">
        <f>SUM('1:2'!Z37)</f>
        <v>0</v>
      </c>
      <c r="AA37" s="93">
        <f>SUM('1:2'!AA37)</f>
        <v>0</v>
      </c>
      <c r="AB37" s="358">
        <v>0.49</v>
      </c>
      <c r="AC37" s="269">
        <f t="shared" si="4"/>
        <v>310.17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SUM('1:2'!G38)</f>
        <v>648</v>
      </c>
      <c r="H38" s="246">
        <f t="shared" si="11"/>
        <v>3291.84</v>
      </c>
      <c r="I38" s="93">
        <f>SUM('1:2'!I38)</f>
        <v>33</v>
      </c>
      <c r="J38" s="31">
        <f t="array" ref="J38">IF(ISERROR(G38/I38),"",G38/I38)</f>
        <v>19.636363636363637</v>
      </c>
      <c r="K38" s="35">
        <f t="array" ref="K38">IF(ISERROR(G38/L38),"",G38/L38)</f>
        <v>30.857142857142858</v>
      </c>
      <c r="L38" s="87">
        <v>21</v>
      </c>
      <c r="M38" s="36">
        <f t="shared" si="18"/>
        <v>2.1428571428571423</v>
      </c>
      <c r="N38" s="93">
        <f>SUM('1:2'!N38)</f>
        <v>0</v>
      </c>
      <c r="O38" s="93">
        <f>SUM('1:2'!O38)</f>
        <v>0</v>
      </c>
      <c r="P38" s="93">
        <f>SUM('1:2'!P38)</f>
        <v>0</v>
      </c>
      <c r="Q38" s="93">
        <f>SUM('1:2'!Q38)</f>
        <v>0</v>
      </c>
      <c r="R38" s="93">
        <f>SUM('1:2'!R38)</f>
        <v>0</v>
      </c>
      <c r="S38" s="93">
        <f>SUM('1:2'!S38)</f>
        <v>0</v>
      </c>
      <c r="T38" s="93">
        <f>SUM('1:2'!T38)</f>
        <v>0</v>
      </c>
      <c r="U38" s="93">
        <f>SUM('1:2'!U38)</f>
        <v>0</v>
      </c>
      <c r="V38" s="206">
        <f t="shared" si="19"/>
        <v>0</v>
      </c>
      <c r="W38" s="33">
        <f t="shared" si="20"/>
        <v>0</v>
      </c>
      <c r="X38" s="93">
        <f>SUM('1:2'!X38)</f>
        <v>0</v>
      </c>
      <c r="Y38" s="93">
        <f>SUM('1:2'!Y38)</f>
        <v>0</v>
      </c>
      <c r="Z38" s="93">
        <f>SUM('1:2'!Z38)</f>
        <v>0</v>
      </c>
      <c r="AA38" s="93">
        <f>SUM('1:2'!AA38)</f>
        <v>0</v>
      </c>
      <c r="AB38" s="358">
        <v>0.49</v>
      </c>
      <c r="AC38" s="269">
        <f t="shared" si="4"/>
        <v>317.52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SUM('1:2'!G39)</f>
        <v>0</v>
      </c>
      <c r="H39" s="246">
        <f t="shared" si="11"/>
        <v>0</v>
      </c>
      <c r="I39" s="93">
        <f>SUM('1:2'!I39)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SUM('1:2'!N39)</f>
        <v>0</v>
      </c>
      <c r="O39" s="93">
        <f>SUM('1:2'!O39)</f>
        <v>0</v>
      </c>
      <c r="P39" s="93">
        <f>SUM('1:2'!P39)</f>
        <v>0</v>
      </c>
      <c r="Q39" s="93">
        <f>SUM('1:2'!Q39)</f>
        <v>0</v>
      </c>
      <c r="R39" s="93">
        <f>SUM('1:2'!R39)</f>
        <v>0</v>
      </c>
      <c r="S39" s="93">
        <f>SUM('1:2'!S39)</f>
        <v>0</v>
      </c>
      <c r="T39" s="93">
        <f>SUM('1:2'!T39)</f>
        <v>0</v>
      </c>
      <c r="U39" s="93">
        <f>SUM('1:2'!U39)</f>
        <v>0</v>
      </c>
      <c r="V39" s="206">
        <f t="shared" si="19"/>
        <v>0</v>
      </c>
      <c r="W39" s="33" t="str">
        <f t="shared" si="20"/>
        <v/>
      </c>
      <c r="X39" s="93">
        <f>SUM('1:2'!X39)</f>
        <v>0</v>
      </c>
      <c r="Y39" s="93">
        <f>SUM('1:2'!Y39)</f>
        <v>0</v>
      </c>
      <c r="Z39" s="93">
        <f>SUM('1:2'!Z39)</f>
        <v>0</v>
      </c>
      <c r="AA39" s="93">
        <f>SUM('1:2'!AA39)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SUM('1:2'!G40)</f>
        <v>0</v>
      </c>
      <c r="H40" s="246">
        <f t="shared" si="11"/>
        <v>0</v>
      </c>
      <c r="I40" s="93">
        <f>SUM('1:2'!I40)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SUM('1:2'!N40)</f>
        <v>0</v>
      </c>
      <c r="O40" s="93">
        <f>SUM('1:2'!O40)</f>
        <v>0</v>
      </c>
      <c r="P40" s="93">
        <f>SUM('1:2'!P40)</f>
        <v>0</v>
      </c>
      <c r="Q40" s="93">
        <f>SUM('1:2'!Q40)</f>
        <v>0</v>
      </c>
      <c r="R40" s="93">
        <f>SUM('1:2'!R40)</f>
        <v>0</v>
      </c>
      <c r="S40" s="93">
        <f>SUM('1:2'!S40)</f>
        <v>0</v>
      </c>
      <c r="T40" s="93">
        <f>SUM('1:2'!T40)</f>
        <v>0</v>
      </c>
      <c r="U40" s="93">
        <f>SUM('1:2'!U40)</f>
        <v>0</v>
      </c>
      <c r="V40" s="206">
        <f t="shared" si="19"/>
        <v>0</v>
      </c>
      <c r="W40" s="33" t="str">
        <f t="shared" si="20"/>
        <v/>
      </c>
      <c r="X40" s="93">
        <f>SUM('1:2'!X40)</f>
        <v>0</v>
      </c>
      <c r="Y40" s="93">
        <f>SUM('1:2'!Y40)</f>
        <v>0</v>
      </c>
      <c r="Z40" s="93">
        <f>SUM('1:2'!Z40)</f>
        <v>0</v>
      </c>
      <c r="AA40" s="93">
        <f>SUM('1:2'!AA40)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SUM('1:2'!G41)</f>
        <v>0</v>
      </c>
      <c r="H41" s="246">
        <f t="shared" si="11"/>
        <v>0</v>
      </c>
      <c r="I41" s="93">
        <f>SUM('1:2'!I41)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SUM('1:2'!N41)</f>
        <v>0</v>
      </c>
      <c r="O41" s="93">
        <f>SUM('1:2'!O41)</f>
        <v>0</v>
      </c>
      <c r="P41" s="93">
        <f>SUM('1:2'!P41)</f>
        <v>0</v>
      </c>
      <c r="Q41" s="93">
        <f>SUM('1:2'!Q41)</f>
        <v>0</v>
      </c>
      <c r="R41" s="93">
        <f>SUM('1:2'!R41)</f>
        <v>0</v>
      </c>
      <c r="S41" s="93">
        <f>SUM('1:2'!S41)</f>
        <v>0</v>
      </c>
      <c r="T41" s="93">
        <f>SUM('1:2'!T41)</f>
        <v>0</v>
      </c>
      <c r="U41" s="93">
        <f>SUM('1:2'!U41)</f>
        <v>0</v>
      </c>
      <c r="V41" s="206">
        <f t="shared" si="19"/>
        <v>0</v>
      </c>
      <c r="W41" s="33" t="str">
        <f t="shared" si="20"/>
        <v/>
      </c>
      <c r="X41" s="93">
        <f>SUM('1:2'!X41)</f>
        <v>0</v>
      </c>
      <c r="Y41" s="93">
        <f>SUM('1:2'!Y41)</f>
        <v>0</v>
      </c>
      <c r="Z41" s="93">
        <f>SUM('1:2'!Z41)</f>
        <v>0</v>
      </c>
      <c r="AA41" s="93">
        <f>SUM('1:2'!AA41)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SUM('1:2'!G42)</f>
        <v>0</v>
      </c>
      <c r="H42" s="246">
        <f t="shared" si="11"/>
        <v>0</v>
      </c>
      <c r="I42" s="93">
        <f>SUM('1:2'!I42)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SUM('1:2'!N42)</f>
        <v>0</v>
      </c>
      <c r="O42" s="93">
        <f>SUM('1:2'!O42)</f>
        <v>0</v>
      </c>
      <c r="P42" s="93">
        <f>SUM('1:2'!P42)</f>
        <v>0</v>
      </c>
      <c r="Q42" s="93">
        <f>SUM('1:2'!Q42)</f>
        <v>0</v>
      </c>
      <c r="R42" s="93">
        <f>SUM('1:2'!R42)</f>
        <v>0</v>
      </c>
      <c r="S42" s="93">
        <f>SUM('1:2'!S42)</f>
        <v>0</v>
      </c>
      <c r="T42" s="93">
        <f>SUM('1:2'!T42)</f>
        <v>0</v>
      </c>
      <c r="U42" s="93">
        <f>SUM('1:2'!U42)</f>
        <v>0</v>
      </c>
      <c r="V42" s="206">
        <f t="shared" si="19"/>
        <v>0</v>
      </c>
      <c r="W42" s="33" t="str">
        <f t="shared" si="20"/>
        <v/>
      </c>
      <c r="X42" s="93">
        <f>SUM('1:2'!X42)</f>
        <v>0</v>
      </c>
      <c r="Y42" s="93">
        <f>SUM('1:2'!Y42)</f>
        <v>0</v>
      </c>
      <c r="Z42" s="93">
        <f>SUM('1:2'!Z42)</f>
        <v>0</v>
      </c>
      <c r="AA42" s="93">
        <f>SUM('1:2'!AA42)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SUM('1:2'!G43)</f>
        <v>0</v>
      </c>
      <c r="H43" s="246">
        <f t="shared" si="11"/>
        <v>0</v>
      </c>
      <c r="I43" s="93">
        <f>SUM('1:2'!I43)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SUM('1:2'!N43)</f>
        <v>0</v>
      </c>
      <c r="O43" s="93">
        <f>SUM('1:2'!O43)</f>
        <v>0</v>
      </c>
      <c r="P43" s="93">
        <f>SUM('1:2'!P43)</f>
        <v>0</v>
      </c>
      <c r="Q43" s="93">
        <f>SUM('1:2'!Q43)</f>
        <v>0</v>
      </c>
      <c r="R43" s="93">
        <f>SUM('1:2'!R43)</f>
        <v>0</v>
      </c>
      <c r="S43" s="93">
        <f>SUM('1:2'!S43)</f>
        <v>0</v>
      </c>
      <c r="T43" s="93">
        <f>SUM('1:2'!T43)</f>
        <v>0</v>
      </c>
      <c r="U43" s="93">
        <f>SUM('1:2'!U43)</f>
        <v>0</v>
      </c>
      <c r="V43" s="206">
        <f t="shared" si="19"/>
        <v>0</v>
      </c>
      <c r="W43" s="33" t="str">
        <f t="shared" si="20"/>
        <v/>
      </c>
      <c r="X43" s="93">
        <f>SUM('1:2'!X43)</f>
        <v>0</v>
      </c>
      <c r="Y43" s="93">
        <f>SUM('1:2'!Y43)</f>
        <v>0</v>
      </c>
      <c r="Z43" s="93">
        <f>SUM('1:2'!Z43)</f>
        <v>0</v>
      </c>
      <c r="AA43" s="93">
        <f>SUM('1:2'!AA43)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SUM('1:2'!G44)</f>
        <v>0</v>
      </c>
      <c r="H44" s="246">
        <f t="shared" si="11"/>
        <v>0</v>
      </c>
      <c r="I44" s="93">
        <f>SUM('1:2'!I44)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SUM('1:2'!N44)</f>
        <v>0</v>
      </c>
      <c r="O44" s="93">
        <f>SUM('1:2'!O44)</f>
        <v>0</v>
      </c>
      <c r="P44" s="93">
        <f>SUM('1:2'!P44)</f>
        <v>0</v>
      </c>
      <c r="Q44" s="93">
        <f>SUM('1:2'!Q44)</f>
        <v>0</v>
      </c>
      <c r="R44" s="93">
        <f>SUM('1:2'!R44)</f>
        <v>0</v>
      </c>
      <c r="S44" s="93">
        <f>SUM('1:2'!S44)</f>
        <v>0</v>
      </c>
      <c r="T44" s="93">
        <f>SUM('1:2'!T44)</f>
        <v>0</v>
      </c>
      <c r="U44" s="93">
        <f>SUM('1:2'!U44)</f>
        <v>0</v>
      </c>
      <c r="V44" s="206">
        <f t="shared" si="19"/>
        <v>0</v>
      </c>
      <c r="W44" s="33" t="str">
        <f t="shared" si="20"/>
        <v/>
      </c>
      <c r="X44" s="93">
        <f>SUM('1:2'!X44)</f>
        <v>0</v>
      </c>
      <c r="Y44" s="93">
        <f>SUM('1:2'!Y44)</f>
        <v>0</v>
      </c>
      <c r="Z44" s="93">
        <f>SUM('1:2'!Z44)</f>
        <v>0</v>
      </c>
      <c r="AA44" s="93">
        <f>SUM('1:2'!AA44)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SUM('1:2'!G45)</f>
        <v>423</v>
      </c>
      <c r="H45" s="246">
        <f t="shared" si="11"/>
        <v>2127.69</v>
      </c>
      <c r="I45" s="93">
        <f>SUM('1:2'!I45)</f>
        <v>6</v>
      </c>
      <c r="J45" s="31">
        <f t="array" ref="J45">IF(ISERROR(G45/I45),"",G45/I45)</f>
        <v>70.5</v>
      </c>
      <c r="K45" s="35">
        <f t="array" ref="K45">IF(ISERROR(G45/L45),"",G45/L45)</f>
        <v>7.5535714285714288</v>
      </c>
      <c r="L45" s="87">
        <v>56</v>
      </c>
      <c r="M45" s="36">
        <f t="shared" si="18"/>
        <v>-1.5535714285714288</v>
      </c>
      <c r="N45" s="93">
        <f>SUM('1:2'!N45)</f>
        <v>0</v>
      </c>
      <c r="O45" s="93">
        <f>SUM('1:2'!O45)</f>
        <v>0</v>
      </c>
      <c r="P45" s="93">
        <f>SUM('1:2'!P45)</f>
        <v>0</v>
      </c>
      <c r="Q45" s="93">
        <f>SUM('1:2'!Q45)</f>
        <v>0</v>
      </c>
      <c r="R45" s="93">
        <f>SUM('1:2'!R45)</f>
        <v>0</v>
      </c>
      <c r="S45" s="93">
        <f>SUM('1:2'!S45)</f>
        <v>0</v>
      </c>
      <c r="T45" s="93">
        <f>SUM('1:2'!T45)</f>
        <v>0</v>
      </c>
      <c r="U45" s="93">
        <f>SUM('1:2'!U45)</f>
        <v>0</v>
      </c>
      <c r="V45" s="206">
        <f t="shared" si="19"/>
        <v>0</v>
      </c>
      <c r="W45" s="33">
        <f t="shared" si="20"/>
        <v>0</v>
      </c>
      <c r="X45" s="93">
        <f>SUM('1:2'!X45)</f>
        <v>0</v>
      </c>
      <c r="Y45" s="93">
        <f>SUM('1:2'!Y45)</f>
        <v>0</v>
      </c>
      <c r="Z45" s="93">
        <f>SUM('1:2'!Z45)</f>
        <v>0</v>
      </c>
      <c r="AA45" s="93">
        <f>SUM('1:2'!AA45)</f>
        <v>0</v>
      </c>
      <c r="AB45" s="358">
        <v>0.18</v>
      </c>
      <c r="AC45" s="269">
        <f t="shared" si="4"/>
        <v>76.14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SUM('1:2'!G46)</f>
        <v>1649</v>
      </c>
      <c r="H46" s="246">
        <f t="shared" si="11"/>
        <v>8294.4700000000012</v>
      </c>
      <c r="I46" s="93">
        <f>SUM('1:2'!I46)</f>
        <v>22</v>
      </c>
      <c r="J46" s="31">
        <f t="array" ref="J46">IF(ISERROR(G46/I46),"",G46/I46)</f>
        <v>74.954545454545453</v>
      </c>
      <c r="K46" s="35">
        <f t="array" ref="K46">IF(ISERROR(G46/L46),"",G46/L46)</f>
        <v>29.446428571428573</v>
      </c>
      <c r="L46" s="87">
        <v>56</v>
      </c>
      <c r="M46" s="36">
        <f t="shared" si="18"/>
        <v>-7.446428571428573</v>
      </c>
      <c r="N46" s="93">
        <f>SUM('1:2'!N46)</f>
        <v>0</v>
      </c>
      <c r="O46" s="93">
        <f>SUM('1:2'!O46)</f>
        <v>0</v>
      </c>
      <c r="P46" s="93">
        <f>SUM('1:2'!P46)</f>
        <v>0</v>
      </c>
      <c r="Q46" s="93">
        <f>SUM('1:2'!Q46)</f>
        <v>0</v>
      </c>
      <c r="R46" s="93">
        <f>SUM('1:2'!R46)</f>
        <v>0</v>
      </c>
      <c r="S46" s="93">
        <f>SUM('1:2'!S46)</f>
        <v>0</v>
      </c>
      <c r="T46" s="93">
        <f>SUM('1:2'!T46)</f>
        <v>0</v>
      </c>
      <c r="U46" s="93">
        <f>SUM('1:2'!U46)</f>
        <v>0</v>
      </c>
      <c r="V46" s="206">
        <f t="shared" si="19"/>
        <v>0</v>
      </c>
      <c r="W46" s="33">
        <f t="shared" si="20"/>
        <v>0</v>
      </c>
      <c r="X46" s="93">
        <f>SUM('1:2'!X46)</f>
        <v>0</v>
      </c>
      <c r="Y46" s="93">
        <f>SUM('1:2'!Y46)</f>
        <v>0</v>
      </c>
      <c r="Z46" s="93">
        <f>SUM('1:2'!Z46)</f>
        <v>0</v>
      </c>
      <c r="AA46" s="93">
        <f>SUM('1:2'!AA46)</f>
        <v>0</v>
      </c>
      <c r="AB46" s="358">
        <v>0.18</v>
      </c>
      <c r="AC46" s="269">
        <f t="shared" si="4"/>
        <v>296.82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SUM('1:2'!G47)</f>
        <v>0</v>
      </c>
      <c r="H47" s="246">
        <f t="shared" si="11"/>
        <v>0</v>
      </c>
      <c r="I47" s="93">
        <f>SUM('1:2'!I47)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SUM('1:2'!N47)</f>
        <v>0</v>
      </c>
      <c r="O47" s="93">
        <f>SUM('1:2'!O47)</f>
        <v>0</v>
      </c>
      <c r="P47" s="93">
        <f>SUM('1:2'!P47)</f>
        <v>0</v>
      </c>
      <c r="Q47" s="93">
        <f>SUM('1:2'!Q47)</f>
        <v>0</v>
      </c>
      <c r="R47" s="93">
        <f>SUM('1:2'!R47)</f>
        <v>0</v>
      </c>
      <c r="S47" s="93">
        <f>SUM('1:2'!S47)</f>
        <v>0</v>
      </c>
      <c r="T47" s="93">
        <f>SUM('1:2'!T47)</f>
        <v>0</v>
      </c>
      <c r="U47" s="93">
        <f>SUM('1:2'!U47)</f>
        <v>0</v>
      </c>
      <c r="V47" s="206">
        <f t="shared" si="19"/>
        <v>0</v>
      </c>
      <c r="W47" s="33" t="str">
        <f t="shared" si="20"/>
        <v/>
      </c>
      <c r="X47" s="93">
        <f>SUM('1:2'!X47)</f>
        <v>0</v>
      </c>
      <c r="Y47" s="93">
        <f>SUM('1:2'!Y47)</f>
        <v>0</v>
      </c>
      <c r="Z47" s="93">
        <f>SUM('1:2'!Z47)</f>
        <v>0</v>
      </c>
      <c r="AA47" s="93">
        <f>SUM('1:2'!AA47)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SUM('1:2'!G48)</f>
        <v>897</v>
      </c>
      <c r="H48" s="246">
        <f t="shared" si="11"/>
        <v>4511.91</v>
      </c>
      <c r="I48" s="93">
        <f>SUM('1:2'!I48)</f>
        <v>11</v>
      </c>
      <c r="J48" s="31">
        <f t="array" ref="J48">IF(ISERROR(G48/I48),"",G48/I48)</f>
        <v>81.545454545454547</v>
      </c>
      <c r="K48" s="35">
        <f t="array" ref="K48">IF(ISERROR(G48/L48),"",G48/L48)</f>
        <v>16.017857142857142</v>
      </c>
      <c r="L48" s="87">
        <v>56</v>
      </c>
      <c r="M48" s="36">
        <f t="shared" si="18"/>
        <v>-5.0178571428571423</v>
      </c>
      <c r="N48" s="93">
        <f>SUM('1:2'!N48)</f>
        <v>0</v>
      </c>
      <c r="O48" s="93">
        <f>SUM('1:2'!O48)</f>
        <v>0</v>
      </c>
      <c r="P48" s="93">
        <f>SUM('1:2'!P48)</f>
        <v>0</v>
      </c>
      <c r="Q48" s="93">
        <f>SUM('1:2'!Q48)</f>
        <v>0</v>
      </c>
      <c r="R48" s="93">
        <f>SUM('1:2'!R48)</f>
        <v>0</v>
      </c>
      <c r="S48" s="93">
        <f>SUM('1:2'!S48)</f>
        <v>0</v>
      </c>
      <c r="T48" s="93">
        <f>SUM('1:2'!T48)</f>
        <v>0</v>
      </c>
      <c r="U48" s="93">
        <f>SUM('1:2'!U48)</f>
        <v>0</v>
      </c>
      <c r="V48" s="206">
        <f t="shared" si="19"/>
        <v>0</v>
      </c>
      <c r="W48" s="33">
        <f t="shared" si="20"/>
        <v>0</v>
      </c>
      <c r="X48" s="93">
        <f>SUM('1:2'!X48)</f>
        <v>0</v>
      </c>
      <c r="Y48" s="93">
        <f>SUM('1:2'!Y48)</f>
        <v>0</v>
      </c>
      <c r="Z48" s="93">
        <f>SUM('1:2'!Z48)</f>
        <v>0</v>
      </c>
      <c r="AA48" s="93">
        <f>SUM('1:2'!AA48)</f>
        <v>0</v>
      </c>
      <c r="AB48" s="358">
        <v>0.18</v>
      </c>
      <c r="AC48" s="269">
        <f t="shared" si="4"/>
        <v>161.46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SUM('1:2'!G49)</f>
        <v>0</v>
      </c>
      <c r="H49" s="246">
        <f t="shared" si="11"/>
        <v>0</v>
      </c>
      <c r="I49" s="93">
        <f>SUM('1:2'!I49)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SUM('1:2'!N49)</f>
        <v>0</v>
      </c>
      <c r="O49" s="93">
        <f>SUM('1:2'!O49)</f>
        <v>0</v>
      </c>
      <c r="P49" s="93">
        <f>SUM('1:2'!P49)</f>
        <v>0</v>
      </c>
      <c r="Q49" s="93">
        <f>SUM('1:2'!Q49)</f>
        <v>0</v>
      </c>
      <c r="R49" s="93">
        <f>SUM('1:2'!R49)</f>
        <v>0</v>
      </c>
      <c r="S49" s="93">
        <f>SUM('1:2'!S49)</f>
        <v>0</v>
      </c>
      <c r="T49" s="93">
        <f>SUM('1:2'!T49)</f>
        <v>0</v>
      </c>
      <c r="U49" s="93">
        <f>SUM('1:2'!U49)</f>
        <v>0</v>
      </c>
      <c r="V49" s="206"/>
      <c r="W49" s="33"/>
      <c r="X49" s="93">
        <f>SUM('1:2'!X49)</f>
        <v>0</v>
      </c>
      <c r="Y49" s="93">
        <f>SUM('1:2'!Y49)</f>
        <v>0</v>
      </c>
      <c r="Z49" s="93">
        <f>SUM('1:2'!Z49)</f>
        <v>0</v>
      </c>
      <c r="AA49" s="93">
        <f>SUM('1:2'!AA49)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SUM('1:2'!G50)</f>
        <v>0</v>
      </c>
      <c r="H50" s="246">
        <f t="shared" si="11"/>
        <v>0</v>
      </c>
      <c r="I50" s="93">
        <f>SUM('1:2'!I50)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SUM('1:2'!N50)</f>
        <v>0</v>
      </c>
      <c r="O50" s="93">
        <f>SUM('1:2'!O50)</f>
        <v>0</v>
      </c>
      <c r="P50" s="93">
        <f>SUM('1:2'!P50)</f>
        <v>0</v>
      </c>
      <c r="Q50" s="93">
        <f>SUM('1:2'!Q50)</f>
        <v>0</v>
      </c>
      <c r="R50" s="93">
        <f>SUM('1:2'!R50)</f>
        <v>0</v>
      </c>
      <c r="S50" s="93">
        <f>SUM('1:2'!S50)</f>
        <v>0</v>
      </c>
      <c r="T50" s="93">
        <f>SUM('1:2'!T50)</f>
        <v>0</v>
      </c>
      <c r="U50" s="93">
        <f>SUM('1:2'!U50)</f>
        <v>0</v>
      </c>
      <c r="V50" s="206"/>
      <c r="W50" s="33"/>
      <c r="X50" s="93">
        <f>SUM('1:2'!X50)</f>
        <v>0</v>
      </c>
      <c r="Y50" s="93">
        <f>SUM('1:2'!Y50)</f>
        <v>0</v>
      </c>
      <c r="Z50" s="93">
        <f>SUM('1:2'!Z50)</f>
        <v>0</v>
      </c>
      <c r="AA50" s="93">
        <f>SUM('1:2'!AA50)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SUM('1:2'!G51)</f>
        <v>0</v>
      </c>
      <c r="H51" s="246">
        <f t="shared" si="11"/>
        <v>0</v>
      </c>
      <c r="I51" s="93">
        <f>SUM('1:2'!I51)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SUM('1:2'!N51)</f>
        <v>0</v>
      </c>
      <c r="O51" s="93">
        <f>SUM('1:2'!O51)</f>
        <v>0</v>
      </c>
      <c r="P51" s="93">
        <f>SUM('1:2'!P51)</f>
        <v>0</v>
      </c>
      <c r="Q51" s="93">
        <f>SUM('1:2'!Q51)</f>
        <v>0</v>
      </c>
      <c r="R51" s="93">
        <f>SUM('1:2'!R51)</f>
        <v>0</v>
      </c>
      <c r="S51" s="93">
        <f>SUM('1:2'!S51)</f>
        <v>0</v>
      </c>
      <c r="T51" s="93">
        <f>SUM('1:2'!T51)</f>
        <v>0</v>
      </c>
      <c r="U51" s="93">
        <f>SUM('1:2'!U51)</f>
        <v>0</v>
      </c>
      <c r="V51" s="206"/>
      <c r="W51" s="33"/>
      <c r="X51" s="93">
        <f>SUM('1:2'!X51)</f>
        <v>0</v>
      </c>
      <c r="Y51" s="93">
        <f>SUM('1:2'!Y51)</f>
        <v>0</v>
      </c>
      <c r="Z51" s="93">
        <f>SUM('1:2'!Z51)</f>
        <v>0</v>
      </c>
      <c r="AA51" s="93">
        <f>SUM('1:2'!AA51)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SUM('1:2'!G52)</f>
        <v>0</v>
      </c>
      <c r="H52" s="246">
        <f t="shared" si="11"/>
        <v>0</v>
      </c>
      <c r="I52" s="93">
        <f>SUM('1:2'!I52)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SUM('1:2'!N52)</f>
        <v>0</v>
      </c>
      <c r="O52" s="93">
        <f>SUM('1:2'!O52)</f>
        <v>0</v>
      </c>
      <c r="P52" s="93">
        <f>SUM('1:2'!P52)</f>
        <v>0</v>
      </c>
      <c r="Q52" s="93">
        <f>SUM('1:2'!Q52)</f>
        <v>0</v>
      </c>
      <c r="R52" s="93">
        <f>SUM('1:2'!R52)</f>
        <v>0</v>
      </c>
      <c r="S52" s="93">
        <f>SUM('1:2'!S52)</f>
        <v>0</v>
      </c>
      <c r="T52" s="93">
        <f>SUM('1:2'!T52)</f>
        <v>0</v>
      </c>
      <c r="U52" s="93">
        <f>SUM('1:2'!U52)</f>
        <v>0</v>
      </c>
      <c r="V52" s="206"/>
      <c r="W52" s="33"/>
      <c r="X52" s="93">
        <f>SUM('1:2'!X52)</f>
        <v>0</v>
      </c>
      <c r="Y52" s="93">
        <f>SUM('1:2'!Y52)</f>
        <v>0</v>
      </c>
      <c r="Z52" s="93">
        <f>SUM('1:2'!Z52)</f>
        <v>0</v>
      </c>
      <c r="AA52" s="93">
        <f>SUM('1:2'!AA52)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SUM('1:2'!G53)</f>
        <v>0</v>
      </c>
      <c r="H53" s="246">
        <f t="shared" si="11"/>
        <v>0</v>
      </c>
      <c r="I53" s="93">
        <f>SUM('1:2'!I53)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SUM('1:2'!N53)</f>
        <v>0</v>
      </c>
      <c r="O53" s="93">
        <f>SUM('1:2'!O53)</f>
        <v>0</v>
      </c>
      <c r="P53" s="93">
        <f>SUM('1:2'!P53)</f>
        <v>0</v>
      </c>
      <c r="Q53" s="93">
        <f>SUM('1:2'!Q53)</f>
        <v>0</v>
      </c>
      <c r="R53" s="93">
        <f>SUM('1:2'!R53)</f>
        <v>0</v>
      </c>
      <c r="S53" s="93">
        <f>SUM('1:2'!S53)</f>
        <v>0</v>
      </c>
      <c r="T53" s="93">
        <f>SUM('1:2'!T53)</f>
        <v>0</v>
      </c>
      <c r="U53" s="93">
        <f>SUM('1:2'!U53)</f>
        <v>0</v>
      </c>
      <c r="V53" s="206"/>
      <c r="W53" s="33"/>
      <c r="X53" s="93">
        <f>SUM('1:2'!X53)</f>
        <v>0</v>
      </c>
      <c r="Y53" s="93">
        <f>SUM('1:2'!Y53)</f>
        <v>0</v>
      </c>
      <c r="Z53" s="93">
        <f>SUM('1:2'!Z53)</f>
        <v>0</v>
      </c>
      <c r="AA53" s="93">
        <f>SUM('1:2'!AA53)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SUM('1:2'!G54)</f>
        <v>0</v>
      </c>
      <c r="H54" s="246">
        <f t="shared" si="11"/>
        <v>0</v>
      </c>
      <c r="I54" s="93">
        <f>SUM('1:2'!I54)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SUM('1:2'!N54)</f>
        <v>0</v>
      </c>
      <c r="O54" s="93">
        <f>SUM('1:2'!O54)</f>
        <v>0</v>
      </c>
      <c r="P54" s="93">
        <f>SUM('1:2'!P54)</f>
        <v>0</v>
      </c>
      <c r="Q54" s="93">
        <f>SUM('1:2'!Q54)</f>
        <v>0</v>
      </c>
      <c r="R54" s="93">
        <f>SUM('1:2'!R54)</f>
        <v>0</v>
      </c>
      <c r="S54" s="93">
        <f>SUM('1:2'!S54)</f>
        <v>0</v>
      </c>
      <c r="T54" s="93">
        <f>SUM('1:2'!T54)</f>
        <v>0</v>
      </c>
      <c r="U54" s="93">
        <f>SUM('1:2'!U54)</f>
        <v>0</v>
      </c>
      <c r="V54" s="206"/>
      <c r="W54" s="33"/>
      <c r="X54" s="93">
        <f>SUM('1:2'!X54)</f>
        <v>0</v>
      </c>
      <c r="Y54" s="93">
        <f>SUM('1:2'!Y54)</f>
        <v>0</v>
      </c>
      <c r="Z54" s="93">
        <f>SUM('1:2'!Z54)</f>
        <v>0</v>
      </c>
      <c r="AA54" s="93">
        <f>SUM('1:2'!AA54)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SUM('1:2'!G55)</f>
        <v>0</v>
      </c>
      <c r="H55" s="246">
        <f t="shared" si="11"/>
        <v>0</v>
      </c>
      <c r="I55" s="93">
        <f>SUM('1:2'!I55)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SUM('1:2'!N55)</f>
        <v>0</v>
      </c>
      <c r="O55" s="93">
        <f>SUM('1:2'!O55)</f>
        <v>0</v>
      </c>
      <c r="P55" s="93">
        <f>SUM('1:2'!P55)</f>
        <v>0</v>
      </c>
      <c r="Q55" s="93">
        <f>SUM('1:2'!Q55)</f>
        <v>0</v>
      </c>
      <c r="R55" s="93">
        <f>SUM('1:2'!R55)</f>
        <v>0</v>
      </c>
      <c r="S55" s="93">
        <f>SUM('1:2'!S55)</f>
        <v>0</v>
      </c>
      <c r="T55" s="93">
        <f>SUM('1:2'!T55)</f>
        <v>0</v>
      </c>
      <c r="U55" s="93">
        <f>SUM('1:2'!U55)</f>
        <v>0</v>
      </c>
      <c r="V55" s="206"/>
      <c r="W55" s="33"/>
      <c r="X55" s="93">
        <f>SUM('1:2'!X55)</f>
        <v>0</v>
      </c>
      <c r="Y55" s="93">
        <f>SUM('1:2'!Y55)</f>
        <v>0</v>
      </c>
      <c r="Z55" s="93">
        <f>SUM('1:2'!Z55)</f>
        <v>0</v>
      </c>
      <c r="AA55" s="93">
        <f>SUM('1:2'!AA55)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SUM('1:2'!G56)</f>
        <v>0</v>
      </c>
      <c r="H56" s="246">
        <f t="shared" si="11"/>
        <v>0</v>
      </c>
      <c r="I56" s="93">
        <f>SUM('1:2'!I56)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SUM('1:2'!N56)</f>
        <v>0</v>
      </c>
      <c r="O56" s="93">
        <f>SUM('1:2'!O56)</f>
        <v>0</v>
      </c>
      <c r="P56" s="93">
        <f>SUM('1:2'!P56)</f>
        <v>0</v>
      </c>
      <c r="Q56" s="93">
        <f>SUM('1:2'!Q56)</f>
        <v>0</v>
      </c>
      <c r="R56" s="93">
        <f>SUM('1:2'!R56)</f>
        <v>0</v>
      </c>
      <c r="S56" s="93">
        <f>SUM('1:2'!S56)</f>
        <v>0</v>
      </c>
      <c r="T56" s="93">
        <f>SUM('1:2'!T56)</f>
        <v>0</v>
      </c>
      <c r="U56" s="93">
        <f>SUM('1:2'!U56)</f>
        <v>0</v>
      </c>
      <c r="V56" s="206"/>
      <c r="W56" s="33"/>
      <c r="X56" s="93">
        <f>SUM('1:2'!X56)</f>
        <v>0</v>
      </c>
      <c r="Y56" s="93">
        <f>SUM('1:2'!Y56)</f>
        <v>0</v>
      </c>
      <c r="Z56" s="93">
        <f>SUM('1:2'!Z56)</f>
        <v>0</v>
      </c>
      <c r="AA56" s="93">
        <f>SUM('1:2'!AA56)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SUM('1:2'!G57)</f>
        <v>0</v>
      </c>
      <c r="H57" s="246">
        <f t="shared" si="11"/>
        <v>0</v>
      </c>
      <c r="I57" s="93">
        <f>SUM('1:2'!I57)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SUM('1:2'!N57)</f>
        <v>0</v>
      </c>
      <c r="O57" s="93">
        <f>SUM('1:2'!O57)</f>
        <v>0</v>
      </c>
      <c r="P57" s="93">
        <f>SUM('1:2'!P57)</f>
        <v>0</v>
      </c>
      <c r="Q57" s="93">
        <f>SUM('1:2'!Q57)</f>
        <v>0</v>
      </c>
      <c r="R57" s="93">
        <f>SUM('1:2'!R57)</f>
        <v>0</v>
      </c>
      <c r="S57" s="93">
        <f>SUM('1:2'!S57)</f>
        <v>0</v>
      </c>
      <c r="T57" s="93">
        <f>SUM('1:2'!T57)</f>
        <v>0</v>
      </c>
      <c r="U57" s="93">
        <f>SUM('1:2'!U57)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SUM('1:2'!X57)</f>
        <v>0</v>
      </c>
      <c r="Y57" s="93">
        <f>SUM('1:2'!Y57)</f>
        <v>0</v>
      </c>
      <c r="Z57" s="93">
        <f>SUM('1:2'!Z57)</f>
        <v>0</v>
      </c>
      <c r="AA57" s="93">
        <f>SUM('1:2'!AA57)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SUM('1:2'!G58)</f>
        <v>0</v>
      </c>
      <c r="H58" s="246">
        <f t="shared" si="11"/>
        <v>0</v>
      </c>
      <c r="I58" s="93">
        <f>SUM('1:2'!I58)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SUM('1:2'!N58)</f>
        <v>0</v>
      </c>
      <c r="O58" s="93">
        <f>SUM('1:2'!O58)</f>
        <v>0</v>
      </c>
      <c r="P58" s="93">
        <f>SUM('1:2'!P58)</f>
        <v>0</v>
      </c>
      <c r="Q58" s="93">
        <f>SUM('1:2'!Q58)</f>
        <v>0</v>
      </c>
      <c r="R58" s="93">
        <f>SUM('1:2'!R58)</f>
        <v>0</v>
      </c>
      <c r="S58" s="93">
        <f>SUM('1:2'!S58)</f>
        <v>0</v>
      </c>
      <c r="T58" s="93">
        <f>SUM('1:2'!T58)</f>
        <v>0</v>
      </c>
      <c r="U58" s="93">
        <f>SUM('1:2'!U58)</f>
        <v>0</v>
      </c>
      <c r="V58" s="206">
        <f t="shared" si="21"/>
        <v>0</v>
      </c>
      <c r="W58" s="33" t="str">
        <f t="shared" si="22"/>
        <v/>
      </c>
      <c r="X58" s="93">
        <f>SUM('1:2'!X58)</f>
        <v>0</v>
      </c>
      <c r="Y58" s="93">
        <f>SUM('1:2'!Y58)</f>
        <v>0</v>
      </c>
      <c r="Z58" s="93">
        <f>SUM('1:2'!Z58)</f>
        <v>0</v>
      </c>
      <c r="AA58" s="93">
        <f>SUM('1:2'!AA58)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SUM('1:2'!G59)</f>
        <v>0</v>
      </c>
      <c r="H59" s="246">
        <f t="shared" si="11"/>
        <v>0</v>
      </c>
      <c r="I59" s="93">
        <f>SUM('1:2'!I59)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SUM('1:2'!N59)</f>
        <v>0</v>
      </c>
      <c r="O59" s="93">
        <f>SUM('1:2'!O59)</f>
        <v>0</v>
      </c>
      <c r="P59" s="93">
        <f>SUM('1:2'!P59)</f>
        <v>0</v>
      </c>
      <c r="Q59" s="93">
        <f>SUM('1:2'!Q59)</f>
        <v>0</v>
      </c>
      <c r="R59" s="93">
        <f>SUM('1:2'!R59)</f>
        <v>0</v>
      </c>
      <c r="S59" s="93">
        <f>SUM('1:2'!S59)</f>
        <v>0</v>
      </c>
      <c r="T59" s="93">
        <f>SUM('1:2'!T59)</f>
        <v>0</v>
      </c>
      <c r="U59" s="93">
        <f>SUM('1:2'!U59)</f>
        <v>0</v>
      </c>
      <c r="V59" s="206">
        <f t="shared" si="21"/>
        <v>0</v>
      </c>
      <c r="W59" s="33" t="str">
        <f t="shared" si="22"/>
        <v/>
      </c>
      <c r="X59" s="93">
        <f>SUM('1:2'!X59)</f>
        <v>0</v>
      </c>
      <c r="Y59" s="93">
        <f>SUM('1:2'!Y59)</f>
        <v>0</v>
      </c>
      <c r="Z59" s="93">
        <f>SUM('1:2'!Z59)</f>
        <v>0</v>
      </c>
      <c r="AA59" s="93">
        <f>SUM('1:2'!AA59)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SUM('1:2'!G60)</f>
        <v>0</v>
      </c>
      <c r="H60" s="246">
        <f t="shared" si="11"/>
        <v>0</v>
      </c>
      <c r="I60" s="93">
        <f>SUM('1:2'!I60)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SUM('1:2'!N60)</f>
        <v>0</v>
      </c>
      <c r="O60" s="93">
        <f>SUM('1:2'!O60)</f>
        <v>0</v>
      </c>
      <c r="P60" s="93">
        <f>SUM('1:2'!P60)</f>
        <v>0</v>
      </c>
      <c r="Q60" s="93">
        <f>SUM('1:2'!Q60)</f>
        <v>0</v>
      </c>
      <c r="R60" s="93">
        <f>SUM('1:2'!R60)</f>
        <v>0</v>
      </c>
      <c r="S60" s="93">
        <f>SUM('1:2'!S60)</f>
        <v>0</v>
      </c>
      <c r="T60" s="93">
        <f>SUM('1:2'!T60)</f>
        <v>0</v>
      </c>
      <c r="U60" s="93">
        <f>SUM('1:2'!U60)</f>
        <v>0</v>
      </c>
      <c r="V60" s="206">
        <f t="shared" si="21"/>
        <v>0</v>
      </c>
      <c r="W60" s="33" t="str">
        <f t="shared" si="22"/>
        <v/>
      </c>
      <c r="X60" s="93">
        <f>SUM('1:2'!X60)</f>
        <v>0</v>
      </c>
      <c r="Y60" s="93">
        <f>SUM('1:2'!Y60)</f>
        <v>0</v>
      </c>
      <c r="Z60" s="93">
        <f>SUM('1:2'!Z60)</f>
        <v>0</v>
      </c>
      <c r="AA60" s="93">
        <f>SUM('1:2'!AA60)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SUM('1:2'!G61)</f>
        <v>0</v>
      </c>
      <c r="H61" s="246">
        <f t="shared" si="11"/>
        <v>0</v>
      </c>
      <c r="I61" s="93">
        <f>SUM('1:2'!I61)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SUM('1:2'!N61)</f>
        <v>0</v>
      </c>
      <c r="O61" s="93">
        <f>SUM('1:2'!O61)</f>
        <v>0</v>
      </c>
      <c r="P61" s="93">
        <f>SUM('1:2'!P61)</f>
        <v>0</v>
      </c>
      <c r="Q61" s="93">
        <f>SUM('1:2'!Q61)</f>
        <v>0</v>
      </c>
      <c r="R61" s="93">
        <f>SUM('1:2'!R61)</f>
        <v>0</v>
      </c>
      <c r="S61" s="93">
        <f>SUM('1:2'!S61)</f>
        <v>0</v>
      </c>
      <c r="T61" s="93">
        <f>SUM('1:2'!T61)</f>
        <v>0</v>
      </c>
      <c r="U61" s="93">
        <f>SUM('1:2'!U61)</f>
        <v>0</v>
      </c>
      <c r="V61" s="206">
        <f t="shared" si="21"/>
        <v>0</v>
      </c>
      <c r="W61" s="33" t="str">
        <f t="shared" si="22"/>
        <v/>
      </c>
      <c r="X61" s="93">
        <f>SUM('1:2'!X61)</f>
        <v>0</v>
      </c>
      <c r="Y61" s="93">
        <f>SUM('1:2'!Y61)</f>
        <v>0</v>
      </c>
      <c r="Z61" s="93">
        <f>SUM('1:2'!Z61)</f>
        <v>0</v>
      </c>
      <c r="AA61" s="93">
        <f>SUM('1:2'!AA61)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SUM('1:2'!G62)</f>
        <v>0</v>
      </c>
      <c r="H62" s="246">
        <f t="shared" si="11"/>
        <v>0</v>
      </c>
      <c r="I62" s="93">
        <f>SUM('1:2'!I62)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SUM('1:2'!N62)</f>
        <v>0</v>
      </c>
      <c r="O62" s="93">
        <f>SUM('1:2'!O62)</f>
        <v>0</v>
      </c>
      <c r="P62" s="93">
        <f>SUM('1:2'!P62)</f>
        <v>0</v>
      </c>
      <c r="Q62" s="93">
        <f>SUM('1:2'!Q62)</f>
        <v>0</v>
      </c>
      <c r="R62" s="93">
        <f>SUM('1:2'!R62)</f>
        <v>0</v>
      </c>
      <c r="S62" s="93">
        <f>SUM('1:2'!S62)</f>
        <v>0</v>
      </c>
      <c r="T62" s="93">
        <f>SUM('1:2'!T62)</f>
        <v>0</v>
      </c>
      <c r="U62" s="93">
        <f>SUM('1:2'!U62)</f>
        <v>0</v>
      </c>
      <c r="V62" s="206">
        <f t="shared" si="21"/>
        <v>0</v>
      </c>
      <c r="W62" s="33" t="str">
        <f t="shared" si="22"/>
        <v/>
      </c>
      <c r="X62" s="93">
        <f>SUM('1:2'!X62)</f>
        <v>0</v>
      </c>
      <c r="Y62" s="93">
        <f>SUM('1:2'!Y62)</f>
        <v>0</v>
      </c>
      <c r="Z62" s="93">
        <f>SUM('1:2'!Z62)</f>
        <v>0</v>
      </c>
      <c r="AA62" s="93">
        <f>SUM('1:2'!AA62)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SUM('1:2'!G63)</f>
        <v>0</v>
      </c>
      <c r="H63" s="246">
        <f t="shared" si="11"/>
        <v>0</v>
      </c>
      <c r="I63" s="93">
        <f>SUM('1:2'!I63)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SUM('1:2'!N63)</f>
        <v>0</v>
      </c>
      <c r="O63" s="93">
        <f>SUM('1:2'!O63)</f>
        <v>0</v>
      </c>
      <c r="P63" s="93">
        <f>SUM('1:2'!P63)</f>
        <v>0</v>
      </c>
      <c r="Q63" s="93">
        <f>SUM('1:2'!Q63)</f>
        <v>0</v>
      </c>
      <c r="R63" s="93">
        <f>SUM('1:2'!R63)</f>
        <v>0</v>
      </c>
      <c r="S63" s="93">
        <f>SUM('1:2'!S63)</f>
        <v>0</v>
      </c>
      <c r="T63" s="93">
        <f>SUM('1:2'!T63)</f>
        <v>0</v>
      </c>
      <c r="U63" s="93">
        <f>SUM('1:2'!U63)</f>
        <v>0</v>
      </c>
      <c r="V63" s="206">
        <f t="shared" si="21"/>
        <v>0</v>
      </c>
      <c r="W63" s="33" t="str">
        <f t="shared" si="22"/>
        <v/>
      </c>
      <c r="X63" s="93">
        <f>SUM('1:2'!X63)</f>
        <v>0</v>
      </c>
      <c r="Y63" s="93">
        <f>SUM('1:2'!Y63)</f>
        <v>0</v>
      </c>
      <c r="Z63" s="93">
        <f>SUM('1:2'!Z63)</f>
        <v>0</v>
      </c>
      <c r="AA63" s="93">
        <f>SUM('1:2'!AA63)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SUM('1:2'!G64)</f>
        <v>0</v>
      </c>
      <c r="H64" s="246">
        <f t="shared" si="11"/>
        <v>0</v>
      </c>
      <c r="I64" s="93">
        <f>SUM('1:2'!I64)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SUM('1:2'!N64)</f>
        <v>0</v>
      </c>
      <c r="O64" s="93">
        <f>SUM('1:2'!O64)</f>
        <v>0</v>
      </c>
      <c r="P64" s="93">
        <f>SUM('1:2'!P64)</f>
        <v>0</v>
      </c>
      <c r="Q64" s="93">
        <f>SUM('1:2'!Q64)</f>
        <v>0</v>
      </c>
      <c r="R64" s="93">
        <f>SUM('1:2'!R64)</f>
        <v>0</v>
      </c>
      <c r="S64" s="93">
        <f>SUM('1:2'!S64)</f>
        <v>0</v>
      </c>
      <c r="T64" s="93">
        <f>SUM('1:2'!T64)</f>
        <v>0</v>
      </c>
      <c r="U64" s="93">
        <f>SUM('1:2'!U64)</f>
        <v>0</v>
      </c>
      <c r="V64" s="206">
        <f t="shared" si="21"/>
        <v>0</v>
      </c>
      <c r="W64" s="33" t="str">
        <f t="shared" si="22"/>
        <v/>
      </c>
      <c r="X64" s="93">
        <f>SUM('1:2'!X64)</f>
        <v>0</v>
      </c>
      <c r="Y64" s="93">
        <f>SUM('1:2'!Y64)</f>
        <v>0</v>
      </c>
      <c r="Z64" s="93">
        <f>SUM('1:2'!Z64)</f>
        <v>0</v>
      </c>
      <c r="AA64" s="93">
        <f>SUM('1:2'!AA64)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SUM('1:2'!G65)</f>
        <v>0</v>
      </c>
      <c r="H65" s="246">
        <f t="shared" si="11"/>
        <v>0</v>
      </c>
      <c r="I65" s="93">
        <f>SUM('1:2'!I65)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SUM('1:2'!N65)</f>
        <v>0</v>
      </c>
      <c r="O65" s="93">
        <f>SUM('1:2'!O65)</f>
        <v>0</v>
      </c>
      <c r="P65" s="93">
        <f>SUM('1:2'!P65)</f>
        <v>0</v>
      </c>
      <c r="Q65" s="93">
        <f>SUM('1:2'!Q65)</f>
        <v>0</v>
      </c>
      <c r="R65" s="93">
        <f>SUM('1:2'!R65)</f>
        <v>0</v>
      </c>
      <c r="S65" s="93">
        <f>SUM('1:2'!S65)</f>
        <v>0</v>
      </c>
      <c r="T65" s="93">
        <f>SUM('1:2'!T65)</f>
        <v>0</v>
      </c>
      <c r="U65" s="93">
        <f>SUM('1:2'!U65)</f>
        <v>0</v>
      </c>
      <c r="V65" s="206">
        <f t="shared" si="21"/>
        <v>0</v>
      </c>
      <c r="W65" s="33" t="str">
        <f t="shared" si="22"/>
        <v/>
      </c>
      <c r="X65" s="93">
        <f>SUM('1:2'!X65)</f>
        <v>0</v>
      </c>
      <c r="Y65" s="93">
        <f>SUM('1:2'!Y65)</f>
        <v>0</v>
      </c>
      <c r="Z65" s="93">
        <f>SUM('1:2'!Z65)</f>
        <v>0</v>
      </c>
      <c r="AA65" s="93">
        <f>SUM('1:2'!AA65)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SUM('1:2'!G66)</f>
        <v>0</v>
      </c>
      <c r="H66" s="246">
        <f t="shared" si="11"/>
        <v>0</v>
      </c>
      <c r="I66" s="93">
        <f>SUM('1:2'!I66)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SUM('1:2'!N66)</f>
        <v>0</v>
      </c>
      <c r="O66" s="93">
        <f>SUM('1:2'!O66)</f>
        <v>0</v>
      </c>
      <c r="P66" s="93">
        <f>SUM('1:2'!P66)</f>
        <v>0</v>
      </c>
      <c r="Q66" s="93">
        <f>SUM('1:2'!Q66)</f>
        <v>0</v>
      </c>
      <c r="R66" s="93">
        <f>SUM('1:2'!R66)</f>
        <v>0</v>
      </c>
      <c r="S66" s="93">
        <f>SUM('1:2'!S66)</f>
        <v>0</v>
      </c>
      <c r="T66" s="93">
        <f>SUM('1:2'!T66)</f>
        <v>0</v>
      </c>
      <c r="U66" s="93">
        <f>SUM('1:2'!U66)</f>
        <v>0</v>
      </c>
      <c r="V66" s="206">
        <f t="shared" si="21"/>
        <v>0</v>
      </c>
      <c r="W66" s="33" t="str">
        <f t="shared" si="22"/>
        <v/>
      </c>
      <c r="X66" s="93">
        <f>SUM('1:2'!X66)</f>
        <v>0</v>
      </c>
      <c r="Y66" s="93">
        <f>SUM('1:2'!Y66)</f>
        <v>0</v>
      </c>
      <c r="Z66" s="93">
        <f>SUM('1:2'!Z66)</f>
        <v>0</v>
      </c>
      <c r="AA66" s="93">
        <f>SUM('1:2'!AA66)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SUM('1:2'!G67)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SUM('1:2'!G68)</f>
        <v>185</v>
      </c>
      <c r="H68" s="246">
        <f t="shared" si="11"/>
        <v>925</v>
      </c>
      <c r="I68" s="93">
        <f>SUM('1:2'!I68)</f>
        <v>5</v>
      </c>
      <c r="J68" s="31"/>
      <c r="K68" s="35">
        <f t="array" ref="K68">IF(ISERROR(G68/L68),"",G68/L68)</f>
        <v>3.7</v>
      </c>
      <c r="L68" s="87">
        <v>50</v>
      </c>
      <c r="M68" s="36"/>
      <c r="N68" s="93">
        <f>SUM('1:2'!N68)</f>
        <v>0</v>
      </c>
      <c r="O68" s="93">
        <f>SUM('1:2'!O68)</f>
        <v>0</v>
      </c>
      <c r="P68" s="93">
        <f>SUM('1:2'!P68)</f>
        <v>0</v>
      </c>
      <c r="Q68" s="93">
        <f>SUM('1:2'!Q68)</f>
        <v>0</v>
      </c>
      <c r="R68" s="93">
        <f>SUM('1:2'!R68)</f>
        <v>0</v>
      </c>
      <c r="S68" s="93">
        <f>SUM('1:2'!S68)</f>
        <v>0</v>
      </c>
      <c r="T68" s="93">
        <f>SUM('1:2'!T68)</f>
        <v>0</v>
      </c>
      <c r="U68" s="93">
        <f>SUM('1:2'!U68)</f>
        <v>0</v>
      </c>
      <c r="V68" s="206"/>
      <c r="W68" s="33"/>
      <c r="X68" s="93">
        <f>SUM('1:2'!X68)</f>
        <v>0</v>
      </c>
      <c r="Y68" s="93">
        <f>SUM('1:2'!Y68)</f>
        <v>0</v>
      </c>
      <c r="Z68" s="93">
        <f>SUM('1:2'!Z68)</f>
        <v>0</v>
      </c>
      <c r="AA68" s="93">
        <f>SUM('1:2'!AA68)</f>
        <v>0</v>
      </c>
      <c r="AB68" s="361">
        <v>0.21</v>
      </c>
      <c r="AC68" s="269">
        <f t="shared" si="4"/>
        <v>38.85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SUM('1:2'!G69)</f>
        <v>85</v>
      </c>
      <c r="H69" s="246">
        <f t="shared" si="11"/>
        <v>427.55</v>
      </c>
      <c r="I69" s="93">
        <f>SUM('1:2'!I69)</f>
        <v>4</v>
      </c>
      <c r="J69" s="31">
        <f t="array" ref="J69">IF(ISERROR(G69/I69),"",G69/I69)</f>
        <v>21.25</v>
      </c>
      <c r="K69" s="35">
        <f t="array" ref="K69">IF(ISERROR(G69/L69),"",G69/L69)</f>
        <v>3.9534883720930232</v>
      </c>
      <c r="L69" s="87">
        <v>21.5</v>
      </c>
      <c r="M69" s="36">
        <f t="shared" ref="M69:M70" si="23">IF(ISERROR(I69-K69),"",I69-K69)</f>
        <v>4.6511627906976827E-2</v>
      </c>
      <c r="N69" s="93">
        <f>SUM('1:2'!N69)</f>
        <v>0</v>
      </c>
      <c r="O69" s="93">
        <f>SUM('1:2'!O69)</f>
        <v>0</v>
      </c>
      <c r="P69" s="93">
        <f>SUM('1:2'!P69)</f>
        <v>0</v>
      </c>
      <c r="Q69" s="93">
        <f>SUM('1:2'!Q69)</f>
        <v>0</v>
      </c>
      <c r="R69" s="93">
        <f>SUM('1:2'!R69)</f>
        <v>0</v>
      </c>
      <c r="S69" s="93">
        <f>SUM('1:2'!S69)</f>
        <v>0</v>
      </c>
      <c r="T69" s="93">
        <f>SUM('1:2'!T69)</f>
        <v>0</v>
      </c>
      <c r="U69" s="93">
        <f>SUM('1:2'!U69)</f>
        <v>0</v>
      </c>
      <c r="V69" s="206">
        <f t="shared" ref="V69:V70" si="24">SUM(X69:AA69)</f>
        <v>0</v>
      </c>
      <c r="W69" s="33">
        <f t="shared" ref="W69:W70" si="25">IF(ISERROR(V69/G69),"",V69/G69)</f>
        <v>0</v>
      </c>
      <c r="X69" s="93">
        <f>SUM('1:2'!X69)</f>
        <v>0</v>
      </c>
      <c r="Y69" s="93">
        <f>SUM('1:2'!Y69)</f>
        <v>0</v>
      </c>
      <c r="Z69" s="93">
        <f>SUM('1:2'!Z69)</f>
        <v>0</v>
      </c>
      <c r="AA69" s="93">
        <f>SUM('1:2'!AA69)</f>
        <v>0</v>
      </c>
      <c r="AB69" s="358">
        <v>0.49</v>
      </c>
      <c r="AC69" s="269">
        <f t="shared" si="4"/>
        <v>41.65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SUM('1:2'!G70)</f>
        <v>0</v>
      </c>
      <c r="H70" s="246">
        <f t="shared" si="11"/>
        <v>0</v>
      </c>
      <c r="I70" s="93">
        <f>SUM('1:2'!I70)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SUM('1:2'!N70)</f>
        <v>0</v>
      </c>
      <c r="O70" s="93">
        <f>SUM('1:2'!O70)</f>
        <v>0</v>
      </c>
      <c r="P70" s="93">
        <f>SUM('1:2'!P70)</f>
        <v>0</v>
      </c>
      <c r="Q70" s="93">
        <f>SUM('1:2'!Q70)</f>
        <v>0</v>
      </c>
      <c r="R70" s="93">
        <f>SUM('1:2'!R70)</f>
        <v>0</v>
      </c>
      <c r="S70" s="93">
        <f>SUM('1:2'!S70)</f>
        <v>0</v>
      </c>
      <c r="T70" s="93">
        <f>SUM('1:2'!T70)</f>
        <v>0</v>
      </c>
      <c r="U70" s="93">
        <f>SUM('1:2'!U70)</f>
        <v>0</v>
      </c>
      <c r="V70" s="206">
        <f t="shared" si="24"/>
        <v>0</v>
      </c>
      <c r="W70" s="33" t="str">
        <f t="shared" si="25"/>
        <v/>
      </c>
      <c r="X70" s="93">
        <f>SUM('1:2'!X70)</f>
        <v>0</v>
      </c>
      <c r="Y70" s="93">
        <f>SUM('1:2'!Y70)</f>
        <v>0</v>
      </c>
      <c r="Z70" s="93">
        <f>SUM('1:2'!Z70)</f>
        <v>0</v>
      </c>
      <c r="AA70" s="93">
        <f>SUM('1:2'!AA70)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SUM('1:2'!G71)</f>
        <v>0</v>
      </c>
      <c r="H71" s="246">
        <f t="shared" si="11"/>
        <v>0</v>
      </c>
      <c r="I71" s="93">
        <f>SUM('1:2'!I71)</f>
        <v>0</v>
      </c>
      <c r="J71" s="31"/>
      <c r="K71" s="35"/>
      <c r="L71" s="87"/>
      <c r="M71" s="36"/>
      <c r="N71" s="93">
        <f>SUM('1:2'!N71)</f>
        <v>0</v>
      </c>
      <c r="O71" s="93">
        <f>SUM('1:2'!O71)</f>
        <v>0</v>
      </c>
      <c r="P71" s="93">
        <f>SUM('1:2'!P71)</f>
        <v>0</v>
      </c>
      <c r="Q71" s="93">
        <f>SUM('1:2'!Q71)</f>
        <v>0</v>
      </c>
      <c r="R71" s="93">
        <f>SUM('1:2'!R71)</f>
        <v>0</v>
      </c>
      <c r="S71" s="93">
        <f>SUM('1:2'!S71)</f>
        <v>0</v>
      </c>
      <c r="T71" s="93">
        <f>SUM('1:2'!T71)</f>
        <v>0</v>
      </c>
      <c r="U71" s="93">
        <f>SUM('1:2'!U71)</f>
        <v>0</v>
      </c>
      <c r="V71" s="206"/>
      <c r="W71" s="33"/>
      <c r="X71" s="93">
        <f>SUM('1:2'!X71)</f>
        <v>0</v>
      </c>
      <c r="Y71" s="93">
        <f>SUM('1:2'!Y71)</f>
        <v>0</v>
      </c>
      <c r="Z71" s="93">
        <f>SUM('1:2'!Z71)</f>
        <v>0</v>
      </c>
      <c r="AA71" s="93">
        <f>SUM('1:2'!AA71)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SUM('1:2'!G72)</f>
        <v>0</v>
      </c>
      <c r="H72" s="246">
        <f t="shared" si="11"/>
        <v>0</v>
      </c>
      <c r="I72" s="93">
        <f>SUM('1:2'!I72)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SUM('1:2'!N72)</f>
        <v>0</v>
      </c>
      <c r="O72" s="93">
        <f>SUM('1:2'!O72)</f>
        <v>0</v>
      </c>
      <c r="P72" s="93">
        <f>SUM('1:2'!P72)</f>
        <v>0</v>
      </c>
      <c r="Q72" s="93">
        <f>SUM('1:2'!Q72)</f>
        <v>0</v>
      </c>
      <c r="R72" s="93">
        <f>SUM('1:2'!R72)</f>
        <v>0</v>
      </c>
      <c r="S72" s="93">
        <f>SUM('1:2'!S72)</f>
        <v>0</v>
      </c>
      <c r="T72" s="93">
        <f>SUM('1:2'!T72)</f>
        <v>0</v>
      </c>
      <c r="U72" s="93">
        <f>SUM('1:2'!U72)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SUM('1:2'!X72)</f>
        <v>0</v>
      </c>
      <c r="Y72" s="93">
        <f>SUM('1:2'!Y72)</f>
        <v>0</v>
      </c>
      <c r="Z72" s="93">
        <f>SUM('1:2'!Z72)</f>
        <v>0</v>
      </c>
      <c r="AA72" s="93">
        <f>SUM('1:2'!AA72)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SUM('1:2'!G73)</f>
        <v>0</v>
      </c>
      <c r="H73" s="246">
        <f t="shared" si="11"/>
        <v>0</v>
      </c>
      <c r="I73" s="93">
        <f>SUM('1:2'!I73)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SUM('1:2'!N73)</f>
        <v>0</v>
      </c>
      <c r="O73" s="93">
        <f>SUM('1:2'!O73)</f>
        <v>0</v>
      </c>
      <c r="P73" s="93">
        <f>SUM('1:2'!P73)</f>
        <v>0</v>
      </c>
      <c r="Q73" s="93">
        <f>SUM('1:2'!Q73)</f>
        <v>0</v>
      </c>
      <c r="R73" s="93">
        <f>SUM('1:2'!R73)</f>
        <v>0</v>
      </c>
      <c r="S73" s="93">
        <f>SUM('1:2'!S73)</f>
        <v>0</v>
      </c>
      <c r="T73" s="93">
        <f>SUM('1:2'!T73)</f>
        <v>0</v>
      </c>
      <c r="U73" s="93">
        <f>SUM('1:2'!U73)</f>
        <v>0</v>
      </c>
      <c r="V73" s="206">
        <f t="shared" si="27"/>
        <v>0</v>
      </c>
      <c r="W73" s="33" t="str">
        <f t="shared" si="28"/>
        <v/>
      </c>
      <c r="X73" s="93">
        <f>SUM('1:2'!X73)</f>
        <v>0</v>
      </c>
      <c r="Y73" s="93">
        <f>SUM('1:2'!Y73)</f>
        <v>0</v>
      </c>
      <c r="Z73" s="93">
        <f>SUM('1:2'!Z73)</f>
        <v>0</v>
      </c>
      <c r="AA73" s="93">
        <f>SUM('1:2'!AA73)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SUM('1:2'!G74)</f>
        <v>0</v>
      </c>
      <c r="H74" s="246">
        <f t="shared" si="11"/>
        <v>0</v>
      </c>
      <c r="I74" s="93">
        <f>SUM('1:2'!I74)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SUM('1:2'!N74)</f>
        <v>0</v>
      </c>
      <c r="O74" s="93">
        <f>SUM('1:2'!O74)</f>
        <v>0</v>
      </c>
      <c r="P74" s="93">
        <f>SUM('1:2'!P74)</f>
        <v>0</v>
      </c>
      <c r="Q74" s="93">
        <f>SUM('1:2'!Q74)</f>
        <v>0</v>
      </c>
      <c r="R74" s="93">
        <f>SUM('1:2'!R74)</f>
        <v>0</v>
      </c>
      <c r="S74" s="93">
        <f>SUM('1:2'!S74)</f>
        <v>0</v>
      </c>
      <c r="T74" s="93">
        <f>SUM('1:2'!T74)</f>
        <v>0</v>
      </c>
      <c r="U74" s="93">
        <f>SUM('1:2'!U74)</f>
        <v>0</v>
      </c>
      <c r="V74" s="206">
        <f t="shared" si="27"/>
        <v>0</v>
      </c>
      <c r="W74" s="33" t="str">
        <f t="shared" si="28"/>
        <v/>
      </c>
      <c r="X74" s="93">
        <f>SUM('1:2'!X74)</f>
        <v>0</v>
      </c>
      <c r="Y74" s="93">
        <f>SUM('1:2'!Y74)</f>
        <v>0</v>
      </c>
      <c r="Z74" s="93">
        <f>SUM('1:2'!Z74)</f>
        <v>0</v>
      </c>
      <c r="AA74" s="93">
        <f>SUM('1:2'!AA74)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SUM('1:2'!G75)</f>
        <v>0</v>
      </c>
      <c r="H75" s="246">
        <f t="shared" si="11"/>
        <v>0</v>
      </c>
      <c r="I75" s="93">
        <f>SUM('1:2'!I75)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SUM('1:2'!N75)</f>
        <v>0</v>
      </c>
      <c r="O75" s="93">
        <f>SUM('1:2'!O75)</f>
        <v>0</v>
      </c>
      <c r="P75" s="93">
        <f>SUM('1:2'!P75)</f>
        <v>0</v>
      </c>
      <c r="Q75" s="93">
        <f>SUM('1:2'!Q75)</f>
        <v>0</v>
      </c>
      <c r="R75" s="93">
        <f>SUM('1:2'!R75)</f>
        <v>0</v>
      </c>
      <c r="S75" s="93">
        <f>SUM('1:2'!S75)</f>
        <v>0</v>
      </c>
      <c r="T75" s="93">
        <f>SUM('1:2'!T75)</f>
        <v>0</v>
      </c>
      <c r="U75" s="93">
        <f>SUM('1:2'!U75)</f>
        <v>0</v>
      </c>
      <c r="V75" s="206">
        <f t="shared" si="27"/>
        <v>0</v>
      </c>
      <c r="W75" s="33" t="str">
        <f t="shared" si="28"/>
        <v/>
      </c>
      <c r="X75" s="93">
        <f>SUM('1:2'!X75)</f>
        <v>0</v>
      </c>
      <c r="Y75" s="93">
        <f>SUM('1:2'!Y75)</f>
        <v>0</v>
      </c>
      <c r="Z75" s="93">
        <f>SUM('1:2'!Z75)</f>
        <v>0</v>
      </c>
      <c r="AA75" s="93">
        <f>SUM('1:2'!AA75)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SUM('1:2'!G76)</f>
        <v>0</v>
      </c>
      <c r="H76" s="246">
        <f t="shared" si="11"/>
        <v>0</v>
      </c>
      <c r="I76" s="93">
        <f>SUM('1:2'!I76)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SUM('1:2'!N76)</f>
        <v>0</v>
      </c>
      <c r="O76" s="93">
        <f>SUM('1:2'!O76)</f>
        <v>0</v>
      </c>
      <c r="P76" s="93">
        <f>SUM('1:2'!P76)</f>
        <v>0</v>
      </c>
      <c r="Q76" s="93">
        <f>SUM('1:2'!Q76)</f>
        <v>0</v>
      </c>
      <c r="R76" s="93">
        <f>SUM('1:2'!R76)</f>
        <v>0</v>
      </c>
      <c r="S76" s="93">
        <f>SUM('1:2'!S76)</f>
        <v>0</v>
      </c>
      <c r="T76" s="93">
        <f>SUM('1:2'!T76)</f>
        <v>0</v>
      </c>
      <c r="U76" s="93">
        <f>SUM('1:2'!U76)</f>
        <v>0</v>
      </c>
      <c r="V76" s="206"/>
      <c r="W76" s="33"/>
      <c r="X76" s="93">
        <f>SUM('1:2'!X76)</f>
        <v>0</v>
      </c>
      <c r="Y76" s="93">
        <f>SUM('1:2'!Y76)</f>
        <v>0</v>
      </c>
      <c r="Z76" s="93">
        <f>SUM('1:2'!Z76)</f>
        <v>0</v>
      </c>
      <c r="AA76" s="93">
        <f>SUM('1:2'!AA76)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SUM('1:2'!G77)</f>
        <v>0</v>
      </c>
      <c r="H77" s="246">
        <f t="shared" si="11"/>
        <v>0</v>
      </c>
      <c r="I77" s="93">
        <f>SUM('1:2'!I77)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SUM('1:2'!N77)</f>
        <v>0</v>
      </c>
      <c r="O77" s="93">
        <f>SUM('1:2'!O77)</f>
        <v>0</v>
      </c>
      <c r="P77" s="93">
        <f>SUM('1:2'!P77)</f>
        <v>0</v>
      </c>
      <c r="Q77" s="93">
        <f>SUM('1:2'!Q77)</f>
        <v>0</v>
      </c>
      <c r="R77" s="93">
        <f>SUM('1:2'!R77)</f>
        <v>0</v>
      </c>
      <c r="S77" s="93">
        <f>SUM('1:2'!S77)</f>
        <v>0</v>
      </c>
      <c r="T77" s="93">
        <f>SUM('1:2'!T77)</f>
        <v>0</v>
      </c>
      <c r="U77" s="93">
        <f>SUM('1:2'!U77)</f>
        <v>0</v>
      </c>
      <c r="V77" s="206"/>
      <c r="W77" s="33"/>
      <c r="X77" s="93">
        <f>SUM('1:2'!X77)</f>
        <v>0</v>
      </c>
      <c r="Y77" s="93">
        <f>SUM('1:2'!Y77)</f>
        <v>0</v>
      </c>
      <c r="Z77" s="93">
        <f>SUM('1:2'!Z77)</f>
        <v>0</v>
      </c>
      <c r="AA77" s="93">
        <f>SUM('1:2'!AA77)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SUM('1:2'!G78)</f>
        <v>0</v>
      </c>
      <c r="H78" s="246">
        <f t="shared" si="11"/>
        <v>0</v>
      </c>
      <c r="I78" s="93">
        <f>SUM('1:2'!I78)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SUM('1:2'!N78)</f>
        <v>0</v>
      </c>
      <c r="O78" s="93">
        <f>SUM('1:2'!O78)</f>
        <v>0</v>
      </c>
      <c r="P78" s="93">
        <f>SUM('1:2'!P78)</f>
        <v>0</v>
      </c>
      <c r="Q78" s="93">
        <f>SUM('1:2'!Q78)</f>
        <v>0</v>
      </c>
      <c r="R78" s="93">
        <f>SUM('1:2'!R78)</f>
        <v>0</v>
      </c>
      <c r="S78" s="93">
        <f>SUM('1:2'!S78)</f>
        <v>0</v>
      </c>
      <c r="T78" s="93">
        <f>SUM('1:2'!T78)</f>
        <v>0</v>
      </c>
      <c r="U78" s="93">
        <f>SUM('1:2'!U78)</f>
        <v>0</v>
      </c>
      <c r="V78" s="206"/>
      <c r="W78" s="33"/>
      <c r="X78" s="93">
        <f>SUM('1:2'!X78)</f>
        <v>0</v>
      </c>
      <c r="Y78" s="93">
        <f>SUM('1:2'!Y78)</f>
        <v>0</v>
      </c>
      <c r="Z78" s="93">
        <f>SUM('1:2'!Z78)</f>
        <v>0</v>
      </c>
      <c r="AA78" s="93">
        <f>SUM('1:2'!AA78)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SUM('1:2'!G79)</f>
        <v>0</v>
      </c>
      <c r="H79" s="246">
        <f t="shared" si="11"/>
        <v>0</v>
      </c>
      <c r="I79" s="93">
        <f>SUM('1:2'!I79)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SUM('1:2'!N79)</f>
        <v>0</v>
      </c>
      <c r="O79" s="93">
        <f>SUM('1:2'!O79)</f>
        <v>0</v>
      </c>
      <c r="P79" s="93">
        <f>SUM('1:2'!P79)</f>
        <v>0</v>
      </c>
      <c r="Q79" s="93">
        <f>SUM('1:2'!Q79)</f>
        <v>0</v>
      </c>
      <c r="R79" s="93">
        <f>SUM('1:2'!R79)</f>
        <v>0</v>
      </c>
      <c r="S79" s="93">
        <f>SUM('1:2'!S79)</f>
        <v>0</v>
      </c>
      <c r="T79" s="93">
        <f>SUM('1:2'!T79)</f>
        <v>0</v>
      </c>
      <c r="U79" s="93">
        <f>SUM('1:2'!U79)</f>
        <v>0</v>
      </c>
      <c r="V79" s="206"/>
      <c r="W79" s="33"/>
      <c r="X79" s="93">
        <f>SUM('1:2'!X79)</f>
        <v>0</v>
      </c>
      <c r="Y79" s="93">
        <f>SUM('1:2'!Y79)</f>
        <v>0</v>
      </c>
      <c r="Z79" s="93">
        <f>SUM('1:2'!Z79)</f>
        <v>0</v>
      </c>
      <c r="AA79" s="93">
        <f>SUM('1:2'!AA79)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SUM('1:2'!G80)</f>
        <v>0</v>
      </c>
      <c r="H80" s="246">
        <f t="shared" si="11"/>
        <v>0</v>
      </c>
      <c r="I80" s="93">
        <f>SUM('1:2'!I80)</f>
        <v>0</v>
      </c>
      <c r="J80" s="31"/>
      <c r="K80" s="35"/>
      <c r="L80" s="87">
        <v>4</v>
      </c>
      <c r="M80" s="36"/>
      <c r="N80" s="93">
        <f>SUM('1:2'!N80)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SUM('1:2'!G81)</f>
        <v>0</v>
      </c>
      <c r="H81" s="246">
        <f t="shared" si="11"/>
        <v>0</v>
      </c>
      <c r="I81" s="93">
        <f>SUM('1:2'!I81)</f>
        <v>0</v>
      </c>
      <c r="J81" s="31"/>
      <c r="K81" s="35"/>
      <c r="L81" s="87">
        <v>4</v>
      </c>
      <c r="M81" s="36"/>
      <c r="N81" s="93">
        <f>SUM('1:2'!N81)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SUM('1:2'!G82)</f>
        <v>0</v>
      </c>
      <c r="H82" s="246">
        <f t="shared" si="11"/>
        <v>0</v>
      </c>
      <c r="I82" s="93">
        <f>SUM('1:2'!I82)</f>
        <v>0</v>
      </c>
      <c r="J82" s="31"/>
      <c r="K82" s="35"/>
      <c r="L82" s="87">
        <v>4</v>
      </c>
      <c r="M82" s="36"/>
      <c r="N82" s="93">
        <f>SUM('1:2'!N82)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SUM('1:2'!G83)</f>
        <v>0</v>
      </c>
      <c r="H83" s="246">
        <f t="shared" si="11"/>
        <v>0</v>
      </c>
      <c r="I83" s="93">
        <f>SUM('1:2'!I83)</f>
        <v>0</v>
      </c>
      <c r="J83" s="31"/>
      <c r="K83" s="35"/>
      <c r="L83" s="87">
        <v>4</v>
      </c>
      <c r="M83" s="36"/>
      <c r="N83" s="93">
        <f>SUM('1:2'!N83)</f>
        <v>0</v>
      </c>
      <c r="O83" s="93">
        <f>SUM('1:2'!O83)</f>
        <v>0</v>
      </c>
      <c r="P83" s="93">
        <f>SUM('1:2'!P83)</f>
        <v>0</v>
      </c>
      <c r="Q83" s="93">
        <f>SUM('1:2'!Q83)</f>
        <v>0</v>
      </c>
      <c r="R83" s="93">
        <f>SUM('1:2'!R83)</f>
        <v>0</v>
      </c>
      <c r="S83" s="93">
        <f>SUM('1:2'!S83)</f>
        <v>0</v>
      </c>
      <c r="T83" s="93">
        <f>SUM('1:2'!T83)</f>
        <v>0</v>
      </c>
      <c r="U83" s="93">
        <f>SUM('1:2'!U83)</f>
        <v>0</v>
      </c>
      <c r="V83" s="206"/>
      <c r="W83" s="33"/>
      <c r="X83" s="93">
        <f>SUM('1:2'!X83)</f>
        <v>0</v>
      </c>
      <c r="Y83" s="93">
        <f>SUM('1:2'!Y83)</f>
        <v>0</v>
      </c>
      <c r="Z83" s="93">
        <f>SUM('1:2'!Z83)</f>
        <v>0</v>
      </c>
      <c r="AA83" s="93">
        <f>SUM('1:2'!AA83)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SUM('1:2'!G84)</f>
        <v>0</v>
      </c>
      <c r="H84" s="246">
        <f t="shared" si="11"/>
        <v>0</v>
      </c>
      <c r="I84" s="93">
        <f>SUM('1:2'!I84)</f>
        <v>0</v>
      </c>
      <c r="J84" s="31"/>
      <c r="K84" s="35"/>
      <c r="L84" s="87">
        <v>4</v>
      </c>
      <c r="M84" s="36"/>
      <c r="N84" s="93">
        <f>SUM('1:2'!N84)</f>
        <v>0</v>
      </c>
      <c r="O84" s="93">
        <f>SUM('1:2'!O84)</f>
        <v>0</v>
      </c>
      <c r="P84" s="93">
        <f>SUM('1:2'!P84)</f>
        <v>0</v>
      </c>
      <c r="Q84" s="93">
        <f>SUM('1:2'!Q84)</f>
        <v>0</v>
      </c>
      <c r="R84" s="93">
        <f>SUM('1:2'!R84)</f>
        <v>0</v>
      </c>
      <c r="S84" s="93">
        <f>SUM('1:2'!S84)</f>
        <v>0</v>
      </c>
      <c r="T84" s="93">
        <f>SUM('1:2'!T84)</f>
        <v>0</v>
      </c>
      <c r="U84" s="93">
        <f>SUM('1:2'!U84)</f>
        <v>0</v>
      </c>
      <c r="V84" s="206"/>
      <c r="W84" s="33"/>
      <c r="X84" s="93">
        <f>SUM('1:2'!X84)</f>
        <v>0</v>
      </c>
      <c r="Y84" s="93">
        <f>SUM('1:2'!Y84)</f>
        <v>0</v>
      </c>
      <c r="Z84" s="93">
        <f>SUM('1:2'!Z84)</f>
        <v>0</v>
      </c>
      <c r="AA84" s="93">
        <f>SUM('1:2'!AA84)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SUM('1:2'!G85)</f>
        <v>0</v>
      </c>
      <c r="H85" s="246">
        <f t="shared" si="11"/>
        <v>0</v>
      </c>
      <c r="I85" s="93">
        <f>SUM('1:2'!I85)</f>
        <v>0</v>
      </c>
      <c r="J85" s="31"/>
      <c r="K85" s="35"/>
      <c r="L85" s="87">
        <v>4</v>
      </c>
      <c r="M85" s="36"/>
      <c r="N85" s="93">
        <f>SUM('1:2'!N85)</f>
        <v>0</v>
      </c>
      <c r="O85" s="93">
        <f>SUM('1:2'!O85)</f>
        <v>0</v>
      </c>
      <c r="P85" s="93">
        <f>SUM('1:2'!P85)</f>
        <v>0</v>
      </c>
      <c r="Q85" s="93">
        <f>SUM('1:2'!Q85)</f>
        <v>0</v>
      </c>
      <c r="R85" s="93">
        <f>SUM('1:2'!R85)</f>
        <v>0</v>
      </c>
      <c r="S85" s="93">
        <f>SUM('1:2'!S85)</f>
        <v>0</v>
      </c>
      <c r="T85" s="93">
        <f>SUM('1:2'!T85)</f>
        <v>0</v>
      </c>
      <c r="U85" s="93">
        <f>SUM('1:2'!U85)</f>
        <v>0</v>
      </c>
      <c r="V85" s="206"/>
      <c r="W85" s="33"/>
      <c r="X85" s="93">
        <f>SUM('1:2'!X85)</f>
        <v>0</v>
      </c>
      <c r="Y85" s="93">
        <f>SUM('1:2'!Y85)</f>
        <v>0</v>
      </c>
      <c r="Z85" s="93">
        <f>SUM('1:2'!Z85)</f>
        <v>0</v>
      </c>
      <c r="AA85" s="93">
        <f>SUM('1:2'!AA85)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739" t="s">
        <v>86</v>
      </c>
      <c r="B86" s="739"/>
      <c r="C86" s="243" t="s">
        <v>71</v>
      </c>
      <c r="D86" s="20"/>
      <c r="E86" s="20"/>
      <c r="F86" s="32"/>
      <c r="G86" s="94">
        <f>SUM(G29:G85)</f>
        <v>4520</v>
      </c>
      <c r="H86" s="30">
        <f>SUM(H29:H85)</f>
        <v>22794.1</v>
      </c>
      <c r="I86" s="30">
        <f>SUM(I29:I85)</f>
        <v>114</v>
      </c>
      <c r="J86" s="31">
        <f t="array" ref="J86">IF(ISERROR(G86/I86),"",G86/I86)</f>
        <v>39.649122807017541</v>
      </c>
      <c r="K86" s="30">
        <f>SUM(K29:K85)</f>
        <v>121.67134551495016</v>
      </c>
      <c r="L86" s="98"/>
      <c r="M86" s="89">
        <f t="shared" ref="M86:V86" si="30">SUM(M29:M85)</f>
        <v>-8.9713455149501673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>
        <f t="shared" ref="W86:W93" si="31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1242.6100000000001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SUM('1:2'!G87)</f>
        <v>0</v>
      </c>
      <c r="H87" s="93">
        <f>SUM('1:2'!H87)</f>
        <v>0</v>
      </c>
      <c r="I87" s="93">
        <f>SUM('1:2'!I87)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SUM('1:2'!N87)</f>
        <v>0</v>
      </c>
      <c r="O87" s="93">
        <f>SUM('1:2'!O87)</f>
        <v>0</v>
      </c>
      <c r="P87" s="93">
        <f>SUM('1:2'!P87)</f>
        <v>0</v>
      </c>
      <c r="Q87" s="93">
        <f>SUM('1:2'!Q87)</f>
        <v>0</v>
      </c>
      <c r="R87" s="93">
        <f>SUM('1:2'!R87)</f>
        <v>0</v>
      </c>
      <c r="S87" s="93">
        <f>SUM('1:2'!S87)</f>
        <v>0</v>
      </c>
      <c r="T87" s="93">
        <f>SUM('1:2'!T87)</f>
        <v>0</v>
      </c>
      <c r="U87" s="93">
        <f>SUM('1:2'!U87)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SUM('1:2'!X87)</f>
        <v>0</v>
      </c>
      <c r="Y87" s="93">
        <f>SUM('1:2'!Y87)</f>
        <v>0</v>
      </c>
      <c r="Z87" s="93">
        <f>SUM('1:2'!Z87)</f>
        <v>0</v>
      </c>
      <c r="AA87" s="93">
        <f>SUM('1:2'!AA87)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SUM('1:2'!G88)</f>
        <v>0</v>
      </c>
      <c r="H88" s="93">
        <f>SUM('1:2'!H88)</f>
        <v>0</v>
      </c>
      <c r="I88" s="93">
        <f>SUM('1:2'!I88)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SUM('1:2'!N88)</f>
        <v>0</v>
      </c>
      <c r="O88" s="93">
        <f>SUM('1:2'!O88)</f>
        <v>0</v>
      </c>
      <c r="P88" s="93">
        <f>SUM('1:2'!P88)</f>
        <v>0</v>
      </c>
      <c r="Q88" s="93">
        <f>SUM('1:2'!Q88)</f>
        <v>0</v>
      </c>
      <c r="R88" s="93">
        <f>SUM('1:2'!R88)</f>
        <v>0</v>
      </c>
      <c r="S88" s="93">
        <f>SUM('1:2'!S88)</f>
        <v>0</v>
      </c>
      <c r="T88" s="93">
        <f>SUM('1:2'!T88)</f>
        <v>0</v>
      </c>
      <c r="U88" s="93">
        <f>SUM('1:2'!U88)</f>
        <v>0</v>
      </c>
      <c r="V88" s="206">
        <f t="shared" si="33"/>
        <v>0</v>
      </c>
      <c r="W88" s="33" t="str">
        <f t="shared" si="31"/>
        <v/>
      </c>
      <c r="X88" s="93">
        <f>SUM('1:2'!X88)</f>
        <v>0</v>
      </c>
      <c r="Y88" s="93">
        <f>SUM('1:2'!Y88)</f>
        <v>0</v>
      </c>
      <c r="Z88" s="93">
        <f>SUM('1:2'!Z88)</f>
        <v>0</v>
      </c>
      <c r="AA88" s="93">
        <f>SUM('1:2'!AA88)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SUM('1:2'!G89)</f>
        <v>0</v>
      </c>
      <c r="H89" s="93">
        <f>SUM('1:2'!H89)</f>
        <v>0</v>
      </c>
      <c r="I89" s="93">
        <f>SUM('1:2'!I89)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SUM('1:2'!N89)</f>
        <v>0</v>
      </c>
      <c r="O89" s="93">
        <f>SUM('1:2'!O89)</f>
        <v>0</v>
      </c>
      <c r="P89" s="93">
        <f>SUM('1:2'!P89)</f>
        <v>0</v>
      </c>
      <c r="Q89" s="93">
        <f>SUM('1:2'!Q89)</f>
        <v>0</v>
      </c>
      <c r="R89" s="93">
        <f>SUM('1:2'!R89)</f>
        <v>0</v>
      </c>
      <c r="S89" s="93">
        <f>SUM('1:2'!S89)</f>
        <v>0</v>
      </c>
      <c r="T89" s="93">
        <f>SUM('1:2'!T89)</f>
        <v>0</v>
      </c>
      <c r="U89" s="93">
        <f>SUM('1:2'!U89)</f>
        <v>0</v>
      </c>
      <c r="V89" s="206">
        <f t="shared" si="33"/>
        <v>0</v>
      </c>
      <c r="W89" s="33" t="str">
        <f t="shared" si="31"/>
        <v/>
      </c>
      <c r="X89" s="93">
        <f>SUM('1:2'!X89)</f>
        <v>0</v>
      </c>
      <c r="Y89" s="93">
        <f>SUM('1:2'!Y89)</f>
        <v>0</v>
      </c>
      <c r="Z89" s="93">
        <f>SUM('1:2'!Z89)</f>
        <v>0</v>
      </c>
      <c r="AA89" s="93">
        <f>SUM('1:2'!AA89)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SUM('1:2'!G90)</f>
        <v>0</v>
      </c>
      <c r="H90" s="93">
        <f>SUM('1:2'!H90)</f>
        <v>0</v>
      </c>
      <c r="I90" s="93">
        <f>SUM('1:2'!I90)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SUM('1:2'!N90)</f>
        <v>0</v>
      </c>
      <c r="O90" s="93">
        <f>SUM('1:2'!O90)</f>
        <v>0</v>
      </c>
      <c r="P90" s="93">
        <f>SUM('1:2'!P90)</f>
        <v>0</v>
      </c>
      <c r="Q90" s="93">
        <f>SUM('1:2'!Q90)</f>
        <v>0</v>
      </c>
      <c r="R90" s="93">
        <f>SUM('1:2'!R90)</f>
        <v>0</v>
      </c>
      <c r="S90" s="93">
        <f>SUM('1:2'!S90)</f>
        <v>0</v>
      </c>
      <c r="T90" s="93">
        <f>SUM('1:2'!T90)</f>
        <v>0</v>
      </c>
      <c r="U90" s="93">
        <f>SUM('1:2'!U90)</f>
        <v>0</v>
      </c>
      <c r="V90" s="206">
        <f t="shared" si="33"/>
        <v>0</v>
      </c>
      <c r="W90" s="33" t="str">
        <f t="shared" si="31"/>
        <v/>
      </c>
      <c r="X90" s="93">
        <f>SUM('1:2'!X90)</f>
        <v>0</v>
      </c>
      <c r="Y90" s="93">
        <f>SUM('1:2'!Y90)</f>
        <v>0</v>
      </c>
      <c r="Z90" s="93">
        <f>SUM('1:2'!Z90)</f>
        <v>0</v>
      </c>
      <c r="AA90" s="93">
        <f>SUM('1:2'!AA90)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SUM('1:2'!G91)</f>
        <v>15</v>
      </c>
      <c r="H91" s="93">
        <f>SUM('1:2'!H91)</f>
        <v>75.45</v>
      </c>
      <c r="I91" s="93">
        <f>SUM('1:2'!I91)</f>
        <v>2</v>
      </c>
      <c r="J91" s="31">
        <f t="array" ref="J91">IF(ISERROR(G91/I91),"",G91/I91)</f>
        <v>7.5</v>
      </c>
      <c r="K91" s="35">
        <f t="array" ref="K91">IF(ISERROR(G91/L91),"",G91/L91)</f>
        <v>1.6129032258064515</v>
      </c>
      <c r="L91" s="87">
        <v>9.3000000000000007</v>
      </c>
      <c r="M91" s="36">
        <f t="shared" si="32"/>
        <v>0.38709677419354849</v>
      </c>
      <c r="N91" s="93">
        <f>SUM('1:2'!N91)</f>
        <v>0</v>
      </c>
      <c r="O91" s="93">
        <f>SUM('1:2'!O91)</f>
        <v>0</v>
      </c>
      <c r="P91" s="93">
        <f>SUM('1:2'!P91)</f>
        <v>0</v>
      </c>
      <c r="Q91" s="93">
        <f>SUM('1:2'!Q91)</f>
        <v>0</v>
      </c>
      <c r="R91" s="93">
        <f>SUM('1:2'!R91)</f>
        <v>0</v>
      </c>
      <c r="S91" s="93">
        <f>SUM('1:2'!S91)</f>
        <v>0</v>
      </c>
      <c r="T91" s="93">
        <f>SUM('1:2'!T91)</f>
        <v>0</v>
      </c>
      <c r="U91" s="93">
        <f>SUM('1:2'!U91)</f>
        <v>0</v>
      </c>
      <c r="V91" s="206">
        <f t="shared" si="33"/>
        <v>0</v>
      </c>
      <c r="W91" s="33">
        <f t="shared" si="31"/>
        <v>0</v>
      </c>
      <c r="X91" s="93">
        <f>SUM('1:2'!X91)</f>
        <v>0</v>
      </c>
      <c r="Y91" s="93">
        <f>SUM('1:2'!Y91)</f>
        <v>0</v>
      </c>
      <c r="Z91" s="93">
        <f>SUM('1:2'!Z91)</f>
        <v>0</v>
      </c>
      <c r="AA91" s="93">
        <f>SUM('1:2'!AA91)</f>
        <v>0</v>
      </c>
      <c r="AB91" s="358">
        <v>1.1100000000000001</v>
      </c>
      <c r="AC91" s="269">
        <f t="shared" si="29"/>
        <v>16.650000000000002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SUM('1:2'!G92)</f>
        <v>436</v>
      </c>
      <c r="H92" s="93">
        <f>SUM('1:2'!H92)</f>
        <v>2193.08</v>
      </c>
      <c r="I92" s="93">
        <f>SUM('1:2'!I92)</f>
        <v>44</v>
      </c>
      <c r="J92" s="31">
        <f t="array" ref="J92">IF(ISERROR(G92/I92),"",G92/I92)</f>
        <v>9.9090909090909083</v>
      </c>
      <c r="K92" s="35">
        <f t="array" ref="K92">IF(ISERROR(G92/L92),"",G92/L92)</f>
        <v>46.881720430107521</v>
      </c>
      <c r="L92" s="87">
        <v>9.3000000000000007</v>
      </c>
      <c r="M92" s="36">
        <f t="shared" si="32"/>
        <v>-2.8817204301075208</v>
      </c>
      <c r="N92" s="93">
        <f>SUM('1:2'!N92)</f>
        <v>0</v>
      </c>
      <c r="O92" s="93">
        <f>SUM('1:2'!O92)</f>
        <v>0</v>
      </c>
      <c r="P92" s="93">
        <f>SUM('1:2'!P92)</f>
        <v>0</v>
      </c>
      <c r="Q92" s="93">
        <f>SUM('1:2'!Q92)</f>
        <v>0</v>
      </c>
      <c r="R92" s="93">
        <f>SUM('1:2'!R92)</f>
        <v>0</v>
      </c>
      <c r="S92" s="93">
        <f>SUM('1:2'!S92)</f>
        <v>0</v>
      </c>
      <c r="T92" s="93">
        <f>SUM('1:2'!T92)</f>
        <v>0</v>
      </c>
      <c r="U92" s="93">
        <f>SUM('1:2'!U92)</f>
        <v>0</v>
      </c>
      <c r="V92" s="206">
        <f t="shared" si="33"/>
        <v>0</v>
      </c>
      <c r="W92" s="33">
        <f t="shared" si="31"/>
        <v>0</v>
      </c>
      <c r="X92" s="93">
        <f>SUM('1:2'!X92)</f>
        <v>0</v>
      </c>
      <c r="Y92" s="93">
        <f>SUM('1:2'!Y92)</f>
        <v>0</v>
      </c>
      <c r="Z92" s="93">
        <f>SUM('1:2'!Z92)</f>
        <v>0</v>
      </c>
      <c r="AA92" s="93">
        <f>SUM('1:2'!AA92)</f>
        <v>0</v>
      </c>
      <c r="AB92" s="358">
        <v>1.1100000000000001</v>
      </c>
      <c r="AC92" s="269">
        <f t="shared" si="29"/>
        <v>483.96000000000004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SUM('1:2'!G93)</f>
        <v>0</v>
      </c>
      <c r="H93" s="93">
        <f>SUM('1:2'!H93)</f>
        <v>0</v>
      </c>
      <c r="I93" s="93">
        <f>SUM('1:2'!I93)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SUM('1:2'!N93)</f>
        <v>0</v>
      </c>
      <c r="O93" s="93">
        <f>SUM('1:2'!O93)</f>
        <v>0</v>
      </c>
      <c r="P93" s="93">
        <f>SUM('1:2'!P93)</f>
        <v>0</v>
      </c>
      <c r="Q93" s="93">
        <f>SUM('1:2'!Q93)</f>
        <v>0</v>
      </c>
      <c r="R93" s="93">
        <f>SUM('1:2'!R93)</f>
        <v>0</v>
      </c>
      <c r="S93" s="93">
        <f>SUM('1:2'!S93)</f>
        <v>0</v>
      </c>
      <c r="T93" s="93">
        <f>SUM('1:2'!T93)</f>
        <v>0</v>
      </c>
      <c r="U93" s="93">
        <f>SUM('1:2'!U93)</f>
        <v>0</v>
      </c>
      <c r="V93" s="206">
        <f t="shared" si="33"/>
        <v>0</v>
      </c>
      <c r="W93" s="33" t="str">
        <f t="shared" si="31"/>
        <v/>
      </c>
      <c r="X93" s="93">
        <f>SUM('1:2'!X93)</f>
        <v>0</v>
      </c>
      <c r="Y93" s="93">
        <f>SUM('1:2'!Y93)</f>
        <v>0</v>
      </c>
      <c r="Z93" s="93">
        <f>SUM('1:2'!Z93)</f>
        <v>0</v>
      </c>
      <c r="AA93" s="93">
        <f>SUM('1:2'!AA93)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SUM('1:2'!G94)</f>
        <v>81</v>
      </c>
      <c r="H94" s="93">
        <f>SUM('1:2'!H94)</f>
        <v>407.43</v>
      </c>
      <c r="I94" s="93">
        <f>SUM('1:2'!I94)</f>
        <v>11</v>
      </c>
      <c r="J94" s="31"/>
      <c r="K94" s="35">
        <f t="array" ref="K94">IF(ISERROR(G94/L94),"",G94/L94)</f>
        <v>8.7096774193548381</v>
      </c>
      <c r="L94" s="87">
        <v>9.3000000000000007</v>
      </c>
      <c r="M94" s="36">
        <f t="shared" si="32"/>
        <v>2.2903225806451619</v>
      </c>
      <c r="N94" s="93">
        <f>SUM('1:2'!N94)</f>
        <v>0</v>
      </c>
      <c r="O94" s="93">
        <f>SUM('1:2'!O94)</f>
        <v>0</v>
      </c>
      <c r="P94" s="93">
        <f>SUM('1:2'!P94)</f>
        <v>0</v>
      </c>
      <c r="Q94" s="93">
        <f>SUM('1:2'!Q94)</f>
        <v>0</v>
      </c>
      <c r="R94" s="93">
        <f>SUM('1:2'!R94)</f>
        <v>0</v>
      </c>
      <c r="S94" s="93">
        <f>SUM('1:2'!S94)</f>
        <v>0</v>
      </c>
      <c r="T94" s="93">
        <f>SUM('1:2'!T94)</f>
        <v>0</v>
      </c>
      <c r="U94" s="93">
        <f>SUM('1:2'!U94)</f>
        <v>0</v>
      </c>
      <c r="V94" s="207"/>
      <c r="W94" s="33"/>
      <c r="X94" s="93">
        <f>SUM('1:2'!X94)</f>
        <v>0</v>
      </c>
      <c r="Y94" s="93">
        <f>SUM('1:2'!Y94)</f>
        <v>0</v>
      </c>
      <c r="Z94" s="93">
        <f>SUM('1:2'!Z94)</f>
        <v>0</v>
      </c>
      <c r="AA94" s="93">
        <f>SUM('1:2'!AA94)</f>
        <v>0</v>
      </c>
      <c r="AB94" s="358">
        <v>0.84</v>
      </c>
      <c r="AC94" s="269">
        <f t="shared" si="29"/>
        <v>68.039999999999992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SUM('1:2'!G95)</f>
        <v>0</v>
      </c>
      <c r="H95" s="93">
        <f>SUM('1:2'!H95)</f>
        <v>0</v>
      </c>
      <c r="I95" s="93">
        <f>SUM('1:2'!I95)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SUM('1:2'!N95)</f>
        <v>0</v>
      </c>
      <c r="O95" s="93">
        <f>SUM('1:2'!O95)</f>
        <v>0</v>
      </c>
      <c r="P95" s="93">
        <f>SUM('1:2'!P95)</f>
        <v>0</v>
      </c>
      <c r="Q95" s="93">
        <f>SUM('1:2'!Q95)</f>
        <v>0</v>
      </c>
      <c r="R95" s="93">
        <f>SUM('1:2'!R95)</f>
        <v>0</v>
      </c>
      <c r="S95" s="93">
        <f>SUM('1:2'!S95)</f>
        <v>0</v>
      </c>
      <c r="T95" s="93">
        <f>SUM('1:2'!T95)</f>
        <v>0</v>
      </c>
      <c r="U95" s="93">
        <f>SUM('1:2'!U95)</f>
        <v>0</v>
      </c>
      <c r="V95" s="207">
        <f>SUM(X95:AA95)</f>
        <v>0</v>
      </c>
      <c r="W95" s="33" t="str">
        <f>IF(ISERROR(V95/G95),"",V95/G95)</f>
        <v/>
      </c>
      <c r="X95" s="93">
        <f>SUM('1:2'!X95)</f>
        <v>0</v>
      </c>
      <c r="Y95" s="93">
        <f>SUM('1:2'!Y95)</f>
        <v>0</v>
      </c>
      <c r="Z95" s="93">
        <f>SUM('1:2'!Z95)</f>
        <v>0</v>
      </c>
      <c r="AA95" s="93">
        <f>SUM('1:2'!AA95)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SUM('1:2'!G96)</f>
        <v>0</v>
      </c>
      <c r="H96" s="93">
        <f>SUM('1:2'!H96)</f>
        <v>0</v>
      </c>
      <c r="I96" s="93">
        <f>SUM('1:2'!I96)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SUM('1:2'!N96)</f>
        <v>0</v>
      </c>
      <c r="O96" s="93">
        <f>SUM('1:2'!O96)</f>
        <v>0</v>
      </c>
      <c r="P96" s="93">
        <f>SUM('1:2'!P96)</f>
        <v>0</v>
      </c>
      <c r="Q96" s="93">
        <f>SUM('1:2'!Q96)</f>
        <v>0</v>
      </c>
      <c r="R96" s="93">
        <f>SUM('1:2'!R96)</f>
        <v>0</v>
      </c>
      <c r="S96" s="93">
        <f>SUM('1:2'!S96)</f>
        <v>0</v>
      </c>
      <c r="T96" s="93">
        <f>SUM('1:2'!T96)</f>
        <v>0</v>
      </c>
      <c r="U96" s="93">
        <f>SUM('1:2'!U96)</f>
        <v>0</v>
      </c>
      <c r="V96" s="207">
        <f>SUM(X96:AA96)</f>
        <v>0</v>
      </c>
      <c r="W96" s="33" t="str">
        <f>IF(ISERROR(V96/G96),"",V96/G96)</f>
        <v/>
      </c>
      <c r="X96" s="93">
        <f>SUM('1:2'!X96)</f>
        <v>0</v>
      </c>
      <c r="Y96" s="93">
        <f>SUM('1:2'!Y96)</f>
        <v>0</v>
      </c>
      <c r="Z96" s="93">
        <f>SUM('1:2'!Z96)</f>
        <v>0</v>
      </c>
      <c r="AA96" s="93">
        <f>SUM('1:2'!AA96)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SUM('1:2'!G97)</f>
        <v>0</v>
      </c>
      <c r="H97" s="93">
        <f>SUM('1:2'!H97)</f>
        <v>0</v>
      </c>
      <c r="I97" s="93">
        <f>SUM('1:2'!I97)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SUM('1:2'!N97)</f>
        <v>0</v>
      </c>
      <c r="O97" s="93">
        <f>SUM('1:2'!O97)</f>
        <v>0</v>
      </c>
      <c r="P97" s="93">
        <f>SUM('1:2'!P97)</f>
        <v>0</v>
      </c>
      <c r="Q97" s="93">
        <f>SUM('1:2'!Q97)</f>
        <v>0</v>
      </c>
      <c r="R97" s="93">
        <f>SUM('1:2'!R97)</f>
        <v>0</v>
      </c>
      <c r="S97" s="93">
        <f>SUM('1:2'!S97)</f>
        <v>0</v>
      </c>
      <c r="T97" s="93">
        <f>SUM('1:2'!T97)</f>
        <v>0</v>
      </c>
      <c r="U97" s="93">
        <f>SUM('1:2'!U97)</f>
        <v>0</v>
      </c>
      <c r="V97" s="207">
        <f>SUM(X97:AA97)</f>
        <v>0</v>
      </c>
      <c r="W97" s="33" t="str">
        <f>IF(ISERROR(V97/G97),"",V97/G97)</f>
        <v/>
      </c>
      <c r="X97" s="93">
        <f>SUM('1:2'!X97)</f>
        <v>0</v>
      </c>
      <c r="Y97" s="93">
        <f>SUM('1:2'!Y97)</f>
        <v>0</v>
      </c>
      <c r="Z97" s="93">
        <f>SUM('1:2'!Z97)</f>
        <v>0</v>
      </c>
      <c r="AA97" s="93">
        <f>SUM('1:2'!AA97)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SUM('1:2'!G98)</f>
        <v>0</v>
      </c>
      <c r="H98" s="93">
        <f>SUM('1:2'!H98)</f>
        <v>0</v>
      </c>
      <c r="I98" s="93">
        <f>SUM('1:2'!I98)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SUM('1:2'!N98)</f>
        <v>0</v>
      </c>
      <c r="O98" s="93">
        <f>SUM('1:2'!O98)</f>
        <v>0</v>
      </c>
      <c r="P98" s="93">
        <f>SUM('1:2'!P98)</f>
        <v>0</v>
      </c>
      <c r="Q98" s="93">
        <f>SUM('1:2'!Q98)</f>
        <v>0</v>
      </c>
      <c r="R98" s="93">
        <f>SUM('1:2'!R98)</f>
        <v>0</v>
      </c>
      <c r="S98" s="93">
        <f>SUM('1:2'!S98)</f>
        <v>0</v>
      </c>
      <c r="T98" s="93">
        <f>SUM('1:2'!T98)</f>
        <v>0</v>
      </c>
      <c r="U98" s="93">
        <f>SUM('1:2'!U98)</f>
        <v>0</v>
      </c>
      <c r="V98" s="207">
        <f>SUM(X98:AA98)</f>
        <v>0</v>
      </c>
      <c r="W98" s="33" t="str">
        <f>IF(ISERROR(V98/G98),"",V98/G98)</f>
        <v/>
      </c>
      <c r="X98" s="93">
        <f>SUM('1:2'!X98)</f>
        <v>0</v>
      </c>
      <c r="Y98" s="93">
        <f>SUM('1:2'!Y98)</f>
        <v>0</v>
      </c>
      <c r="Z98" s="93">
        <f>SUM('1:2'!Z98)</f>
        <v>0</v>
      </c>
      <c r="AA98" s="93">
        <f>SUM('1:2'!AA98)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SUM('1:2'!G99)</f>
        <v>0</v>
      </c>
      <c r="H99" s="93">
        <f>SUM('1:2'!H99)</f>
        <v>0</v>
      </c>
      <c r="I99" s="93">
        <f>SUM('1:2'!I99)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SUM('1:2'!N99)</f>
        <v>0</v>
      </c>
      <c r="O99" s="93">
        <f>SUM('1:2'!O99)</f>
        <v>0</v>
      </c>
      <c r="P99" s="93">
        <f>SUM('1:2'!P99)</f>
        <v>0</v>
      </c>
      <c r="Q99" s="93">
        <f>SUM('1:2'!Q99)</f>
        <v>0</v>
      </c>
      <c r="R99" s="93">
        <f>SUM('1:2'!R99)</f>
        <v>0</v>
      </c>
      <c r="S99" s="93">
        <f>SUM('1:2'!S99)</f>
        <v>0</v>
      </c>
      <c r="T99" s="93">
        <f>SUM('1:2'!T99)</f>
        <v>0</v>
      </c>
      <c r="U99" s="93">
        <f>SUM('1:2'!U99)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SUM('1:2'!X99)</f>
        <v>0</v>
      </c>
      <c r="Y99" s="93">
        <f>SUM('1:2'!Y99)</f>
        <v>0</v>
      </c>
      <c r="Z99" s="93">
        <f>SUM('1:2'!Z99)</f>
        <v>0</v>
      </c>
      <c r="AA99" s="93">
        <f>SUM('1:2'!AA99)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SUM('1:2'!G100)</f>
        <v>0</v>
      </c>
      <c r="H100" s="93">
        <f>SUM('1:2'!H100)</f>
        <v>0</v>
      </c>
      <c r="I100" s="93">
        <f>SUM('1:2'!I100)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SUM('1:2'!N100)</f>
        <v>0</v>
      </c>
      <c r="O100" s="93">
        <f>SUM('1:2'!O100)</f>
        <v>0</v>
      </c>
      <c r="P100" s="93">
        <f>SUM('1:2'!P100)</f>
        <v>0</v>
      </c>
      <c r="Q100" s="93">
        <f>SUM('1:2'!Q100)</f>
        <v>0</v>
      </c>
      <c r="R100" s="93">
        <f>SUM('1:2'!R100)</f>
        <v>0</v>
      </c>
      <c r="S100" s="93">
        <f>SUM('1:2'!S100)</f>
        <v>0</v>
      </c>
      <c r="T100" s="93">
        <f>SUM('1:2'!T100)</f>
        <v>0</v>
      </c>
      <c r="U100" s="93">
        <f>SUM('1:2'!U100)</f>
        <v>0</v>
      </c>
      <c r="V100" s="206">
        <f t="shared" si="35"/>
        <v>0</v>
      </c>
      <c r="W100" s="33" t="str">
        <f t="shared" si="36"/>
        <v/>
      </c>
      <c r="X100" s="93">
        <f>SUM('1:2'!X100)</f>
        <v>0</v>
      </c>
      <c r="Y100" s="93">
        <f>SUM('1:2'!Y100)</f>
        <v>0</v>
      </c>
      <c r="Z100" s="93">
        <f>SUM('1:2'!Z100)</f>
        <v>0</v>
      </c>
      <c r="AA100" s="93">
        <f>SUM('1:2'!AA100)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SUM('1:2'!G101)</f>
        <v>0</v>
      </c>
      <c r="H101" s="93">
        <f>SUM('1:2'!H101)</f>
        <v>0</v>
      </c>
      <c r="I101" s="93">
        <f>SUM('1:2'!I101)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SUM('1:2'!N101)</f>
        <v>0</v>
      </c>
      <c r="O101" s="93">
        <f>SUM('1:2'!O101)</f>
        <v>0</v>
      </c>
      <c r="P101" s="93">
        <f>SUM('1:2'!P101)</f>
        <v>0</v>
      </c>
      <c r="Q101" s="93">
        <f>SUM('1:2'!Q101)</f>
        <v>0</v>
      </c>
      <c r="R101" s="93">
        <f>SUM('1:2'!R101)</f>
        <v>0</v>
      </c>
      <c r="S101" s="93">
        <f>SUM('1:2'!S101)</f>
        <v>0</v>
      </c>
      <c r="T101" s="93">
        <f>SUM('1:2'!T101)</f>
        <v>0</v>
      </c>
      <c r="U101" s="93">
        <f>SUM('1:2'!U101)</f>
        <v>0</v>
      </c>
      <c r="V101" s="206">
        <f t="shared" si="35"/>
        <v>0</v>
      </c>
      <c r="W101" s="33" t="str">
        <f t="shared" si="36"/>
        <v/>
      </c>
      <c r="X101" s="93">
        <f>SUM('1:2'!X101)</f>
        <v>0</v>
      </c>
      <c r="Y101" s="93">
        <f>SUM('1:2'!Y101)</f>
        <v>0</v>
      </c>
      <c r="Z101" s="93">
        <f>SUM('1:2'!Z101)</f>
        <v>0</v>
      </c>
      <c r="AA101" s="93">
        <f>SUM('1:2'!AA101)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SUM('1:2'!G102)</f>
        <v>0</v>
      </c>
      <c r="H102" s="93">
        <f>SUM('1:2'!H102)</f>
        <v>0</v>
      </c>
      <c r="I102" s="93">
        <f>SUM('1:2'!I102)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SUM('1:2'!N102)</f>
        <v>0</v>
      </c>
      <c r="O102" s="93">
        <f>SUM('1:2'!O102)</f>
        <v>0</v>
      </c>
      <c r="P102" s="93">
        <f>SUM('1:2'!P102)</f>
        <v>0</v>
      </c>
      <c r="Q102" s="93">
        <f>SUM('1:2'!Q102)</f>
        <v>0</v>
      </c>
      <c r="R102" s="93">
        <f>SUM('1:2'!R102)</f>
        <v>0</v>
      </c>
      <c r="S102" s="93">
        <f>SUM('1:2'!S102)</f>
        <v>0</v>
      </c>
      <c r="T102" s="93">
        <f>SUM('1:2'!T102)</f>
        <v>0</v>
      </c>
      <c r="U102" s="93">
        <f>SUM('1:2'!U102)</f>
        <v>0</v>
      </c>
      <c r="V102" s="206">
        <f t="shared" si="35"/>
        <v>0</v>
      </c>
      <c r="W102" s="33" t="str">
        <f t="shared" si="36"/>
        <v/>
      </c>
      <c r="X102" s="93">
        <f>SUM('1:2'!X102)</f>
        <v>0</v>
      </c>
      <c r="Y102" s="93">
        <f>SUM('1:2'!Y102)</f>
        <v>0</v>
      </c>
      <c r="Z102" s="93">
        <f>SUM('1:2'!Z102)</f>
        <v>0</v>
      </c>
      <c r="AA102" s="93">
        <f>SUM('1:2'!AA102)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SUM('1:2'!G103)</f>
        <v>0</v>
      </c>
      <c r="H103" s="93">
        <f>SUM('1:2'!H103)</f>
        <v>0</v>
      </c>
      <c r="I103" s="93">
        <f>SUM('1:2'!I103)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SUM('1:2'!N103)</f>
        <v>0</v>
      </c>
      <c r="O103" s="93">
        <f>SUM('1:2'!O103)</f>
        <v>0</v>
      </c>
      <c r="P103" s="93">
        <f>SUM('1:2'!P103)</f>
        <v>0</v>
      </c>
      <c r="Q103" s="93">
        <f>SUM('1:2'!Q103)</f>
        <v>0</v>
      </c>
      <c r="R103" s="93">
        <f>SUM('1:2'!R103)</f>
        <v>0</v>
      </c>
      <c r="S103" s="93">
        <f>SUM('1:2'!S103)</f>
        <v>0</v>
      </c>
      <c r="T103" s="93">
        <f>SUM('1:2'!T103)</f>
        <v>0</v>
      </c>
      <c r="U103" s="93">
        <f>SUM('1:2'!U103)</f>
        <v>0</v>
      </c>
      <c r="V103" s="206">
        <f t="shared" si="35"/>
        <v>0</v>
      </c>
      <c r="W103" s="33" t="str">
        <f t="shared" si="36"/>
        <v/>
      </c>
      <c r="X103" s="93">
        <f>SUM('1:2'!X103)</f>
        <v>0</v>
      </c>
      <c r="Y103" s="93">
        <f>SUM('1:2'!Y103)</f>
        <v>0</v>
      </c>
      <c r="Z103" s="93">
        <f>SUM('1:2'!Z103)</f>
        <v>0</v>
      </c>
      <c r="AA103" s="93">
        <f>SUM('1:2'!AA103)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SUM('1:2'!G104)</f>
        <v>0</v>
      </c>
      <c r="H104" s="93">
        <f>SUM('1:2'!H104)</f>
        <v>0</v>
      </c>
      <c r="I104" s="93">
        <f>SUM('1:2'!I104)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SUM('1:2'!N104)</f>
        <v>0</v>
      </c>
      <c r="O104" s="93">
        <f>SUM('1:2'!O104)</f>
        <v>0</v>
      </c>
      <c r="P104" s="93">
        <f>SUM('1:2'!P104)</f>
        <v>0</v>
      </c>
      <c r="Q104" s="93">
        <f>SUM('1:2'!Q104)</f>
        <v>0</v>
      </c>
      <c r="R104" s="93">
        <f>SUM('1:2'!R104)</f>
        <v>0</v>
      </c>
      <c r="S104" s="93">
        <f>SUM('1:2'!S104)</f>
        <v>0</v>
      </c>
      <c r="T104" s="93">
        <f>SUM('1:2'!T104)</f>
        <v>0</v>
      </c>
      <c r="U104" s="93">
        <f>SUM('1:2'!U104)</f>
        <v>0</v>
      </c>
      <c r="V104" s="206">
        <f t="shared" si="35"/>
        <v>0</v>
      </c>
      <c r="W104" s="33" t="str">
        <f t="shared" si="36"/>
        <v/>
      </c>
      <c r="X104" s="93">
        <f>SUM('1:2'!X104)</f>
        <v>0</v>
      </c>
      <c r="Y104" s="93">
        <f>SUM('1:2'!Y104)</f>
        <v>0</v>
      </c>
      <c r="Z104" s="93">
        <f>SUM('1:2'!Z104)</f>
        <v>0</v>
      </c>
      <c r="AA104" s="93">
        <f>SUM('1:2'!AA104)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SUM('1:2'!G105)</f>
        <v>0</v>
      </c>
      <c r="H105" s="93">
        <f>SUM('1:2'!H105)</f>
        <v>0</v>
      </c>
      <c r="I105" s="93">
        <f>SUM('1:2'!I105)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SUM('1:2'!N105)</f>
        <v>0</v>
      </c>
      <c r="O105" s="93">
        <f>SUM('1:2'!O105)</f>
        <v>0</v>
      </c>
      <c r="P105" s="93">
        <f>SUM('1:2'!P105)</f>
        <v>0</v>
      </c>
      <c r="Q105" s="93">
        <f>SUM('1:2'!Q105)</f>
        <v>0</v>
      </c>
      <c r="R105" s="93">
        <f>SUM('1:2'!R105)</f>
        <v>0</v>
      </c>
      <c r="S105" s="93">
        <f>SUM('1:2'!S105)</f>
        <v>0</v>
      </c>
      <c r="T105" s="93">
        <f>SUM('1:2'!T105)</f>
        <v>0</v>
      </c>
      <c r="U105" s="93">
        <f>SUM('1:2'!U105)</f>
        <v>0</v>
      </c>
      <c r="V105" s="206">
        <f t="shared" si="35"/>
        <v>0</v>
      </c>
      <c r="W105" s="33" t="str">
        <f t="shared" si="36"/>
        <v/>
      </c>
      <c r="X105" s="93">
        <f>SUM('1:2'!X105)</f>
        <v>0</v>
      </c>
      <c r="Y105" s="93">
        <f>SUM('1:2'!Y105)</f>
        <v>0</v>
      </c>
      <c r="Z105" s="93">
        <f>SUM('1:2'!Z105)</f>
        <v>0</v>
      </c>
      <c r="AA105" s="93">
        <f>SUM('1:2'!AA105)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SUM('1:2'!G106)</f>
        <v>0</v>
      </c>
      <c r="H106" s="93">
        <f>SUM('1:2'!H106)</f>
        <v>0</v>
      </c>
      <c r="I106" s="93">
        <f>SUM('1:2'!I106)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SUM('1:2'!N106)</f>
        <v>0</v>
      </c>
      <c r="O106" s="93">
        <f>SUM('1:2'!O106)</f>
        <v>0</v>
      </c>
      <c r="P106" s="93">
        <f>SUM('1:2'!P106)</f>
        <v>0</v>
      </c>
      <c r="Q106" s="93">
        <f>SUM('1:2'!Q106)</f>
        <v>0</v>
      </c>
      <c r="R106" s="93">
        <f>SUM('1:2'!R106)</f>
        <v>0</v>
      </c>
      <c r="S106" s="93">
        <f>SUM('1:2'!S106)</f>
        <v>0</v>
      </c>
      <c r="T106" s="93">
        <f>SUM('1:2'!T106)</f>
        <v>0</v>
      </c>
      <c r="U106" s="93">
        <f>SUM('1:2'!U106)</f>
        <v>0</v>
      </c>
      <c r="V106" s="206">
        <f t="shared" si="35"/>
        <v>0</v>
      </c>
      <c r="W106" s="33" t="str">
        <f t="shared" si="36"/>
        <v/>
      </c>
      <c r="X106" s="93">
        <f>SUM('1:2'!X106)</f>
        <v>0</v>
      </c>
      <c r="Y106" s="93">
        <f>SUM('1:2'!Y106)</f>
        <v>0</v>
      </c>
      <c r="Z106" s="93">
        <f>SUM('1:2'!Z106)</f>
        <v>0</v>
      </c>
      <c r="AA106" s="93">
        <f>SUM('1:2'!AA106)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SUM('1:2'!G107)</f>
        <v>0</v>
      </c>
      <c r="H107" s="93">
        <f>SUM('1:2'!H107)</f>
        <v>0</v>
      </c>
      <c r="I107" s="93">
        <f>SUM('1:2'!I107)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SUM('1:2'!N107)</f>
        <v>0</v>
      </c>
      <c r="O107" s="93">
        <f>SUM('1:2'!O107)</f>
        <v>0</v>
      </c>
      <c r="P107" s="93">
        <f>SUM('1:2'!P107)</f>
        <v>0</v>
      </c>
      <c r="Q107" s="93">
        <f>SUM('1:2'!Q107)</f>
        <v>0</v>
      </c>
      <c r="R107" s="93">
        <f>SUM('1:2'!R107)</f>
        <v>0</v>
      </c>
      <c r="S107" s="93">
        <f>SUM('1:2'!S107)</f>
        <v>0</v>
      </c>
      <c r="T107" s="93">
        <f>SUM('1:2'!T107)</f>
        <v>0</v>
      </c>
      <c r="U107" s="93">
        <f>SUM('1:2'!U107)</f>
        <v>0</v>
      </c>
      <c r="V107" s="206"/>
      <c r="W107" s="33"/>
      <c r="X107" s="93">
        <f>SUM('1:2'!X107)</f>
        <v>0</v>
      </c>
      <c r="Y107" s="93">
        <f>SUM('1:2'!Y107)</f>
        <v>0</v>
      </c>
      <c r="Z107" s="93">
        <f>SUM('1:2'!Z107)</f>
        <v>0</v>
      </c>
      <c r="AA107" s="93">
        <f>SUM('1:2'!AA107)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SUM('1:2'!G108)</f>
        <v>0</v>
      </c>
      <c r="H108" s="93">
        <f>SUM('1:2'!H108)</f>
        <v>0</v>
      </c>
      <c r="I108" s="93">
        <f>SUM('1:2'!I108)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SUM('1:2'!N108)</f>
        <v>0</v>
      </c>
      <c r="O108" s="93">
        <f>SUM('1:2'!O108)</f>
        <v>0</v>
      </c>
      <c r="P108" s="93">
        <f>SUM('1:2'!P108)</f>
        <v>0</v>
      </c>
      <c r="Q108" s="93">
        <f>SUM('1:2'!Q108)</f>
        <v>0</v>
      </c>
      <c r="R108" s="93">
        <f>SUM('1:2'!R108)</f>
        <v>0</v>
      </c>
      <c r="S108" s="93">
        <f>SUM('1:2'!S108)</f>
        <v>0</v>
      </c>
      <c r="T108" s="93">
        <f>SUM('1:2'!T108)</f>
        <v>0</v>
      </c>
      <c r="U108" s="93">
        <f>SUM('1:2'!U108)</f>
        <v>0</v>
      </c>
      <c r="V108" s="206"/>
      <c r="W108" s="33"/>
      <c r="X108" s="93">
        <f>SUM('1:2'!X108)</f>
        <v>0</v>
      </c>
      <c r="Y108" s="93">
        <f>SUM('1:2'!Y108)</f>
        <v>0</v>
      </c>
      <c r="Z108" s="93">
        <f>SUM('1:2'!Z108)</f>
        <v>0</v>
      </c>
      <c r="AA108" s="93">
        <f>SUM('1:2'!AA108)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SUM('1:2'!G109)</f>
        <v>0</v>
      </c>
      <c r="H109" s="93">
        <f>SUM('1:2'!H109)</f>
        <v>0</v>
      </c>
      <c r="I109" s="93">
        <f>SUM('1:2'!I109)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SUM('1:2'!N109)</f>
        <v>0</v>
      </c>
      <c r="O109" s="93">
        <f>SUM('1:2'!O109)</f>
        <v>0</v>
      </c>
      <c r="P109" s="93">
        <f>SUM('1:2'!P109)</f>
        <v>0</v>
      </c>
      <c r="Q109" s="93">
        <f>SUM('1:2'!Q109)</f>
        <v>0</v>
      </c>
      <c r="R109" s="93">
        <f>SUM('1:2'!R109)</f>
        <v>0</v>
      </c>
      <c r="S109" s="93">
        <f>SUM('1:2'!S109)</f>
        <v>0</v>
      </c>
      <c r="T109" s="93">
        <f>SUM('1:2'!T109)</f>
        <v>0</v>
      </c>
      <c r="U109" s="93">
        <f>SUM('1:2'!U109)</f>
        <v>0</v>
      </c>
      <c r="V109" s="206"/>
      <c r="W109" s="33"/>
      <c r="X109" s="93">
        <f>SUM('1:2'!X109)</f>
        <v>0</v>
      </c>
      <c r="Y109" s="93">
        <f>SUM('1:2'!Y109)</f>
        <v>0</v>
      </c>
      <c r="Z109" s="93">
        <f>SUM('1:2'!Z109)</f>
        <v>0</v>
      </c>
      <c r="AA109" s="93">
        <f>SUM('1:2'!AA109)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SUM('1:2'!G110)</f>
        <v>0</v>
      </c>
      <c r="H110" s="93">
        <f>SUM('1:2'!H110)</f>
        <v>0</v>
      </c>
      <c r="I110" s="93">
        <f>SUM('1:2'!I110)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SUM('1:2'!N110)</f>
        <v>0</v>
      </c>
      <c r="O110" s="93">
        <f>SUM('1:2'!O110)</f>
        <v>0</v>
      </c>
      <c r="P110" s="93">
        <f>SUM('1:2'!P110)</f>
        <v>0</v>
      </c>
      <c r="Q110" s="93">
        <f>SUM('1:2'!Q110)</f>
        <v>0</v>
      </c>
      <c r="R110" s="93">
        <f>SUM('1:2'!R110)</f>
        <v>0</v>
      </c>
      <c r="S110" s="93">
        <f>SUM('1:2'!S110)</f>
        <v>0</v>
      </c>
      <c r="T110" s="93">
        <f>SUM('1:2'!T110)</f>
        <v>0</v>
      </c>
      <c r="U110" s="93">
        <f>SUM('1:2'!U110)</f>
        <v>0</v>
      </c>
      <c r="V110" s="206"/>
      <c r="W110" s="33"/>
      <c r="X110" s="93">
        <f>SUM('1:2'!X110)</f>
        <v>0</v>
      </c>
      <c r="Y110" s="93">
        <f>SUM('1:2'!Y110)</f>
        <v>0</v>
      </c>
      <c r="Z110" s="93">
        <f>SUM('1:2'!Z110)</f>
        <v>0</v>
      </c>
      <c r="AA110" s="93">
        <f>SUM('1:2'!AA110)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SUM('1:2'!G111)</f>
        <v>0</v>
      </c>
      <c r="H111" s="93">
        <f>SUM('1:2'!H111)</f>
        <v>0</v>
      </c>
      <c r="I111" s="93">
        <f>SUM('1:2'!I111)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SUM('1:2'!N111)</f>
        <v>0</v>
      </c>
      <c r="O111" s="93">
        <f>SUM('1:2'!O111)</f>
        <v>0</v>
      </c>
      <c r="P111" s="93">
        <f>SUM('1:2'!P111)</f>
        <v>0</v>
      </c>
      <c r="Q111" s="93">
        <f>SUM('1:2'!Q111)</f>
        <v>0</v>
      </c>
      <c r="R111" s="93">
        <f>SUM('1:2'!R111)</f>
        <v>0</v>
      </c>
      <c r="S111" s="93">
        <f>SUM('1:2'!S111)</f>
        <v>0</v>
      </c>
      <c r="T111" s="93">
        <f>SUM('1:2'!T111)</f>
        <v>0</v>
      </c>
      <c r="U111" s="93">
        <f>SUM('1:2'!U111)</f>
        <v>0</v>
      </c>
      <c r="V111" s="206"/>
      <c r="W111" s="33"/>
      <c r="X111" s="93">
        <f>SUM('1:2'!X111)</f>
        <v>0</v>
      </c>
      <c r="Y111" s="93">
        <f>SUM('1:2'!Y111)</f>
        <v>0</v>
      </c>
      <c r="Z111" s="93">
        <f>SUM('1:2'!Z111)</f>
        <v>0</v>
      </c>
      <c r="AA111" s="93">
        <f>SUM('1:2'!AA111)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SUM('1:2'!G112)</f>
        <v>0</v>
      </c>
      <c r="H112" s="93">
        <f>SUM('1:2'!H112)</f>
        <v>0</v>
      </c>
      <c r="I112" s="93">
        <f>SUM('1:2'!I112)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SUM('1:2'!N112)</f>
        <v>0</v>
      </c>
      <c r="O112" s="93">
        <f>SUM('1:2'!O112)</f>
        <v>0</v>
      </c>
      <c r="P112" s="93">
        <f>SUM('1:2'!P112)</f>
        <v>0</v>
      </c>
      <c r="Q112" s="93">
        <f>SUM('1:2'!Q112)</f>
        <v>0</v>
      </c>
      <c r="R112" s="93">
        <f>SUM('1:2'!R112)</f>
        <v>0</v>
      </c>
      <c r="S112" s="93">
        <f>SUM('1:2'!S112)</f>
        <v>0</v>
      </c>
      <c r="T112" s="93">
        <f>SUM('1:2'!T112)</f>
        <v>0</v>
      </c>
      <c r="U112" s="93">
        <f>SUM('1:2'!U112)</f>
        <v>0</v>
      </c>
      <c r="V112" s="206"/>
      <c r="W112" s="33"/>
      <c r="X112" s="93">
        <f>SUM('1:2'!X112)</f>
        <v>0</v>
      </c>
      <c r="Y112" s="93">
        <f>SUM('1:2'!Y112)</f>
        <v>0</v>
      </c>
      <c r="Z112" s="93">
        <f>SUM('1:2'!Z112)</f>
        <v>0</v>
      </c>
      <c r="AA112" s="93">
        <f>SUM('1:2'!AA112)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SUM('1:2'!G113)</f>
        <v>0</v>
      </c>
      <c r="H113" s="93">
        <f>SUM('1:2'!H113)</f>
        <v>0</v>
      </c>
      <c r="I113" s="93">
        <f>SUM('1:2'!I113)</f>
        <v>0</v>
      </c>
      <c r="J113" s="31" t="str">
        <f t="array" ref="J113">IF(ISERROR(G113/I113),"",G113/I113)</f>
        <v/>
      </c>
      <c r="K113" s="35">
        <f t="array" ref="K113">IF(ISERROR(G113/L113),"",G113/L113)</f>
        <v>0</v>
      </c>
      <c r="L113" s="87">
        <v>15.5</v>
      </c>
      <c r="M113" s="36">
        <f t="shared" si="34"/>
        <v>0</v>
      </c>
      <c r="N113" s="93">
        <f>SUM('1:2'!N113)</f>
        <v>0</v>
      </c>
      <c r="O113" s="93">
        <f>SUM('1:2'!O113)</f>
        <v>0</v>
      </c>
      <c r="P113" s="93">
        <f>SUM('1:2'!P113)</f>
        <v>0</v>
      </c>
      <c r="Q113" s="93">
        <f>SUM('1:2'!Q113)</f>
        <v>0</v>
      </c>
      <c r="R113" s="93">
        <f>SUM('1:2'!R113)</f>
        <v>0</v>
      </c>
      <c r="S113" s="93">
        <f>SUM('1:2'!S113)</f>
        <v>0</v>
      </c>
      <c r="T113" s="93">
        <f>SUM('1:2'!T113)</f>
        <v>0</v>
      </c>
      <c r="U113" s="93">
        <f>SUM('1:2'!U113)</f>
        <v>0</v>
      </c>
      <c r="V113" s="206">
        <f t="shared" ref="V113:V114" si="37">SUM(X113:AA113)</f>
        <v>0</v>
      </c>
      <c r="W113" s="33" t="str">
        <f t="shared" ref="W113:W114" si="38">IF(ISERROR(V113/G113),"",V113/G113)</f>
        <v/>
      </c>
      <c r="X113" s="93">
        <f>SUM('1:2'!X113)</f>
        <v>0</v>
      </c>
      <c r="Y113" s="93">
        <f>SUM('1:2'!Y113)</f>
        <v>0</v>
      </c>
      <c r="Z113" s="93">
        <f>SUM('1:2'!Z113)</f>
        <v>0</v>
      </c>
      <c r="AA113" s="93">
        <f>SUM('1:2'!AA113)</f>
        <v>0</v>
      </c>
      <c r="AB113" s="358">
        <v>0.67</v>
      </c>
      <c r="AC113" s="269">
        <f t="shared" si="29"/>
        <v>0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SUM('1:2'!G114)</f>
        <v>0</v>
      </c>
      <c r="H114" s="93">
        <f>SUM('1:2'!H114)</f>
        <v>0</v>
      </c>
      <c r="I114" s="93">
        <f>SUM('1:2'!I114)</f>
        <v>0</v>
      </c>
      <c r="J114" s="31" t="str">
        <f t="array" ref="J114">IF(ISERROR(G114/I114),"",G114/I114)</f>
        <v/>
      </c>
      <c r="K114" s="35">
        <f t="array" ref="K114">IF(ISERROR(G114/L114),"",G114/L114)</f>
        <v>0</v>
      </c>
      <c r="L114" s="87">
        <v>15.5</v>
      </c>
      <c r="M114" s="36">
        <f t="shared" si="34"/>
        <v>0</v>
      </c>
      <c r="N114" s="93">
        <f>SUM('1:2'!N114)</f>
        <v>0</v>
      </c>
      <c r="O114" s="93">
        <f>SUM('1:2'!O114)</f>
        <v>0</v>
      </c>
      <c r="P114" s="93">
        <f>SUM('1:2'!P114)</f>
        <v>0</v>
      </c>
      <c r="Q114" s="93">
        <f>SUM('1:2'!Q114)</f>
        <v>0</v>
      </c>
      <c r="R114" s="93">
        <f>SUM('1:2'!R114)</f>
        <v>0</v>
      </c>
      <c r="S114" s="93">
        <f>SUM('1:2'!S114)</f>
        <v>0</v>
      </c>
      <c r="T114" s="93">
        <f>SUM('1:2'!T114)</f>
        <v>0</v>
      </c>
      <c r="U114" s="93">
        <f>SUM('1:2'!U114)</f>
        <v>0</v>
      </c>
      <c r="V114" s="206">
        <f t="shared" si="37"/>
        <v>0</v>
      </c>
      <c r="W114" s="33" t="str">
        <f t="shared" si="38"/>
        <v/>
      </c>
      <c r="X114" s="93">
        <f>SUM('1:2'!X114)</f>
        <v>0</v>
      </c>
      <c r="Y114" s="93">
        <f>SUM('1:2'!Y114)</f>
        <v>0</v>
      </c>
      <c r="Z114" s="93">
        <f>SUM('1:2'!Z114)</f>
        <v>0</v>
      </c>
      <c r="AA114" s="93">
        <f>SUM('1:2'!AA114)</f>
        <v>0</v>
      </c>
      <c r="AB114" s="358">
        <v>0.67</v>
      </c>
      <c r="AC114" s="269">
        <f t="shared" si="29"/>
        <v>0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SUM('1:2'!G115)</f>
        <v>652</v>
      </c>
      <c r="H115" s="93">
        <f>SUM('1:2'!H115)</f>
        <v>3260</v>
      </c>
      <c r="I115" s="93">
        <f>SUM('1:2'!I115)</f>
        <v>28.5</v>
      </c>
      <c r="J115" s="31"/>
      <c r="K115" s="35">
        <f t="array" ref="K115">IF(ISERROR(G115/L115),"",G115/L115)</f>
        <v>27.166666666666668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1127.96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SUM('1:2'!G116)</f>
        <v>0</v>
      </c>
      <c r="H116" s="93">
        <f>SUM('1:2'!H116)</f>
        <v>0</v>
      </c>
      <c r="I116" s="93">
        <f>SUM('1:2'!I116)</f>
        <v>0</v>
      </c>
      <c r="J116" s="31"/>
      <c r="K116" s="35">
        <f t="array" ref="K116">IF(ISERROR(G116/L116),"",G116/L116)</f>
        <v>0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0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SUM('1:2'!G117)</f>
        <v>269</v>
      </c>
      <c r="H117" s="93">
        <f>SUM('1:2'!H117)</f>
        <v>1345</v>
      </c>
      <c r="I117" s="93">
        <f>SUM('1:2'!I117)</f>
        <v>18.5</v>
      </c>
      <c r="J117" s="31"/>
      <c r="K117" s="35">
        <f t="array" ref="K117">IF(ISERROR(G117/L117),"",G117/L117)</f>
        <v>11.208333333333334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465.37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SUM('1:2'!G118)</f>
        <v>0</v>
      </c>
      <c r="H118" s="93">
        <f>SUM('1:2'!H118)</f>
        <v>0</v>
      </c>
      <c r="I118" s="93">
        <f>SUM('1:2'!I118)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SUM('1:2'!N118)</f>
        <v>0</v>
      </c>
      <c r="O118" s="93">
        <f>SUM('1:2'!O118)</f>
        <v>0</v>
      </c>
      <c r="P118" s="93">
        <f>SUM('1:2'!P118)</f>
        <v>0</v>
      </c>
      <c r="Q118" s="93">
        <f>SUM('1:2'!Q118)</f>
        <v>0</v>
      </c>
      <c r="R118" s="93">
        <f>SUM('1:2'!R118)</f>
        <v>0</v>
      </c>
      <c r="S118" s="93">
        <f>SUM('1:2'!S118)</f>
        <v>0</v>
      </c>
      <c r="T118" s="93">
        <f>SUM('1:2'!T118)</f>
        <v>0</v>
      </c>
      <c r="U118" s="93">
        <f>SUM('1:2'!U118)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SUM('1:2'!X118)</f>
        <v>0</v>
      </c>
      <c r="Y118" s="93">
        <f>SUM('1:2'!Y118)</f>
        <v>0</v>
      </c>
      <c r="Z118" s="93">
        <f>SUM('1:2'!Z118)</f>
        <v>0</v>
      </c>
      <c r="AA118" s="93">
        <f>SUM('1:2'!AA118)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SUM('1:2'!G119)</f>
        <v>0</v>
      </c>
      <c r="H119" s="93">
        <f>SUM('1:2'!H119)</f>
        <v>0</v>
      </c>
      <c r="I119" s="93">
        <f>SUM('1:2'!I119)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SUM('1:2'!N119)</f>
        <v>0</v>
      </c>
      <c r="O119" s="93">
        <f>SUM('1:2'!O119)</f>
        <v>0</v>
      </c>
      <c r="P119" s="93">
        <f>SUM('1:2'!P119)</f>
        <v>0</v>
      </c>
      <c r="Q119" s="93">
        <f>SUM('1:2'!Q119)</f>
        <v>0</v>
      </c>
      <c r="R119" s="93">
        <f>SUM('1:2'!R119)</f>
        <v>0</v>
      </c>
      <c r="S119" s="93">
        <f>SUM('1:2'!S119)</f>
        <v>0</v>
      </c>
      <c r="T119" s="93">
        <f>SUM('1:2'!T119)</f>
        <v>0</v>
      </c>
      <c r="U119" s="93">
        <f>SUM('1:2'!U119)</f>
        <v>0</v>
      </c>
      <c r="V119" s="206">
        <f t="shared" si="40"/>
        <v>0</v>
      </c>
      <c r="W119" s="33" t="str">
        <f>IF(ISERROR(V119/G119),"",V119/G119)</f>
        <v/>
      </c>
      <c r="X119" s="93">
        <f>SUM('1:2'!X119)</f>
        <v>0</v>
      </c>
      <c r="Y119" s="93">
        <f>SUM('1:2'!Y119)</f>
        <v>0</v>
      </c>
      <c r="Z119" s="93">
        <f>SUM('1:2'!Z119)</f>
        <v>0</v>
      </c>
      <c r="AA119" s="93">
        <f>SUM('1:2'!AA119)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SUM('1:2'!G120)</f>
        <v>0</v>
      </c>
      <c r="H120" s="93">
        <f>SUM('1:2'!H120)</f>
        <v>0</v>
      </c>
      <c r="I120" s="93">
        <f>SUM('1:2'!I120)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SUM('1:2'!N120)</f>
        <v>0</v>
      </c>
      <c r="O120" s="93">
        <f>SUM('1:2'!O120)</f>
        <v>0</v>
      </c>
      <c r="P120" s="93">
        <f>SUM('1:2'!P120)</f>
        <v>0</v>
      </c>
      <c r="Q120" s="93">
        <f>SUM('1:2'!Q120)</f>
        <v>0</v>
      </c>
      <c r="R120" s="93">
        <f>SUM('1:2'!R120)</f>
        <v>0</v>
      </c>
      <c r="S120" s="93">
        <f>SUM('1:2'!S120)</f>
        <v>0</v>
      </c>
      <c r="T120" s="93">
        <f>SUM('1:2'!T120)</f>
        <v>0</v>
      </c>
      <c r="U120" s="93">
        <f>SUM('1:2'!U120)</f>
        <v>0</v>
      </c>
      <c r="V120" s="206">
        <f t="shared" si="40"/>
        <v>0</v>
      </c>
      <c r="W120" s="33" t="str">
        <f>IF(ISERROR(V120/G120),"",V120/G120)</f>
        <v/>
      </c>
      <c r="X120" s="93">
        <f>SUM('1:2'!X120)</f>
        <v>0</v>
      </c>
      <c r="Y120" s="93">
        <f>SUM('1:2'!Y120)</f>
        <v>0</v>
      </c>
      <c r="Z120" s="93">
        <f>SUM('1:2'!Z120)</f>
        <v>0</v>
      </c>
      <c r="AA120" s="93">
        <f>SUM('1:2'!AA120)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731" t="s">
        <v>92</v>
      </c>
      <c r="B121" s="732"/>
      <c r="C121" s="243" t="s">
        <v>71</v>
      </c>
      <c r="D121" s="20"/>
      <c r="E121" s="20"/>
      <c r="F121" s="32"/>
      <c r="G121" s="99">
        <f>SUM(G87:G120)</f>
        <v>1453</v>
      </c>
      <c r="H121" s="30">
        <f>SUM(H87:H120)</f>
        <v>7280.9599999999991</v>
      </c>
      <c r="I121" s="30">
        <f>SUM(I87:I120)</f>
        <v>104</v>
      </c>
      <c r="J121" s="31">
        <f t="array" ref="J121">IF(ISERROR(G121/I121),"",G121/I121)</f>
        <v>13.971153846153847</v>
      </c>
      <c r="K121" s="30">
        <f>SUM(K87:K120)</f>
        <v>95.579301075268802</v>
      </c>
      <c r="L121" s="98"/>
      <c r="M121" s="89">
        <f t="shared" ref="M121:V121" si="42">SUM(M87:M120)</f>
        <v>-0.20430107526881036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2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2161.98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SUM('1:2'!G122)</f>
        <v>0</v>
      </c>
      <c r="H122" s="93">
        <f>SUM('1:2'!H122)</f>
        <v>0</v>
      </c>
      <c r="I122" s="93">
        <f>SUM('1:2'!I122)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SUM('1:2'!N122)</f>
        <v>0</v>
      </c>
      <c r="O122" s="93">
        <f>SUM('1:2'!O122)</f>
        <v>0</v>
      </c>
      <c r="P122" s="93">
        <f>SUM('1:2'!P122)</f>
        <v>0</v>
      </c>
      <c r="Q122" s="93">
        <f>SUM('1:2'!Q122)</f>
        <v>0</v>
      </c>
      <c r="R122" s="93">
        <f>SUM('1:2'!R122)</f>
        <v>0</v>
      </c>
      <c r="S122" s="93">
        <f>SUM('1:2'!S122)</f>
        <v>0</v>
      </c>
      <c r="T122" s="93">
        <f>SUM('1:2'!T122)</f>
        <v>0</v>
      </c>
      <c r="U122" s="93">
        <f>SUM('1:2'!U122)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SUM('1:2'!X122)</f>
        <v>0</v>
      </c>
      <c r="Y122" s="93">
        <f>SUM('1:2'!Y122)</f>
        <v>0</v>
      </c>
      <c r="Z122" s="93">
        <f>SUM('1:2'!Z122)</f>
        <v>0</v>
      </c>
      <c r="AA122" s="93">
        <f>SUM('1:2'!AA122)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SUM('1:2'!G123)</f>
        <v>0</v>
      </c>
      <c r="H123" s="93">
        <f>SUM('1:2'!H123)</f>
        <v>0</v>
      </c>
      <c r="I123" s="93">
        <f>SUM('1:2'!I123)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SUM('1:2'!N123)</f>
        <v>0</v>
      </c>
      <c r="O123" s="93">
        <f>SUM('1:2'!O123)</f>
        <v>0</v>
      </c>
      <c r="P123" s="93">
        <f>SUM('1:2'!P123)</f>
        <v>0</v>
      </c>
      <c r="Q123" s="93">
        <f>SUM('1:2'!Q123)</f>
        <v>0</v>
      </c>
      <c r="R123" s="93">
        <f>SUM('1:2'!R123)</f>
        <v>0</v>
      </c>
      <c r="S123" s="93">
        <f>SUM('1:2'!S123)</f>
        <v>0</v>
      </c>
      <c r="T123" s="93">
        <f>SUM('1:2'!T123)</f>
        <v>0</v>
      </c>
      <c r="U123" s="93">
        <f>SUM('1:2'!U123)</f>
        <v>0</v>
      </c>
      <c r="V123" s="206">
        <f t="shared" si="45"/>
        <v>0</v>
      </c>
      <c r="W123" s="33" t="str">
        <f t="shared" si="43"/>
        <v/>
      </c>
      <c r="X123" s="93">
        <f>SUM('1:2'!X123)</f>
        <v>0</v>
      </c>
      <c r="Y123" s="93">
        <f>SUM('1:2'!Y123)</f>
        <v>0</v>
      </c>
      <c r="Z123" s="93">
        <f>SUM('1:2'!Z123)</f>
        <v>0</v>
      </c>
      <c r="AA123" s="93">
        <f>SUM('1:2'!AA123)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SUM('1:2'!G124)</f>
        <v>0</v>
      </c>
      <c r="H124" s="93">
        <f>SUM('1:2'!H124)</f>
        <v>0</v>
      </c>
      <c r="I124" s="93">
        <f>SUM('1:2'!I124)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SUM('1:2'!N124)</f>
        <v>0</v>
      </c>
      <c r="O124" s="93">
        <f>SUM('1:2'!O124)</f>
        <v>0</v>
      </c>
      <c r="P124" s="93">
        <f>SUM('1:2'!P124)</f>
        <v>0</v>
      </c>
      <c r="Q124" s="93">
        <f>SUM('1:2'!Q124)</f>
        <v>0</v>
      </c>
      <c r="R124" s="93">
        <f>SUM('1:2'!R124)</f>
        <v>0</v>
      </c>
      <c r="S124" s="93">
        <f>SUM('1:2'!S124)</f>
        <v>0</v>
      </c>
      <c r="T124" s="93">
        <f>SUM('1:2'!T124)</f>
        <v>0</v>
      </c>
      <c r="U124" s="93">
        <f>SUM('1:2'!U124)</f>
        <v>0</v>
      </c>
      <c r="V124" s="206">
        <f t="shared" si="45"/>
        <v>0</v>
      </c>
      <c r="W124" s="33" t="str">
        <f t="shared" si="43"/>
        <v/>
      </c>
      <c r="X124" s="93">
        <f>SUM('1:2'!X124)</f>
        <v>0</v>
      </c>
      <c r="Y124" s="93">
        <f>SUM('1:2'!Y124)</f>
        <v>0</v>
      </c>
      <c r="Z124" s="93">
        <f>SUM('1:2'!Z124)</f>
        <v>0</v>
      </c>
      <c r="AA124" s="93">
        <f>SUM('1:2'!AA124)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SUM('1:2'!G125)</f>
        <v>0</v>
      </c>
      <c r="H125" s="93">
        <f>SUM('1:2'!H125)</f>
        <v>0</v>
      </c>
      <c r="I125" s="93">
        <f>SUM('1:2'!I125)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SUM('1:2'!N125)</f>
        <v>0</v>
      </c>
      <c r="O125" s="93">
        <f>SUM('1:2'!O125)</f>
        <v>0</v>
      </c>
      <c r="P125" s="93">
        <f>SUM('1:2'!P125)</f>
        <v>0</v>
      </c>
      <c r="Q125" s="93">
        <f>SUM('1:2'!Q125)</f>
        <v>0</v>
      </c>
      <c r="R125" s="93">
        <f>SUM('1:2'!R125)</f>
        <v>0</v>
      </c>
      <c r="S125" s="93">
        <f>SUM('1:2'!S125)</f>
        <v>0</v>
      </c>
      <c r="T125" s="93">
        <f>SUM('1:2'!T125)</f>
        <v>0</v>
      </c>
      <c r="U125" s="93">
        <f>SUM('1:2'!U125)</f>
        <v>0</v>
      </c>
      <c r="V125" s="206">
        <f t="shared" si="45"/>
        <v>0</v>
      </c>
      <c r="W125" s="33" t="str">
        <f t="shared" si="43"/>
        <v/>
      </c>
      <c r="X125" s="93">
        <f>SUM('1:2'!X125)</f>
        <v>0</v>
      </c>
      <c r="Y125" s="93">
        <f>SUM('1:2'!Y125)</f>
        <v>0</v>
      </c>
      <c r="Z125" s="93">
        <f>SUM('1:2'!Z125)</f>
        <v>0</v>
      </c>
      <c r="AA125" s="93">
        <f>SUM('1:2'!AA125)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SUM('1:2'!G126)</f>
        <v>0</v>
      </c>
      <c r="H126" s="93">
        <f>SUM('1:2'!H126)</f>
        <v>0</v>
      </c>
      <c r="I126" s="93">
        <f>SUM('1:2'!I126)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SUM('1:2'!N126)</f>
        <v>0</v>
      </c>
      <c r="O126" s="93">
        <f>SUM('1:2'!O126)</f>
        <v>0</v>
      </c>
      <c r="P126" s="93">
        <f>SUM('1:2'!P126)</f>
        <v>0</v>
      </c>
      <c r="Q126" s="93">
        <f>SUM('1:2'!Q126)</f>
        <v>0</v>
      </c>
      <c r="R126" s="93">
        <f>SUM('1:2'!R126)</f>
        <v>0</v>
      </c>
      <c r="S126" s="93">
        <f>SUM('1:2'!S126)</f>
        <v>0</v>
      </c>
      <c r="T126" s="93">
        <f>SUM('1:2'!T126)</f>
        <v>0</v>
      </c>
      <c r="U126" s="93">
        <f>SUM('1:2'!U126)</f>
        <v>0</v>
      </c>
      <c r="V126" s="206">
        <f t="shared" si="45"/>
        <v>0</v>
      </c>
      <c r="W126" s="33" t="str">
        <f t="shared" si="43"/>
        <v/>
      </c>
      <c r="X126" s="93">
        <f>SUM('1:2'!X126)</f>
        <v>0</v>
      </c>
      <c r="Y126" s="93">
        <f>SUM('1:2'!Y126)</f>
        <v>0</v>
      </c>
      <c r="Z126" s="93">
        <f>SUM('1:2'!Z126)</f>
        <v>0</v>
      </c>
      <c r="AA126" s="93">
        <f>SUM('1:2'!AA126)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SUM('1:2'!G127)</f>
        <v>0</v>
      </c>
      <c r="H127" s="93">
        <f>SUM('1:2'!H127)</f>
        <v>0</v>
      </c>
      <c r="I127" s="93">
        <f>SUM('1:2'!I127)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SUM('1:2'!N127)</f>
        <v>0</v>
      </c>
      <c r="O127" s="93">
        <f>SUM('1:2'!O127)</f>
        <v>0</v>
      </c>
      <c r="P127" s="93">
        <f>SUM('1:2'!P127)</f>
        <v>0</v>
      </c>
      <c r="Q127" s="93">
        <f>SUM('1:2'!Q127)</f>
        <v>0</v>
      </c>
      <c r="R127" s="93">
        <f>SUM('1:2'!R127)</f>
        <v>0</v>
      </c>
      <c r="S127" s="93">
        <f>SUM('1:2'!S127)</f>
        <v>0</v>
      </c>
      <c r="T127" s="93">
        <f>SUM('1:2'!T127)</f>
        <v>0</v>
      </c>
      <c r="U127" s="93">
        <f>SUM('1:2'!U127)</f>
        <v>0</v>
      </c>
      <c r="V127" s="206">
        <f t="shared" si="45"/>
        <v>0</v>
      </c>
      <c r="W127" s="33" t="str">
        <f t="shared" si="43"/>
        <v/>
      </c>
      <c r="X127" s="93">
        <f>SUM('1:2'!X127)</f>
        <v>0</v>
      </c>
      <c r="Y127" s="93">
        <f>SUM('1:2'!Y127)</f>
        <v>0</v>
      </c>
      <c r="Z127" s="93">
        <f>SUM('1:2'!Z127)</f>
        <v>0</v>
      </c>
      <c r="AA127" s="93">
        <f>SUM('1:2'!AA127)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SUM('1:2'!G128)</f>
        <v>0</v>
      </c>
      <c r="H128" s="93">
        <f>SUM('1:2'!H128)</f>
        <v>0</v>
      </c>
      <c r="I128" s="93">
        <f>SUM('1:2'!I128)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SUM('1:2'!N128)</f>
        <v>0</v>
      </c>
      <c r="O128" s="93">
        <f>SUM('1:2'!O128)</f>
        <v>0</v>
      </c>
      <c r="P128" s="93">
        <f>SUM('1:2'!P128)</f>
        <v>0</v>
      </c>
      <c r="Q128" s="93">
        <f>SUM('1:2'!Q128)</f>
        <v>0</v>
      </c>
      <c r="R128" s="93">
        <f>SUM('1:2'!R128)</f>
        <v>0</v>
      </c>
      <c r="S128" s="93">
        <f>SUM('1:2'!S128)</f>
        <v>0</v>
      </c>
      <c r="T128" s="93">
        <f>SUM('1:2'!T128)</f>
        <v>0</v>
      </c>
      <c r="U128" s="93">
        <f>SUM('1:2'!U128)</f>
        <v>0</v>
      </c>
      <c r="V128" s="206">
        <f t="shared" si="45"/>
        <v>0</v>
      </c>
      <c r="W128" s="33" t="str">
        <f t="shared" si="43"/>
        <v/>
      </c>
      <c r="X128" s="93">
        <f>SUM('1:2'!X128)</f>
        <v>0</v>
      </c>
      <c r="Y128" s="93">
        <f>SUM('1:2'!Y128)</f>
        <v>0</v>
      </c>
      <c r="Z128" s="93">
        <f>SUM('1:2'!Z128)</f>
        <v>0</v>
      </c>
      <c r="AA128" s="93">
        <f>SUM('1:2'!AA128)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SUM('1:2'!G129)</f>
        <v>0</v>
      </c>
      <c r="H129" s="93">
        <f>SUM('1:2'!H129)</f>
        <v>0</v>
      </c>
      <c r="I129" s="93">
        <f>SUM('1:2'!I129)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SUM('1:2'!N129)</f>
        <v>0</v>
      </c>
      <c r="O129" s="93">
        <f>SUM('1:2'!O129)</f>
        <v>0</v>
      </c>
      <c r="P129" s="93">
        <f>SUM('1:2'!P129)</f>
        <v>0</v>
      </c>
      <c r="Q129" s="93">
        <f>SUM('1:2'!Q129)</f>
        <v>0</v>
      </c>
      <c r="R129" s="93">
        <f>SUM('1:2'!R129)</f>
        <v>0</v>
      </c>
      <c r="S129" s="93">
        <f>SUM('1:2'!S129)</f>
        <v>0</v>
      </c>
      <c r="T129" s="93">
        <f>SUM('1:2'!T129)</f>
        <v>0</v>
      </c>
      <c r="U129" s="93">
        <f>SUM('1:2'!U129)</f>
        <v>0</v>
      </c>
      <c r="V129" s="206">
        <f t="shared" si="45"/>
        <v>0</v>
      </c>
      <c r="W129" s="33" t="str">
        <f t="shared" si="43"/>
        <v/>
      </c>
      <c r="X129" s="93">
        <f>SUM('1:2'!X129)</f>
        <v>0</v>
      </c>
      <c r="Y129" s="93">
        <f>SUM('1:2'!Y129)</f>
        <v>0</v>
      </c>
      <c r="Z129" s="93">
        <f>SUM('1:2'!Z129)</f>
        <v>0</v>
      </c>
      <c r="AA129" s="93">
        <f>SUM('1:2'!AA129)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SUM('1:2'!G130)</f>
        <v>0</v>
      </c>
      <c r="H130" s="93">
        <f>SUM('1:2'!H130)</f>
        <v>0</v>
      </c>
      <c r="I130" s="93">
        <f>SUM('1:2'!I130)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SUM('1:2'!N130)</f>
        <v>0</v>
      </c>
      <c r="O130" s="93">
        <f>SUM('1:2'!O130)</f>
        <v>0</v>
      </c>
      <c r="P130" s="93">
        <f>SUM('1:2'!P130)</f>
        <v>0</v>
      </c>
      <c r="Q130" s="93">
        <f>SUM('1:2'!Q130)</f>
        <v>0</v>
      </c>
      <c r="R130" s="93">
        <f>SUM('1:2'!R130)</f>
        <v>0</v>
      </c>
      <c r="S130" s="93">
        <f>SUM('1:2'!S130)</f>
        <v>0</v>
      </c>
      <c r="T130" s="93">
        <f>SUM('1:2'!T130)</f>
        <v>0</v>
      </c>
      <c r="U130" s="93">
        <f>SUM('1:2'!U130)</f>
        <v>0</v>
      </c>
      <c r="V130" s="206">
        <f t="shared" si="45"/>
        <v>0</v>
      </c>
      <c r="W130" s="33" t="str">
        <f t="shared" si="43"/>
        <v/>
      </c>
      <c r="X130" s="93">
        <f>SUM('1:2'!X130)</f>
        <v>0</v>
      </c>
      <c r="Y130" s="93">
        <f>SUM('1:2'!Y130)</f>
        <v>0</v>
      </c>
      <c r="Z130" s="93">
        <f>SUM('1:2'!Z130)</f>
        <v>0</v>
      </c>
      <c r="AA130" s="93">
        <f>SUM('1:2'!AA130)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SUM('1:2'!G131)</f>
        <v>0</v>
      </c>
      <c r="H131" s="93">
        <f>SUM('1:2'!H131)</f>
        <v>0</v>
      </c>
      <c r="I131" s="93">
        <f>SUM('1:2'!I131)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SUM('1:2'!N131)</f>
        <v>0</v>
      </c>
      <c r="O131" s="93">
        <f>SUM('1:2'!O131)</f>
        <v>0</v>
      </c>
      <c r="P131" s="93">
        <f>SUM('1:2'!P131)</f>
        <v>0</v>
      </c>
      <c r="Q131" s="93">
        <f>SUM('1:2'!Q131)</f>
        <v>0</v>
      </c>
      <c r="R131" s="93">
        <f>SUM('1:2'!R131)</f>
        <v>0</v>
      </c>
      <c r="S131" s="93">
        <f>SUM('1:2'!S131)</f>
        <v>0</v>
      </c>
      <c r="T131" s="93">
        <f>SUM('1:2'!T131)</f>
        <v>0</v>
      </c>
      <c r="U131" s="93">
        <f>SUM('1:2'!U131)</f>
        <v>0</v>
      </c>
      <c r="V131" s="206">
        <f t="shared" si="45"/>
        <v>0</v>
      </c>
      <c r="W131" s="33" t="str">
        <f t="shared" si="43"/>
        <v/>
      </c>
      <c r="X131" s="93">
        <f>SUM('1:2'!X131)</f>
        <v>0</v>
      </c>
      <c r="Y131" s="93">
        <f>SUM('1:2'!Y131)</f>
        <v>0</v>
      </c>
      <c r="Z131" s="93">
        <f>SUM('1:2'!Z131)</f>
        <v>0</v>
      </c>
      <c r="AA131" s="93">
        <f>SUM('1:2'!AA131)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SUM('1:2'!G132)</f>
        <v>0</v>
      </c>
      <c r="H132" s="93">
        <f>SUM('1:2'!H132)</f>
        <v>0</v>
      </c>
      <c r="I132" s="93">
        <f>SUM('1:2'!I132)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SUM('1:2'!N132)</f>
        <v>0</v>
      </c>
      <c r="O132" s="93">
        <f>SUM('1:2'!O132)</f>
        <v>0</v>
      </c>
      <c r="P132" s="93">
        <f>SUM('1:2'!P132)</f>
        <v>0</v>
      </c>
      <c r="Q132" s="93">
        <f>SUM('1:2'!Q132)</f>
        <v>0</v>
      </c>
      <c r="R132" s="93">
        <f>SUM('1:2'!R132)</f>
        <v>0</v>
      </c>
      <c r="S132" s="93">
        <f>SUM('1:2'!S132)</f>
        <v>0</v>
      </c>
      <c r="T132" s="93">
        <f>SUM('1:2'!T132)</f>
        <v>0</v>
      </c>
      <c r="U132" s="93">
        <f>SUM('1:2'!U132)</f>
        <v>0</v>
      </c>
      <c r="V132" s="206">
        <f t="shared" si="45"/>
        <v>0</v>
      </c>
      <c r="W132" s="33" t="str">
        <f t="shared" si="43"/>
        <v/>
      </c>
      <c r="X132" s="93">
        <f>SUM('1:2'!X132)</f>
        <v>0</v>
      </c>
      <c r="Y132" s="93">
        <f>SUM('1:2'!Y132)</f>
        <v>0</v>
      </c>
      <c r="Z132" s="93">
        <f>SUM('1:2'!Z132)</f>
        <v>0</v>
      </c>
      <c r="AA132" s="93">
        <f>SUM('1:2'!AA132)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SUM('1:2'!G133)</f>
        <v>0</v>
      </c>
      <c r="H133" s="93">
        <f>SUM('1:2'!H133)</f>
        <v>0</v>
      </c>
      <c r="I133" s="93">
        <f>SUM('1:2'!I133)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SUM('1:2'!N133)</f>
        <v>0</v>
      </c>
      <c r="O133" s="93">
        <f>SUM('1:2'!O133)</f>
        <v>0</v>
      </c>
      <c r="P133" s="93">
        <f>SUM('1:2'!P133)</f>
        <v>0</v>
      </c>
      <c r="Q133" s="93">
        <f>SUM('1:2'!Q133)</f>
        <v>0</v>
      </c>
      <c r="R133" s="93">
        <f>SUM('1:2'!R133)</f>
        <v>0</v>
      </c>
      <c r="S133" s="93">
        <f>SUM('1:2'!S133)</f>
        <v>0</v>
      </c>
      <c r="T133" s="93">
        <f>SUM('1:2'!T133)</f>
        <v>0</v>
      </c>
      <c r="U133" s="93">
        <f>SUM('1:2'!U133)</f>
        <v>0</v>
      </c>
      <c r="V133" s="206">
        <f t="shared" si="45"/>
        <v>0</v>
      </c>
      <c r="W133" s="33" t="str">
        <f t="shared" si="43"/>
        <v/>
      </c>
      <c r="X133" s="93">
        <f>SUM('1:2'!X133)</f>
        <v>0</v>
      </c>
      <c r="Y133" s="93">
        <f>SUM('1:2'!Y133)</f>
        <v>0</v>
      </c>
      <c r="Z133" s="93">
        <f>SUM('1:2'!Z133)</f>
        <v>0</v>
      </c>
      <c r="AA133" s="93">
        <f>SUM('1:2'!AA133)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SUM('1:2'!G134)</f>
        <v>0</v>
      </c>
      <c r="H134" s="93">
        <f>SUM('1:2'!H134)</f>
        <v>0</v>
      </c>
      <c r="I134" s="93">
        <f>SUM('1:2'!I134)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SUM('1:2'!N134)</f>
        <v>0</v>
      </c>
      <c r="O134" s="93">
        <f>SUM('1:2'!O134)</f>
        <v>0</v>
      </c>
      <c r="P134" s="93">
        <f>SUM('1:2'!P134)</f>
        <v>0</v>
      </c>
      <c r="Q134" s="93">
        <f>SUM('1:2'!Q134)</f>
        <v>0</v>
      </c>
      <c r="R134" s="93">
        <f>SUM('1:2'!R134)</f>
        <v>0</v>
      </c>
      <c r="S134" s="93">
        <f>SUM('1:2'!S134)</f>
        <v>0</v>
      </c>
      <c r="T134" s="93">
        <f>SUM('1:2'!T134)</f>
        <v>0</v>
      </c>
      <c r="U134" s="93">
        <f>SUM('1:2'!U134)</f>
        <v>0</v>
      </c>
      <c r="V134" s="206">
        <f t="shared" si="45"/>
        <v>0</v>
      </c>
      <c r="W134" s="33" t="str">
        <f t="shared" si="43"/>
        <v/>
      </c>
      <c r="X134" s="93">
        <f>SUM('1:2'!X134)</f>
        <v>0</v>
      </c>
      <c r="Y134" s="93">
        <f>SUM('1:2'!Y134)</f>
        <v>0</v>
      </c>
      <c r="Z134" s="93">
        <f>SUM('1:2'!Z134)</f>
        <v>0</v>
      </c>
      <c r="AA134" s="93">
        <f>SUM('1:2'!AA134)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SUM('1:2'!G135)</f>
        <v>881</v>
      </c>
      <c r="H135" s="93">
        <f>SUM('1:2'!H135)</f>
        <v>4457.8599999999997</v>
      </c>
      <c r="I135" s="93">
        <f>SUM('1:2'!I135)</f>
        <v>33</v>
      </c>
      <c r="J135" s="31">
        <f t="array" ref="J135">IF(ISERROR(G135/I135),"",G135/I135)</f>
        <v>26.696969696969695</v>
      </c>
      <c r="K135" s="35">
        <f t="array" ref="K135">IF(ISERROR(G135/L135),"",G135/L135)</f>
        <v>35.24</v>
      </c>
      <c r="L135" s="87">
        <v>25</v>
      </c>
      <c r="M135" s="36">
        <f t="shared" si="44"/>
        <v>-2.240000000000002</v>
      </c>
      <c r="N135" s="93">
        <f>SUM('1:2'!N135)</f>
        <v>0</v>
      </c>
      <c r="O135" s="93">
        <f>SUM('1:2'!O135)</f>
        <v>0</v>
      </c>
      <c r="P135" s="93">
        <f>SUM('1:2'!P135)</f>
        <v>0</v>
      </c>
      <c r="Q135" s="93">
        <f>SUM('1:2'!Q135)</f>
        <v>0</v>
      </c>
      <c r="R135" s="93">
        <f>SUM('1:2'!R135)</f>
        <v>0</v>
      </c>
      <c r="S135" s="93">
        <f>SUM('1:2'!S135)</f>
        <v>0</v>
      </c>
      <c r="T135" s="93">
        <f>SUM('1:2'!T135)</f>
        <v>0</v>
      </c>
      <c r="U135" s="93">
        <f>SUM('1:2'!U135)</f>
        <v>0</v>
      </c>
      <c r="V135" s="206">
        <f t="shared" si="45"/>
        <v>0</v>
      </c>
      <c r="W135" s="33">
        <f t="shared" si="43"/>
        <v>0</v>
      </c>
      <c r="X135" s="93">
        <f>SUM('1:2'!X135)</f>
        <v>0</v>
      </c>
      <c r="Y135" s="93">
        <f>SUM('1:2'!Y135)</f>
        <v>0</v>
      </c>
      <c r="Z135" s="93">
        <f>SUM('1:2'!Z135)</f>
        <v>0</v>
      </c>
      <c r="AA135" s="93">
        <f>SUM('1:2'!AA135)</f>
        <v>0</v>
      </c>
      <c r="AB135" s="358">
        <v>0.43</v>
      </c>
      <c r="AC135" s="269">
        <f t="shared" si="29"/>
        <v>378.83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SUM('1:2'!G136)</f>
        <v>757</v>
      </c>
      <c r="H136" s="93">
        <f>SUM('1:2'!H136)</f>
        <v>3830.4199999999996</v>
      </c>
      <c r="I136" s="93">
        <f>SUM('1:2'!I136)</f>
        <v>33</v>
      </c>
      <c r="J136" s="31">
        <f t="array" ref="J136">IF(ISERROR(G136/I136),"",G136/I136)</f>
        <v>22.939393939393938</v>
      </c>
      <c r="K136" s="35">
        <f t="array" ref="K136">IF(ISERROR(G136/L136),"",G136/L136)</f>
        <v>32.913043478260867</v>
      </c>
      <c r="L136" s="87">
        <v>23</v>
      </c>
      <c r="M136" s="36">
        <f t="shared" si="44"/>
        <v>8.6956521739132597E-2</v>
      </c>
      <c r="N136" s="93">
        <f>SUM('1:2'!N136)</f>
        <v>0</v>
      </c>
      <c r="O136" s="93">
        <f>SUM('1:2'!O136)</f>
        <v>0</v>
      </c>
      <c r="P136" s="93">
        <f>SUM('1:2'!P136)</f>
        <v>0</v>
      </c>
      <c r="Q136" s="93">
        <f>SUM('1:2'!Q136)</f>
        <v>0</v>
      </c>
      <c r="R136" s="93">
        <f>SUM('1:2'!R136)</f>
        <v>0</v>
      </c>
      <c r="S136" s="93">
        <f>SUM('1:2'!S136)</f>
        <v>0</v>
      </c>
      <c r="T136" s="93">
        <f>SUM('1:2'!T136)</f>
        <v>0</v>
      </c>
      <c r="U136" s="93">
        <f>SUM('1:2'!U136)</f>
        <v>0</v>
      </c>
      <c r="V136" s="206">
        <f t="shared" si="45"/>
        <v>0</v>
      </c>
      <c r="W136" s="33">
        <f t="shared" si="43"/>
        <v>0</v>
      </c>
      <c r="X136" s="93">
        <f>SUM('1:2'!X136)</f>
        <v>0</v>
      </c>
      <c r="Y136" s="93">
        <f>SUM('1:2'!Y136)</f>
        <v>0</v>
      </c>
      <c r="Z136" s="93">
        <f>SUM('1:2'!Z136)</f>
        <v>0</v>
      </c>
      <c r="AA136" s="93">
        <f>SUM('1:2'!AA136)</f>
        <v>0</v>
      </c>
      <c r="AB136" s="358">
        <v>0.43</v>
      </c>
      <c r="AC136" s="269">
        <f t="shared" ref="AC136:AC162" si="46">AB136*G136</f>
        <v>325.51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731" t="s">
        <v>99</v>
      </c>
      <c r="B137" s="732"/>
      <c r="C137" s="243" t="s">
        <v>71</v>
      </c>
      <c r="D137" s="20"/>
      <c r="E137" s="20"/>
      <c r="F137" s="32"/>
      <c r="G137" s="99">
        <f>SUM(G122:G136)</f>
        <v>1638</v>
      </c>
      <c r="H137" s="30">
        <f>SUM(H122:H136)</f>
        <v>8288.2799999999988</v>
      </c>
      <c r="I137" s="30">
        <f>SUM(I122:I136)</f>
        <v>66</v>
      </c>
      <c r="J137" s="31">
        <f t="array" ref="J137">IF(ISERROR(G137/I137),"",G137/I137)</f>
        <v>24.818181818181817</v>
      </c>
      <c r="K137" s="30">
        <f>SUM(K122:K136)</f>
        <v>68.153043478260869</v>
      </c>
      <c r="L137" s="98"/>
      <c r="M137" s="89">
        <f>SUM(M122:M136)</f>
        <v>-2.1530434782608694</v>
      </c>
      <c r="N137" s="30">
        <f>SUM(N122:N136)</f>
        <v>0</v>
      </c>
      <c r="O137" s="93">
        <f>SUM('1:2'!O137)</f>
        <v>0</v>
      </c>
      <c r="P137" s="93">
        <f>SUM('1:2'!P137)</f>
        <v>0</v>
      </c>
      <c r="Q137" s="93">
        <f>SUM('1:2'!Q137)</f>
        <v>0</v>
      </c>
      <c r="R137" s="93">
        <f>SUM('1:2'!R137)</f>
        <v>0</v>
      </c>
      <c r="S137" s="93">
        <f>SUM('1:2'!S137)</f>
        <v>0</v>
      </c>
      <c r="T137" s="93">
        <f>SUM('1:2'!T137)</f>
        <v>0</v>
      </c>
      <c r="U137" s="93">
        <f>SUM('1:2'!U137)</f>
        <v>0</v>
      </c>
      <c r="V137" s="208">
        <f t="shared" ref="V137" si="47">SUM(V122:V136)</f>
        <v>0</v>
      </c>
      <c r="W137" s="33">
        <f t="shared" si="43"/>
        <v>0</v>
      </c>
      <c r="X137" s="93">
        <f>SUM('1:2'!X137)</f>
        <v>0</v>
      </c>
      <c r="Y137" s="93">
        <f>SUM('1:2'!Y137)</f>
        <v>0</v>
      </c>
      <c r="Z137" s="93">
        <f>SUM('1:2'!Z137)</f>
        <v>0</v>
      </c>
      <c r="AA137" s="93">
        <f>SUM('1:2'!AA137)</f>
        <v>0</v>
      </c>
      <c r="AB137" s="358"/>
      <c r="AC137" s="270">
        <f>SUM(AC122:AC136)</f>
        <v>704.33999999999992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SUM('1:2'!G138)</f>
        <v>0</v>
      </c>
      <c r="H138" s="93">
        <f>SUM('1:2'!H138)</f>
        <v>0</v>
      </c>
      <c r="I138" s="93">
        <f>SUM('1:2'!I138)</f>
        <v>0</v>
      </c>
      <c r="J138" s="31" t="str">
        <f t="array" ref="J138">IF(ISERROR(G138/I138),"",G138/I138)</f>
        <v/>
      </c>
      <c r="K138" s="35">
        <f t="array" ref="K138">IF(ISERROR(G138/L138),"",G138/L138)</f>
        <v>0</v>
      </c>
      <c r="L138" s="87">
        <v>22</v>
      </c>
      <c r="M138" s="36">
        <f t="shared" ref="M138:M147" si="48">IF(ISERROR(I138-K138),"",I138-K138)</f>
        <v>0</v>
      </c>
      <c r="N138" s="93">
        <f>SUM('1:2'!N138)</f>
        <v>0</v>
      </c>
      <c r="O138" s="93">
        <f>SUM('1:2'!O138)</f>
        <v>0</v>
      </c>
      <c r="P138" s="93">
        <f>SUM('1:2'!P138)</f>
        <v>0</v>
      </c>
      <c r="Q138" s="93">
        <f>SUM('1:2'!Q138)</f>
        <v>0</v>
      </c>
      <c r="R138" s="93">
        <f>SUM('1:2'!R138)</f>
        <v>0</v>
      </c>
      <c r="S138" s="93">
        <f>SUM('1:2'!S138)</f>
        <v>0</v>
      </c>
      <c r="T138" s="93">
        <f>SUM('1:2'!T138)</f>
        <v>0</v>
      </c>
      <c r="U138" s="93">
        <f>SUM('1:2'!U138)</f>
        <v>0</v>
      </c>
      <c r="V138" s="206">
        <f t="shared" ref="V138:V147" si="49">SUM(X138:AA138)</f>
        <v>0</v>
      </c>
      <c r="W138" s="33" t="str">
        <f t="shared" si="43"/>
        <v/>
      </c>
      <c r="X138" s="93">
        <f>SUM('1:2'!X138)</f>
        <v>0</v>
      </c>
      <c r="Y138" s="93">
        <f>SUM('1:2'!Y138)</f>
        <v>0</v>
      </c>
      <c r="Z138" s="93">
        <f>SUM('1:2'!Z138)</f>
        <v>0</v>
      </c>
      <c r="AA138" s="93">
        <f>SUM('1:2'!AA138)</f>
        <v>0</v>
      </c>
      <c r="AB138" s="358">
        <v>0.48</v>
      </c>
      <c r="AC138" s="269">
        <f t="shared" si="46"/>
        <v>0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SUM('1:2'!G139)</f>
        <v>0</v>
      </c>
      <c r="H139" s="93">
        <f>SUM('1:2'!H139)</f>
        <v>0</v>
      </c>
      <c r="I139" s="93">
        <f>SUM('1:2'!I139)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SUM('1:2'!N139)</f>
        <v>0</v>
      </c>
      <c r="O139" s="93">
        <f>SUM('1:2'!O139)</f>
        <v>0</v>
      </c>
      <c r="P139" s="93">
        <f>SUM('1:2'!P139)</f>
        <v>0</v>
      </c>
      <c r="Q139" s="93">
        <f>SUM('1:2'!Q139)</f>
        <v>0</v>
      </c>
      <c r="R139" s="93">
        <f>SUM('1:2'!R139)</f>
        <v>0</v>
      </c>
      <c r="S139" s="93">
        <f>SUM('1:2'!S139)</f>
        <v>0</v>
      </c>
      <c r="T139" s="93">
        <f>SUM('1:2'!T139)</f>
        <v>0</v>
      </c>
      <c r="U139" s="93">
        <f>SUM('1:2'!U139)</f>
        <v>0</v>
      </c>
      <c r="V139" s="206">
        <f t="shared" si="49"/>
        <v>0</v>
      </c>
      <c r="W139" s="33" t="str">
        <f t="shared" si="43"/>
        <v/>
      </c>
      <c r="X139" s="93">
        <f>SUM('1:2'!X139)</f>
        <v>0</v>
      </c>
      <c r="Y139" s="93">
        <f>SUM('1:2'!Y139)</f>
        <v>0</v>
      </c>
      <c r="Z139" s="93">
        <f>SUM('1:2'!Z139)</f>
        <v>0</v>
      </c>
      <c r="AA139" s="93">
        <f>SUM('1:2'!AA139)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SUM('1:2'!G140)</f>
        <v>0</v>
      </c>
      <c r="H140" s="93">
        <f>SUM('1:2'!H140)</f>
        <v>0</v>
      </c>
      <c r="I140" s="93">
        <f>SUM('1:2'!I140)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SUM('1:2'!N140)</f>
        <v>0</v>
      </c>
      <c r="O140" s="93">
        <f>SUM('1:2'!O140)</f>
        <v>0</v>
      </c>
      <c r="P140" s="93">
        <f>SUM('1:2'!P140)</f>
        <v>0</v>
      </c>
      <c r="Q140" s="93">
        <f>SUM('1:2'!Q140)</f>
        <v>0</v>
      </c>
      <c r="R140" s="93">
        <f>SUM('1:2'!R140)</f>
        <v>0</v>
      </c>
      <c r="S140" s="93">
        <f>SUM('1:2'!S140)</f>
        <v>0</v>
      </c>
      <c r="T140" s="93">
        <f>SUM('1:2'!T140)</f>
        <v>0</v>
      </c>
      <c r="U140" s="93">
        <f>SUM('1:2'!U140)</f>
        <v>0</v>
      </c>
      <c r="V140" s="206">
        <f t="shared" si="49"/>
        <v>0</v>
      </c>
      <c r="W140" s="33" t="str">
        <f t="shared" si="43"/>
        <v/>
      </c>
      <c r="X140" s="93">
        <f>SUM('1:2'!X140)</f>
        <v>0</v>
      </c>
      <c r="Y140" s="93">
        <f>SUM('1:2'!Y140)</f>
        <v>0</v>
      </c>
      <c r="Z140" s="93">
        <f>SUM('1:2'!Z140)</f>
        <v>0</v>
      </c>
      <c r="AA140" s="93">
        <f>SUM('1:2'!AA140)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SUM('1:2'!G141)</f>
        <v>0</v>
      </c>
      <c r="H141" s="93">
        <f>SUM('1:2'!H141)</f>
        <v>0</v>
      </c>
      <c r="I141" s="93">
        <f>SUM('1:2'!I141)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SUM('1:2'!N141)</f>
        <v>0</v>
      </c>
      <c r="O141" s="93">
        <f>SUM('1:2'!O141)</f>
        <v>0</v>
      </c>
      <c r="P141" s="93">
        <f>SUM('1:2'!P141)</f>
        <v>0</v>
      </c>
      <c r="Q141" s="93">
        <f>SUM('1:2'!Q141)</f>
        <v>0</v>
      </c>
      <c r="R141" s="93">
        <f>SUM('1:2'!R141)</f>
        <v>0</v>
      </c>
      <c r="S141" s="93">
        <f>SUM('1:2'!S141)</f>
        <v>0</v>
      </c>
      <c r="T141" s="93">
        <f>SUM('1:2'!T141)</f>
        <v>0</v>
      </c>
      <c r="U141" s="93">
        <f>SUM('1:2'!U141)</f>
        <v>0</v>
      </c>
      <c r="V141" s="206">
        <f t="shared" si="49"/>
        <v>0</v>
      </c>
      <c r="W141" s="33" t="str">
        <f t="shared" si="43"/>
        <v/>
      </c>
      <c r="X141" s="93">
        <f>SUM('1:2'!X141)</f>
        <v>0</v>
      </c>
      <c r="Y141" s="93">
        <f>SUM('1:2'!Y141)</f>
        <v>0</v>
      </c>
      <c r="Z141" s="93">
        <f>SUM('1:2'!Z141)</f>
        <v>0</v>
      </c>
      <c r="AA141" s="93">
        <f>SUM('1:2'!AA141)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SUM('1:2'!G142)</f>
        <v>0</v>
      </c>
      <c r="H142" s="93">
        <f>SUM('1:2'!H142)</f>
        <v>0</v>
      </c>
      <c r="I142" s="93">
        <f>SUM('1:2'!I142)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SUM('1:2'!N142)</f>
        <v>0</v>
      </c>
      <c r="O142" s="93">
        <f>SUM('1:2'!O142)</f>
        <v>0</v>
      </c>
      <c r="P142" s="93">
        <f>SUM('1:2'!P142)</f>
        <v>0</v>
      </c>
      <c r="Q142" s="93">
        <f>SUM('1:2'!Q142)</f>
        <v>0</v>
      </c>
      <c r="R142" s="93">
        <f>SUM('1:2'!R142)</f>
        <v>0</v>
      </c>
      <c r="S142" s="93">
        <f>SUM('1:2'!S142)</f>
        <v>0</v>
      </c>
      <c r="T142" s="93">
        <f>SUM('1:2'!T142)</f>
        <v>0</v>
      </c>
      <c r="U142" s="93">
        <f>SUM('1:2'!U142)</f>
        <v>0</v>
      </c>
      <c r="V142" s="206">
        <f t="shared" si="49"/>
        <v>0</v>
      </c>
      <c r="W142" s="33" t="str">
        <f t="shared" si="43"/>
        <v/>
      </c>
      <c r="X142" s="93">
        <f>SUM('1:2'!X142)</f>
        <v>0</v>
      </c>
      <c r="Y142" s="93">
        <f>SUM('1:2'!Y142)</f>
        <v>0</v>
      </c>
      <c r="Z142" s="93">
        <f>SUM('1:2'!Z142)</f>
        <v>0</v>
      </c>
      <c r="AA142" s="93">
        <f>SUM('1:2'!AA142)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SUM('1:2'!G143)</f>
        <v>0</v>
      </c>
      <c r="H143" s="93">
        <f>SUM('1:2'!H143)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516</v>
      </c>
      <c r="D144" s="17">
        <v>5.04</v>
      </c>
      <c r="E144" s="17"/>
      <c r="F144" s="6"/>
      <c r="G144" s="93">
        <f>SUM('1:2'!G144)</f>
        <v>0</v>
      </c>
      <c r="H144" s="93">
        <f>SUM('1:2'!H144)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386">
        <v>0.56000000000000005</v>
      </c>
      <c r="AC144" s="269">
        <f t="shared" si="46"/>
        <v>0</v>
      </c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30400021</v>
      </c>
      <c r="B145" s="192" t="s">
        <v>439</v>
      </c>
      <c r="C145" s="187" t="s">
        <v>517</v>
      </c>
      <c r="D145" s="17">
        <v>5.04</v>
      </c>
      <c r="E145" s="17"/>
      <c r="F145" s="6"/>
      <c r="G145" s="93">
        <f>SUM('1:2'!G145)</f>
        <v>0</v>
      </c>
      <c r="H145" s="93">
        <f>SUM('1:2'!H145)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386">
        <v>0.56000000000000005</v>
      </c>
      <c r="AC145" s="269">
        <f t="shared" si="46"/>
        <v>0</v>
      </c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30400018</v>
      </c>
      <c r="B146" s="192" t="s">
        <v>439</v>
      </c>
      <c r="C146" s="16" t="s">
        <v>55</v>
      </c>
      <c r="D146" s="17">
        <v>5.04</v>
      </c>
      <c r="E146" s="17"/>
      <c r="F146" s="6"/>
      <c r="G146" s="93"/>
      <c r="H146" s="93">
        <f>SUM('1:2'!H146)</f>
        <v>0</v>
      </c>
      <c r="I146" s="93"/>
      <c r="J146" s="31"/>
      <c r="K146" s="35">
        <f t="array" ref="K146">IF(ISERROR(G146/L146),"",G146/L146)</f>
        <v>0</v>
      </c>
      <c r="L146" s="87">
        <v>13.5</v>
      </c>
      <c r="M146" s="36"/>
      <c r="N146" s="93"/>
      <c r="O146" s="93"/>
      <c r="P146" s="93"/>
      <c r="Q146" s="93"/>
      <c r="R146" s="93"/>
      <c r="S146" s="93"/>
      <c r="T146" s="93"/>
      <c r="U146" s="93"/>
      <c r="V146" s="206"/>
      <c r="W146" s="33"/>
      <c r="X146" s="93"/>
      <c r="Y146" s="93"/>
      <c r="Z146" s="93"/>
      <c r="AA146" s="93"/>
      <c r="AB146" s="449"/>
      <c r="AC146" s="269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7.25">
      <c r="A147" s="316">
        <v>30400022</v>
      </c>
      <c r="B147" s="62" t="s">
        <v>100</v>
      </c>
      <c r="C147" s="16" t="s">
        <v>55</v>
      </c>
      <c r="D147" s="17">
        <v>5.04</v>
      </c>
      <c r="E147" s="17"/>
      <c r="F147" s="6"/>
      <c r="G147" s="93">
        <f>SUM('1:2'!G147)</f>
        <v>0</v>
      </c>
      <c r="H147" s="93">
        <f>SUM('1:2'!H147)</f>
        <v>0</v>
      </c>
      <c r="I147" s="93">
        <f>SUM('1:2'!I147)</f>
        <v>0</v>
      </c>
      <c r="J147" s="31" t="str">
        <f t="array" ref="J147">IF(ISERROR(G147/I147),"",G147/I147)</f>
        <v/>
      </c>
      <c r="K147" s="35">
        <f t="array" ref="K147">IF(ISERROR(G147/L147),"",G147/L147)</f>
        <v>0</v>
      </c>
      <c r="L147" s="87">
        <v>22</v>
      </c>
      <c r="M147" s="36">
        <f t="shared" si="48"/>
        <v>0</v>
      </c>
      <c r="N147" s="93">
        <f>SUM('1:2'!N147)</f>
        <v>0</v>
      </c>
      <c r="O147" s="93">
        <f>SUM('1:2'!O147)</f>
        <v>0</v>
      </c>
      <c r="P147" s="93">
        <f>SUM('1:2'!P147)</f>
        <v>0</v>
      </c>
      <c r="Q147" s="93">
        <f>SUM('1:2'!Q147)</f>
        <v>0</v>
      </c>
      <c r="R147" s="93">
        <f>SUM('1:2'!R147)</f>
        <v>0</v>
      </c>
      <c r="S147" s="93">
        <f>SUM('1:2'!S147)</f>
        <v>0</v>
      </c>
      <c r="T147" s="93">
        <f>SUM('1:2'!T147)</f>
        <v>0</v>
      </c>
      <c r="U147" s="93">
        <f>SUM('1:2'!U147)</f>
        <v>0</v>
      </c>
      <c r="V147" s="206">
        <f t="shared" si="49"/>
        <v>0</v>
      </c>
      <c r="W147" s="33" t="str">
        <f t="shared" si="43"/>
        <v/>
      </c>
      <c r="X147" s="93">
        <f>SUM('1:2'!X147)</f>
        <v>0</v>
      </c>
      <c r="Y147" s="93">
        <f>SUM('1:2'!Y147)</f>
        <v>0</v>
      </c>
      <c r="Z147" s="93">
        <f>SUM('1:2'!Z147)</f>
        <v>0</v>
      </c>
      <c r="AA147" s="93">
        <f>SUM('1:2'!AA147)</f>
        <v>0</v>
      </c>
      <c r="AB147" s="358">
        <v>0.48</v>
      </c>
      <c r="AC147" s="269">
        <f t="shared" si="46"/>
        <v>0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731" t="s">
        <v>102</v>
      </c>
      <c r="B148" s="732"/>
      <c r="C148" s="243" t="s">
        <v>71</v>
      </c>
      <c r="D148" s="20"/>
      <c r="E148" s="20"/>
      <c r="F148" s="32"/>
      <c r="G148" s="99">
        <f>SUM(G138:G147)</f>
        <v>0</v>
      </c>
      <c r="H148" s="99">
        <f>SUM(H138:H147)</f>
        <v>0</v>
      </c>
      <c r="I148" s="99">
        <f>SUM(I138:I147)</f>
        <v>0</v>
      </c>
      <c r="J148" s="31" t="str">
        <f t="array" ref="J148">IF(ISERROR(G148/I148),"",G148/I148)</f>
        <v/>
      </c>
      <c r="K148" s="30">
        <f>SUM(K138:K147)</f>
        <v>0</v>
      </c>
      <c r="L148" s="98"/>
      <c r="M148" s="89">
        <f>SUM(M138:M147)</f>
        <v>0</v>
      </c>
      <c r="N148" s="30">
        <f>SUM(N138:N147)</f>
        <v>0</v>
      </c>
      <c r="O148" s="91">
        <f>SUM(O138:O147)</f>
        <v>0</v>
      </c>
      <c r="P148" s="91">
        <f>SUM(P138:P147)</f>
        <v>0</v>
      </c>
      <c r="Q148" s="91">
        <f>SUM(Q138:Q147)</f>
        <v>0</v>
      </c>
      <c r="R148" s="91"/>
      <c r="S148" s="92">
        <f>SUM(S138:S147)</f>
        <v>0</v>
      </c>
      <c r="T148" s="91">
        <f>SUM(T138:T147)</f>
        <v>0</v>
      </c>
      <c r="U148" s="91">
        <f>SUM(U138:U147)</f>
        <v>0</v>
      </c>
      <c r="V148" s="206">
        <f>SUM(V138:V147)</f>
        <v>0</v>
      </c>
      <c r="W148" s="33" t="str">
        <f t="shared" si="43"/>
        <v/>
      </c>
      <c r="X148" s="92">
        <f>SUM(X138:X147)</f>
        <v>0</v>
      </c>
      <c r="Y148" s="92">
        <f>SUM(Y138:Y147)</f>
        <v>0</v>
      </c>
      <c r="Z148" s="92">
        <f>SUM(Z138:Z147)</f>
        <v>0</v>
      </c>
      <c r="AA148" s="92">
        <f>SUM(AA138:AA147)</f>
        <v>0</v>
      </c>
      <c r="AB148" s="358"/>
      <c r="AC148" s="270">
        <f>SUM(AC138:AC147)</f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30700013</v>
      </c>
      <c r="B149" s="64" t="s">
        <v>475</v>
      </c>
      <c r="C149" s="242"/>
      <c r="D149" s="17">
        <v>3.65</v>
      </c>
      <c r="E149" s="17"/>
      <c r="F149" s="53"/>
      <c r="G149" s="93">
        <f>SUM('1:2'!G149)</f>
        <v>0</v>
      </c>
      <c r="H149" s="93">
        <f>SUM('1:2'!H149)</f>
        <v>0</v>
      </c>
      <c r="I149" s="93">
        <f>SUM('1:2'!I149)</f>
        <v>0</v>
      </c>
      <c r="J149" s="31" t="str">
        <f t="array" ref="J149">IF(ISERROR(G149/I149),"",G149/I149)</f>
        <v/>
      </c>
      <c r="K149" s="246">
        <f t="array" ref="K149">IF(ISERROR(G149/L149),"",G149/L149)</f>
        <v>0</v>
      </c>
      <c r="L149" s="87">
        <v>5</v>
      </c>
      <c r="M149" s="36">
        <f t="shared" ref="M149:M152" si="50">IF(ISERROR(I149-K149),"",I149-K149)</f>
        <v>0</v>
      </c>
      <c r="N149" s="93">
        <f>SUM('1:2'!N149)</f>
        <v>0</v>
      </c>
      <c r="O149" s="93">
        <f>SUM('1:2'!O149)</f>
        <v>0</v>
      </c>
      <c r="P149" s="93">
        <f>SUM('1:2'!P149)</f>
        <v>0</v>
      </c>
      <c r="Q149" s="93">
        <f>SUM('1:2'!Q149)</f>
        <v>0</v>
      </c>
      <c r="R149" s="93">
        <f>SUM('1:2'!R149)</f>
        <v>0</v>
      </c>
      <c r="S149" s="93">
        <f>SUM('1:2'!S149)</f>
        <v>0</v>
      </c>
      <c r="T149" s="93">
        <f>SUM('1:2'!T149)</f>
        <v>0</v>
      </c>
      <c r="U149" s="93">
        <f>SUM('1:2'!U149)</f>
        <v>0</v>
      </c>
      <c r="V149" s="206">
        <f t="shared" ref="V149:V152" si="51">SUM(X149:AA149)</f>
        <v>0</v>
      </c>
      <c r="W149" s="33" t="str">
        <f t="shared" si="43"/>
        <v/>
      </c>
      <c r="X149" s="93">
        <f>SUM('1:2'!X149)</f>
        <v>0</v>
      </c>
      <c r="Y149" s="93">
        <f>SUM('1:2'!Y149)</f>
        <v>0</v>
      </c>
      <c r="Z149" s="93">
        <f>SUM('1:2'!Z149)</f>
        <v>0</v>
      </c>
      <c r="AA149" s="93">
        <f>SUM('1:2'!AA149)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5.75">
      <c r="A150" s="299">
        <v>30700014</v>
      </c>
      <c r="B150" s="64" t="s">
        <v>0</v>
      </c>
      <c r="C150" s="242"/>
      <c r="D150" s="17">
        <v>6.58</v>
      </c>
      <c r="E150" s="17"/>
      <c r="F150" s="6"/>
      <c r="G150" s="93">
        <f>SUM('1:2'!G150)</f>
        <v>0</v>
      </c>
      <c r="H150" s="93">
        <f>SUM('1:2'!H150)</f>
        <v>0</v>
      </c>
      <c r="I150" s="93">
        <f>SUM('1:2'!I150)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5</v>
      </c>
      <c r="M150" s="36">
        <f t="shared" si="50"/>
        <v>0</v>
      </c>
      <c r="N150" s="93">
        <f>SUM('1:2'!N150)</f>
        <v>0</v>
      </c>
      <c r="O150" s="93">
        <f>SUM('1:2'!O150)</f>
        <v>0</v>
      </c>
      <c r="P150" s="93">
        <f>SUM('1:2'!P150)</f>
        <v>0</v>
      </c>
      <c r="Q150" s="93">
        <f>SUM('1:2'!Q150)</f>
        <v>0</v>
      </c>
      <c r="R150" s="93">
        <f>SUM('1:2'!R150)</f>
        <v>0</v>
      </c>
      <c r="S150" s="93">
        <f>SUM('1:2'!S150)</f>
        <v>0</v>
      </c>
      <c r="T150" s="93">
        <f>SUM('1:2'!T150)</f>
        <v>0</v>
      </c>
      <c r="U150" s="93">
        <f>SUM('1:2'!U150)</f>
        <v>0</v>
      </c>
      <c r="V150" s="206">
        <f t="shared" si="51"/>
        <v>0</v>
      </c>
      <c r="W150" s="33" t="str">
        <f t="shared" si="43"/>
        <v/>
      </c>
      <c r="X150" s="93">
        <f>SUM('1:2'!X150)</f>
        <v>0</v>
      </c>
      <c r="Y150" s="93">
        <f>SUM('1:2'!Y150)</f>
        <v>0</v>
      </c>
      <c r="Z150" s="93">
        <f>SUM('1:2'!Z150)</f>
        <v>0</v>
      </c>
      <c r="AA150" s="93">
        <f>SUM('1:2'!AA150)</f>
        <v>0</v>
      </c>
      <c r="AB150" s="358">
        <v>2.0699999999999998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9.5" customHeight="1">
      <c r="A151" s="299">
        <v>30700016</v>
      </c>
      <c r="B151" s="64" t="s">
        <v>1</v>
      </c>
      <c r="C151" s="242"/>
      <c r="D151" s="17">
        <v>7.8</v>
      </c>
      <c r="E151" s="17"/>
      <c r="F151" s="6"/>
      <c r="G151" s="93">
        <f>SUM('1:2'!G151)</f>
        <v>96</v>
      </c>
      <c r="H151" s="93">
        <f>SUM('1:2'!H151)</f>
        <v>748.8</v>
      </c>
      <c r="I151" s="93">
        <f>SUM('1:2'!I151)</f>
        <v>5</v>
      </c>
      <c r="J151" s="31">
        <f t="array" ref="J151">IF(ISERROR(G151/I151),"",G151/I151)</f>
        <v>19.2</v>
      </c>
      <c r="K151" s="35">
        <f t="array" ref="K151">IF(ISERROR(G151/L151),"",G151/L151)</f>
        <v>20.869565217391305</v>
      </c>
      <c r="L151" s="87">
        <v>4.5999999999999996</v>
      </c>
      <c r="M151" s="36">
        <f t="shared" si="50"/>
        <v>-15.869565217391305</v>
      </c>
      <c r="N151" s="93">
        <f>SUM('1:2'!N151)</f>
        <v>0</v>
      </c>
      <c r="O151" s="93">
        <f>SUM('1:2'!O151)</f>
        <v>0</v>
      </c>
      <c r="P151" s="93">
        <f>SUM('1:2'!P151)</f>
        <v>0</v>
      </c>
      <c r="Q151" s="93">
        <f>SUM('1:2'!Q151)</f>
        <v>0</v>
      </c>
      <c r="R151" s="93">
        <f>SUM('1:2'!R151)</f>
        <v>0</v>
      </c>
      <c r="S151" s="93">
        <f>SUM('1:2'!S151)</f>
        <v>0</v>
      </c>
      <c r="T151" s="93">
        <f>SUM('1:2'!T151)</f>
        <v>0</v>
      </c>
      <c r="U151" s="93">
        <f>SUM('1:2'!U151)</f>
        <v>0</v>
      </c>
      <c r="V151" s="206">
        <f t="shared" si="51"/>
        <v>0</v>
      </c>
      <c r="W151" s="33">
        <f t="shared" si="43"/>
        <v>0</v>
      </c>
      <c r="X151" s="93">
        <f>SUM('1:2'!X151)</f>
        <v>0</v>
      </c>
      <c r="Y151" s="93">
        <f>SUM('1:2'!Y151)</f>
        <v>0</v>
      </c>
      <c r="Z151" s="93">
        <f>SUM('1:2'!Z151)</f>
        <v>0</v>
      </c>
      <c r="AA151" s="93">
        <f>SUM('1:2'!AA151)</f>
        <v>0</v>
      </c>
      <c r="AB151" s="358">
        <v>2.25</v>
      </c>
      <c r="AC151" s="269">
        <f t="shared" si="46"/>
        <v>216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30700017</v>
      </c>
      <c r="B152" s="64" t="s">
        <v>2</v>
      </c>
      <c r="C152" s="242"/>
      <c r="D152" s="17">
        <v>4.4000000000000004</v>
      </c>
      <c r="E152" s="17"/>
      <c r="F152" s="6"/>
      <c r="G152" s="93">
        <f>SUM('1:2'!G152)</f>
        <v>0</v>
      </c>
      <c r="H152" s="93">
        <f>SUM('1:2'!H152)</f>
        <v>0</v>
      </c>
      <c r="I152" s="93">
        <f>SUM('1:2'!I152)</f>
        <v>0</v>
      </c>
      <c r="J152" s="31" t="str">
        <f t="array" ref="J152">IF(ISERROR(G152/I152),"",G152/I152)</f>
        <v/>
      </c>
      <c r="K152" s="35">
        <f t="array" ref="K152">IF(ISERROR(G152/L152),"",G152/L152)</f>
        <v>0</v>
      </c>
      <c r="L152" s="87">
        <v>5.8</v>
      </c>
      <c r="M152" s="36">
        <f t="shared" si="50"/>
        <v>0</v>
      </c>
      <c r="N152" s="93">
        <f>SUM('1:2'!N152)</f>
        <v>0</v>
      </c>
      <c r="O152" s="93">
        <f>SUM('1:2'!O152)</f>
        <v>0</v>
      </c>
      <c r="P152" s="93">
        <f>SUM('1:2'!P152)</f>
        <v>0</v>
      </c>
      <c r="Q152" s="93">
        <f>SUM('1:2'!Q152)</f>
        <v>0</v>
      </c>
      <c r="R152" s="93">
        <f>SUM('1:2'!R152)</f>
        <v>0</v>
      </c>
      <c r="S152" s="93">
        <f>SUM('1:2'!S152)</f>
        <v>0</v>
      </c>
      <c r="T152" s="93">
        <f>SUM('1:2'!T152)</f>
        <v>0</v>
      </c>
      <c r="U152" s="93">
        <f>SUM('1:2'!U152)</f>
        <v>0</v>
      </c>
      <c r="V152" s="206">
        <f t="shared" si="51"/>
        <v>0</v>
      </c>
      <c r="W152" s="33" t="str">
        <f t="shared" si="43"/>
        <v/>
      </c>
      <c r="X152" s="93">
        <f>SUM('1:2'!X152)</f>
        <v>0</v>
      </c>
      <c r="Y152" s="93">
        <f>SUM('1:2'!Y152)</f>
        <v>0</v>
      </c>
      <c r="Z152" s="93">
        <f>SUM('1:2'!Z152)</f>
        <v>0</v>
      </c>
      <c r="AA152" s="93">
        <f>SUM('1:2'!AA152)</f>
        <v>0</v>
      </c>
      <c r="AB152" s="358">
        <v>1.79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5.75">
      <c r="A153" s="299">
        <v>30700001</v>
      </c>
      <c r="B153" s="191" t="s">
        <v>359</v>
      </c>
      <c r="C153" s="188"/>
      <c r="D153" s="17"/>
      <c r="E153" s="17"/>
      <c r="F153" s="6"/>
      <c r="G153" s="93">
        <f>SUM('1:2'!G153)</f>
        <v>0</v>
      </c>
      <c r="H153" s="93">
        <f>SUM('1:2'!H153)</f>
        <v>0</v>
      </c>
      <c r="I153" s="93">
        <f>SUM('1:2'!I153)</f>
        <v>0</v>
      </c>
      <c r="J153" s="31"/>
      <c r="K153" s="35"/>
      <c r="L153" s="87">
        <v>6</v>
      </c>
      <c r="M153" s="36"/>
      <c r="N153" s="93">
        <f>SUM('1:2'!N153)</f>
        <v>0</v>
      </c>
      <c r="O153" s="93">
        <f>SUM('1:2'!O153)</f>
        <v>0</v>
      </c>
      <c r="P153" s="93">
        <f>SUM('1:2'!P153)</f>
        <v>0</v>
      </c>
      <c r="Q153" s="93">
        <f>SUM('1:2'!Q153)</f>
        <v>0</v>
      </c>
      <c r="R153" s="93">
        <f>SUM('1:2'!R153)</f>
        <v>0</v>
      </c>
      <c r="S153" s="93">
        <f>SUM('1:2'!S153)</f>
        <v>0</v>
      </c>
      <c r="T153" s="93">
        <f>SUM('1:2'!T153)</f>
        <v>0</v>
      </c>
      <c r="U153" s="93">
        <f>SUM('1:2'!U153)</f>
        <v>0</v>
      </c>
      <c r="V153" s="206"/>
      <c r="W153" s="33"/>
      <c r="X153" s="93">
        <f>SUM('1:2'!X153)</f>
        <v>0</v>
      </c>
      <c r="Y153" s="93">
        <f>SUM('1:2'!Y153)</f>
        <v>0</v>
      </c>
      <c r="Z153" s="93">
        <f>SUM('1:2'!Z153)</f>
        <v>0</v>
      </c>
      <c r="AA153" s="93">
        <f>SUM('1:2'!AA153)</f>
        <v>0</v>
      </c>
      <c r="AB153" s="358">
        <v>1.92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/>
      <c r="B154" s="281" t="s">
        <v>239</v>
      </c>
      <c r="C154" s="242" t="s">
        <v>53</v>
      </c>
      <c r="D154" s="17">
        <v>6.04</v>
      </c>
      <c r="E154" s="17"/>
      <c r="F154" s="6"/>
      <c r="G154" s="93">
        <f>SUM('1:2'!G154)</f>
        <v>0</v>
      </c>
      <c r="H154" s="93">
        <f>SUM('1:2'!H154)</f>
        <v>0</v>
      </c>
      <c r="I154" s="93">
        <f>SUM('1:2'!I154)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ref="M154:M155" si="52">IF(ISERROR(I154-K154),"",I154-K154)</f>
        <v>0</v>
      </c>
      <c r="N154" s="93">
        <f>SUM('1:2'!N154)</f>
        <v>0</v>
      </c>
      <c r="O154" s="93">
        <f>SUM('1:2'!O154)</f>
        <v>0</v>
      </c>
      <c r="P154" s="93">
        <f>SUM('1:2'!P154)</f>
        <v>0</v>
      </c>
      <c r="Q154" s="93">
        <f>SUM('1:2'!Q154)</f>
        <v>0</v>
      </c>
      <c r="R154" s="93">
        <f>SUM('1:2'!R154)</f>
        <v>0</v>
      </c>
      <c r="S154" s="93">
        <f>SUM('1:2'!S154)</f>
        <v>0</v>
      </c>
      <c r="T154" s="93">
        <f>SUM('1:2'!T154)</f>
        <v>0</v>
      </c>
      <c r="U154" s="93">
        <f>SUM('1:2'!U154)</f>
        <v>0</v>
      </c>
      <c r="V154" s="206">
        <f t="shared" ref="V154:V155" si="53">SUM(X154:AA154)</f>
        <v>0</v>
      </c>
      <c r="W154" s="33" t="str">
        <f t="shared" ref="W154:W155" si="54">IF(ISERROR(V154/G154),"",V154/G154)</f>
        <v/>
      </c>
      <c r="X154" s="93">
        <f>SUM('1:2'!X154)</f>
        <v>0</v>
      </c>
      <c r="Y154" s="93">
        <f>SUM('1:2'!Y154)</f>
        <v>0</v>
      </c>
      <c r="Z154" s="93">
        <f>SUM('1:2'!Z154)</f>
        <v>0</v>
      </c>
      <c r="AA154" s="93">
        <f>SUM('1:2'!AA154)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7.25">
      <c r="A155" s="322">
        <v>30700019</v>
      </c>
      <c r="B155" s="66" t="s">
        <v>104</v>
      </c>
      <c r="C155" s="242" t="s">
        <v>60</v>
      </c>
      <c r="D155" s="17">
        <v>6.04</v>
      </c>
      <c r="E155" s="17"/>
      <c r="F155" s="6"/>
      <c r="G155" s="93">
        <f>SUM('1:2'!G155)</f>
        <v>0</v>
      </c>
      <c r="H155" s="93">
        <f>SUM('1:2'!H155)</f>
        <v>0</v>
      </c>
      <c r="I155" s="93">
        <f>SUM('1:2'!I155)</f>
        <v>0</v>
      </c>
      <c r="J155" s="31" t="str">
        <f t="array" ref="J155">IF(ISERROR(G155/I155),"",G155/I155)</f>
        <v/>
      </c>
      <c r="K155" s="35">
        <f t="array" ref="K155">IF(ISERROR(G155/L155),"",G155/L155)</f>
        <v>0</v>
      </c>
      <c r="L155" s="87">
        <v>6</v>
      </c>
      <c r="M155" s="36">
        <f t="shared" si="52"/>
        <v>0</v>
      </c>
      <c r="N155" s="93">
        <f>SUM('1:2'!N155)</f>
        <v>0</v>
      </c>
      <c r="O155" s="93">
        <f>SUM('1:2'!O155)</f>
        <v>0</v>
      </c>
      <c r="P155" s="93">
        <f>SUM('1:2'!P155)</f>
        <v>0</v>
      </c>
      <c r="Q155" s="93">
        <f>SUM('1:2'!Q155)</f>
        <v>0</v>
      </c>
      <c r="R155" s="93">
        <f>SUM('1:2'!R155)</f>
        <v>0</v>
      </c>
      <c r="S155" s="93">
        <f>SUM('1:2'!S155)</f>
        <v>0</v>
      </c>
      <c r="T155" s="93">
        <f>SUM('1:2'!T155)</f>
        <v>0</v>
      </c>
      <c r="U155" s="93">
        <f>SUM('1:2'!U155)</f>
        <v>0</v>
      </c>
      <c r="V155" s="206">
        <f t="shared" si="53"/>
        <v>0</v>
      </c>
      <c r="W155" s="33" t="str">
        <f t="shared" si="54"/>
        <v/>
      </c>
      <c r="X155" s="93">
        <f>SUM('1:2'!X155)</f>
        <v>0</v>
      </c>
      <c r="Y155" s="93">
        <f>SUM('1:2'!Y155)</f>
        <v>0</v>
      </c>
      <c r="Z155" s="93">
        <f>SUM('1:2'!Z155)</f>
        <v>0</v>
      </c>
      <c r="AA155" s="93">
        <f>SUM('1:2'!AA155)</f>
        <v>0</v>
      </c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30601015</v>
      </c>
      <c r="B156" s="281" t="s">
        <v>444</v>
      </c>
      <c r="C156" s="280" t="s">
        <v>53</v>
      </c>
      <c r="D156" s="17">
        <v>6</v>
      </c>
      <c r="E156" s="17"/>
      <c r="F156" s="6"/>
      <c r="G156" s="93">
        <f>SUM('1:2'!G156)</f>
        <v>0</v>
      </c>
      <c r="H156" s="93">
        <f>SUM('1:2'!H156)</f>
        <v>0</v>
      </c>
      <c r="I156" s="93"/>
      <c r="J156" s="31"/>
      <c r="K156" s="35"/>
      <c r="L156" s="87"/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305">
        <v>30101016</v>
      </c>
      <c r="B157" s="281" t="s">
        <v>443</v>
      </c>
      <c r="C157" s="286" t="s">
        <v>446</v>
      </c>
      <c r="D157" s="17">
        <v>6</v>
      </c>
      <c r="E157" s="17"/>
      <c r="F157" s="6"/>
      <c r="G157" s="93">
        <f>SUM('1:2'!G157)</f>
        <v>0</v>
      </c>
      <c r="H157" s="93">
        <f>SUM('1:2'!H157)</f>
        <v>0</v>
      </c>
      <c r="I157" s="93"/>
      <c r="J157" s="31"/>
      <c r="K157" s="35"/>
      <c r="L157" s="87">
        <v>6</v>
      </c>
      <c r="M157" s="36"/>
      <c r="N157" s="93"/>
      <c r="O157" s="93"/>
      <c r="P157" s="93"/>
      <c r="Q157" s="93"/>
      <c r="R157" s="93"/>
      <c r="S157" s="93"/>
      <c r="T157" s="93"/>
      <c r="U157" s="93"/>
      <c r="V157" s="206"/>
      <c r="W157" s="33"/>
      <c r="X157" s="93"/>
      <c r="Y157" s="93"/>
      <c r="Z157" s="93"/>
      <c r="AA157" s="93"/>
      <c r="AB157" s="358">
        <v>1.73</v>
      </c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30700018</v>
      </c>
      <c r="B158" s="61" t="s">
        <v>159</v>
      </c>
      <c r="C158" s="16"/>
      <c r="D158" s="17">
        <v>7.3</v>
      </c>
      <c r="E158" s="17"/>
      <c r="F158" s="6"/>
      <c r="G158" s="93">
        <f>SUM('1:2'!G158)</f>
        <v>0</v>
      </c>
      <c r="H158" s="93">
        <f>SUM('1:2'!H158)</f>
        <v>0</v>
      </c>
      <c r="I158" s="93">
        <f>SUM('1:2'!I158)</f>
        <v>0</v>
      </c>
      <c r="J158" s="31" t="str">
        <f t="array" ref="J158">IF(ISERROR(G158/I158),"",G158/I158)</f>
        <v/>
      </c>
      <c r="K158" s="35" t="str">
        <f t="array" ref="K158">IF(ISERROR(G158/L158),"",G158/L158)</f>
        <v/>
      </c>
      <c r="L158" s="87"/>
      <c r="M158" s="36" t="str">
        <f t="shared" ref="M158:M159" si="55">IF(ISERROR(I158-K158),"",I158-K158)</f>
        <v/>
      </c>
      <c r="N158" s="93">
        <f>SUM('1:2'!N158)</f>
        <v>0</v>
      </c>
      <c r="O158" s="93">
        <f>SUM('1:2'!O158)</f>
        <v>0</v>
      </c>
      <c r="P158" s="93">
        <f>SUM('1:2'!P158)</f>
        <v>0</v>
      </c>
      <c r="Q158" s="93">
        <f>SUM('1:2'!Q158)</f>
        <v>0</v>
      </c>
      <c r="R158" s="93">
        <f>SUM('1:2'!R158)</f>
        <v>0</v>
      </c>
      <c r="S158" s="93">
        <f>SUM('1:2'!S158)</f>
        <v>0</v>
      </c>
      <c r="T158" s="93">
        <f>SUM('1:2'!T158)</f>
        <v>0</v>
      </c>
      <c r="U158" s="93">
        <f>SUM('1:2'!U158)</f>
        <v>0</v>
      </c>
      <c r="V158" s="206">
        <f t="shared" ref="V158:V159" si="56">SUM(X158:AA158)</f>
        <v>0</v>
      </c>
      <c r="W158" s="33" t="str">
        <f t="shared" ref="W158:W159" si="57">IF(ISERROR(V158/G158),"",V158/G158)</f>
        <v/>
      </c>
      <c r="X158" s="93">
        <f>SUM('1:2'!X158)</f>
        <v>0</v>
      </c>
      <c r="Y158" s="93">
        <f>SUM('1:2'!Y158)</f>
        <v>0</v>
      </c>
      <c r="Z158" s="93">
        <f>SUM('1:2'!Z158)</f>
        <v>0</v>
      </c>
      <c r="AA158" s="93">
        <f>SUM('1:2'!AA158)</f>
        <v>0</v>
      </c>
      <c r="AB158" s="358"/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30700010</v>
      </c>
      <c r="B159" s="61" t="s">
        <v>105</v>
      </c>
      <c r="C159" s="16"/>
      <c r="D159" s="17">
        <f>78*120/1000</f>
        <v>9.36</v>
      </c>
      <c r="E159" s="17"/>
      <c r="F159" s="6"/>
      <c r="G159" s="93">
        <f>SUM('1:2'!G159)</f>
        <v>0</v>
      </c>
      <c r="H159" s="93">
        <f>SUM('1:2'!H159)</f>
        <v>0</v>
      </c>
      <c r="I159" s="93">
        <f>SUM('1:2'!I159)</f>
        <v>0</v>
      </c>
      <c r="J159" s="31" t="str">
        <f t="array" ref="J159">IF(ISERROR(G159/I159),"",G159/I159)</f>
        <v/>
      </c>
      <c r="K159" s="35">
        <f t="array" ref="K159">IF(ISERROR(G159/L159),"",G159/L159)</f>
        <v>0</v>
      </c>
      <c r="L159" s="87">
        <v>5.5</v>
      </c>
      <c r="M159" s="36">
        <f t="shared" si="55"/>
        <v>0</v>
      </c>
      <c r="N159" s="93">
        <f>SUM('1:2'!N159)</f>
        <v>0</v>
      </c>
      <c r="O159" s="93">
        <f>SUM('1:2'!O159)</f>
        <v>0</v>
      </c>
      <c r="P159" s="93">
        <f>SUM('1:2'!P159)</f>
        <v>0</v>
      </c>
      <c r="Q159" s="93">
        <f>SUM('1:2'!Q159)</f>
        <v>0</v>
      </c>
      <c r="R159" s="93">
        <f>SUM('1:2'!R159)</f>
        <v>0</v>
      </c>
      <c r="S159" s="93">
        <f>SUM('1:2'!S159)</f>
        <v>0</v>
      </c>
      <c r="T159" s="93">
        <f>SUM('1:2'!T159)</f>
        <v>0</v>
      </c>
      <c r="U159" s="93">
        <f>SUM('1:2'!U159)</f>
        <v>0</v>
      </c>
      <c r="V159" s="206">
        <f t="shared" si="56"/>
        <v>0</v>
      </c>
      <c r="W159" s="33" t="str">
        <f t="shared" si="57"/>
        <v/>
      </c>
      <c r="X159" s="93">
        <f>SUM('1:2'!X159)</f>
        <v>0</v>
      </c>
      <c r="Y159" s="93">
        <f>SUM('1:2'!Y159)</f>
        <v>0</v>
      </c>
      <c r="Z159" s="93">
        <f>SUM('1:2'!Z159)</f>
        <v>0</v>
      </c>
      <c r="AA159" s="93">
        <f>SUM('1:2'!AA159)</f>
        <v>0</v>
      </c>
      <c r="AB159" s="358">
        <v>1.27</v>
      </c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30700015</v>
      </c>
      <c r="B160" s="244" t="s">
        <v>159</v>
      </c>
      <c r="C160" s="16"/>
      <c r="D160" s="17">
        <v>4.5</v>
      </c>
      <c r="E160" s="17"/>
      <c r="F160" s="6"/>
      <c r="G160" s="93">
        <f>SUM('1:2'!G160)</f>
        <v>0</v>
      </c>
      <c r="H160" s="93">
        <f>SUM('1:2'!H160)</f>
        <v>0</v>
      </c>
      <c r="I160" s="93">
        <f>SUM('1:2'!I160)</f>
        <v>0</v>
      </c>
      <c r="J160" s="31"/>
      <c r="K160" s="35">
        <f t="array" ref="K160">IF(ISERROR(G160/L160),"",G160/L160)</f>
        <v>0</v>
      </c>
      <c r="L160" s="87">
        <v>6.5</v>
      </c>
      <c r="M160" s="36">
        <f>IF(ISERROR(I160-K160),"",I160-K160)</f>
        <v>0</v>
      </c>
      <c r="N160" s="93">
        <f>SUM('1:2'!N160)</f>
        <v>0</v>
      </c>
      <c r="O160" s="93">
        <f>SUM('1:2'!O160)</f>
        <v>0</v>
      </c>
      <c r="P160" s="93">
        <f>SUM('1:2'!P160)</f>
        <v>0</v>
      </c>
      <c r="Q160" s="93">
        <f>SUM('1:2'!Q160)</f>
        <v>0</v>
      </c>
      <c r="R160" s="93">
        <f>SUM('1:2'!R160)</f>
        <v>0</v>
      </c>
      <c r="S160" s="93">
        <f>SUM('1:2'!S160)</f>
        <v>0</v>
      </c>
      <c r="T160" s="93">
        <f>SUM('1:2'!T160)</f>
        <v>0</v>
      </c>
      <c r="U160" s="93">
        <f>SUM('1:2'!U160)</f>
        <v>0</v>
      </c>
      <c r="V160" s="206"/>
      <c r="W160" s="33"/>
      <c r="X160" s="93">
        <f>SUM('1:2'!X160)</f>
        <v>0</v>
      </c>
      <c r="Y160" s="93">
        <f>SUM('1:2'!Y160)</f>
        <v>0</v>
      </c>
      <c r="Z160" s="93">
        <f>SUM('1:2'!Z160)</f>
        <v>0</v>
      </c>
      <c r="AA160" s="93">
        <f>SUM('1:2'!AA160)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5.75">
      <c r="A161" s="299">
        <v>30700012</v>
      </c>
      <c r="B161" s="244" t="s">
        <v>160</v>
      </c>
      <c r="C161" s="16"/>
      <c r="D161" s="17">
        <v>4.5</v>
      </c>
      <c r="E161" s="17"/>
      <c r="F161" s="6"/>
      <c r="G161" s="93">
        <f>SUM('1:2'!G161)</f>
        <v>0</v>
      </c>
      <c r="H161" s="93">
        <f>SUM('1:2'!H161)</f>
        <v>0</v>
      </c>
      <c r="I161" s="93">
        <f>SUM('1:2'!I161)</f>
        <v>0</v>
      </c>
      <c r="J161" s="31"/>
      <c r="K161" s="35">
        <f t="array" ref="K161">IF(ISERROR(G161/L161),"",G161/L161)</f>
        <v>0</v>
      </c>
      <c r="L161" s="87">
        <v>7.5</v>
      </c>
      <c r="M161" s="36">
        <f>IF(ISERROR(I161-K161),"",I161-K161)</f>
        <v>0</v>
      </c>
      <c r="N161" s="93">
        <f>SUM('1:2'!N161)</f>
        <v>0</v>
      </c>
      <c r="O161" s="93">
        <f>SUM('1:2'!O161)</f>
        <v>0</v>
      </c>
      <c r="P161" s="93">
        <f>SUM('1:2'!P161)</f>
        <v>0</v>
      </c>
      <c r="Q161" s="93">
        <f>SUM('1:2'!Q161)</f>
        <v>0</v>
      </c>
      <c r="R161" s="93">
        <f>SUM('1:2'!R161)</f>
        <v>0</v>
      </c>
      <c r="S161" s="93">
        <f>SUM('1:2'!S161)</f>
        <v>0</v>
      </c>
      <c r="T161" s="93">
        <f>SUM('1:2'!T161)</f>
        <v>0</v>
      </c>
      <c r="U161" s="93">
        <f>SUM('1:2'!U161)</f>
        <v>0</v>
      </c>
      <c r="V161" s="206"/>
      <c r="W161" s="33"/>
      <c r="X161" s="93">
        <f>SUM('1:2'!X161)</f>
        <v>0</v>
      </c>
      <c r="Y161" s="93">
        <f>SUM('1:2'!Y161)</f>
        <v>0</v>
      </c>
      <c r="Z161" s="93">
        <f>SUM('1:2'!Z161)</f>
        <v>0</v>
      </c>
      <c r="AA161" s="93">
        <f>SUM('1:2'!AA161)</f>
        <v>0</v>
      </c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7.25">
      <c r="A162" s="323">
        <v>30101063</v>
      </c>
      <c r="B162" s="254" t="s">
        <v>437</v>
      </c>
      <c r="C162" s="16"/>
      <c r="D162" s="17">
        <v>5.03</v>
      </c>
      <c r="E162" s="17"/>
      <c r="F162" s="6"/>
      <c r="G162" s="93">
        <f>SUM('1:2'!G162)</f>
        <v>0</v>
      </c>
      <c r="H162" s="93">
        <f>SUM('1:2'!H162)</f>
        <v>0</v>
      </c>
      <c r="I162" s="93"/>
      <c r="J162" s="31"/>
      <c r="K162" s="35"/>
      <c r="L162" s="87"/>
      <c r="M162" s="36"/>
      <c r="N162" s="93"/>
      <c r="O162" s="93"/>
      <c r="P162" s="93"/>
      <c r="Q162" s="93"/>
      <c r="R162" s="93"/>
      <c r="S162" s="93"/>
      <c r="T162" s="93"/>
      <c r="U162" s="93"/>
      <c r="V162" s="206"/>
      <c r="W162" s="33"/>
      <c r="X162" s="93"/>
      <c r="Y162" s="93"/>
      <c r="Z162" s="93"/>
      <c r="AA162" s="93"/>
      <c r="AB162" s="358"/>
      <c r="AC162" s="269">
        <f t="shared" si="46"/>
        <v>0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731" t="s">
        <v>106</v>
      </c>
      <c r="B163" s="732"/>
      <c r="C163" s="243" t="s">
        <v>71</v>
      </c>
      <c r="D163" s="20"/>
      <c r="E163" s="20"/>
      <c r="F163" s="32"/>
      <c r="G163" s="94">
        <f>SUM(G149:G161)</f>
        <v>96</v>
      </c>
      <c r="H163" s="30">
        <f>SUM(H149:H161)</f>
        <v>748.8</v>
      </c>
      <c r="I163" s="30">
        <f>SUM(I149:I161)</f>
        <v>5</v>
      </c>
      <c r="J163" s="31">
        <f t="array" ref="J163">IF(ISERROR(G163/I163),"",G163/I163)</f>
        <v>19.2</v>
      </c>
      <c r="K163" s="30">
        <f>SUM(K149:K159)</f>
        <v>20.869565217391305</v>
      </c>
      <c r="L163" s="98"/>
      <c r="M163" s="89">
        <f t="shared" ref="M163:V163" si="58">SUM(M149:M159)</f>
        <v>-15.869565217391305</v>
      </c>
      <c r="N163" s="20">
        <f t="shared" si="58"/>
        <v>0</v>
      </c>
      <c r="O163" s="91">
        <f t="shared" si="58"/>
        <v>0</v>
      </c>
      <c r="P163" s="91">
        <f t="shared" si="58"/>
        <v>0</v>
      </c>
      <c r="Q163" s="91">
        <f t="shared" si="58"/>
        <v>0</v>
      </c>
      <c r="R163" s="91">
        <f t="shared" si="58"/>
        <v>0</v>
      </c>
      <c r="S163" s="92">
        <f t="shared" si="58"/>
        <v>0</v>
      </c>
      <c r="T163" s="91">
        <f t="shared" si="58"/>
        <v>0</v>
      </c>
      <c r="U163" s="91">
        <f t="shared" si="58"/>
        <v>0</v>
      </c>
      <c r="V163" s="206">
        <f t="shared" si="58"/>
        <v>0</v>
      </c>
      <c r="W163" s="33">
        <f t="shared" ref="W163" si="59">IF(ISERROR(V163/G163),"",V163/G163)</f>
        <v>0</v>
      </c>
      <c r="X163" s="92">
        <f>SUM(X149:X159)</f>
        <v>0</v>
      </c>
      <c r="Y163" s="92">
        <f>SUM(Y149:Y159)</f>
        <v>0</v>
      </c>
      <c r="Z163" s="92">
        <f>SUM(Z149:Z159)</f>
        <v>0</v>
      </c>
      <c r="AA163" s="92">
        <f>SUM(AA149:AA159)</f>
        <v>0</v>
      </c>
      <c r="AB163" s="358"/>
      <c r="AC163" s="91">
        <f>SUM(AC149:AC161)</f>
        <v>216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>
      <c r="A164" s="733" t="s">
        <v>108</v>
      </c>
      <c r="B164" s="734"/>
      <c r="C164" s="734"/>
      <c r="D164" s="734"/>
      <c r="E164" s="734"/>
      <c r="F164" s="735"/>
      <c r="G164" s="193">
        <f>SUM(G28,G86,G121,G137,G148,G163)</f>
        <v>10993</v>
      </c>
      <c r="H164" s="193">
        <f>SUM(H28,H86,H121,H137,H148,H163)</f>
        <v>55764.04</v>
      </c>
      <c r="I164" s="193">
        <f>SUM(I28,I86,I121,I137,I148,I163)</f>
        <v>501.5</v>
      </c>
      <c r="J164" s="52">
        <f t="array" ref="J164">IF(ISERROR(G164/I164),"",G164/I164)</f>
        <v>21.920239282153538</v>
      </c>
      <c r="K164" s="193">
        <f>SUM(K28,K86,K121,K137,K148,K163)</f>
        <v>464.03097503280884</v>
      </c>
      <c r="L164" s="52">
        <f>IF(ISERROR(G164/K164),"",G164/K164)</f>
        <v>23.690228867206013</v>
      </c>
      <c r="M164" s="193">
        <f t="shared" ref="M164:AA164" si="60">SUM(M28,M86,M121,M137,M148,M163)</f>
        <v>27.54402496719117</v>
      </c>
      <c r="N164" s="193">
        <f t="shared" si="60"/>
        <v>0</v>
      </c>
      <c r="O164" s="193">
        <f t="shared" si="60"/>
        <v>0</v>
      </c>
      <c r="P164" s="193">
        <f t="shared" si="60"/>
        <v>0</v>
      </c>
      <c r="Q164" s="193">
        <f t="shared" si="60"/>
        <v>0</v>
      </c>
      <c r="R164" s="193">
        <f t="shared" si="60"/>
        <v>0</v>
      </c>
      <c r="S164" s="193">
        <f t="shared" si="60"/>
        <v>0</v>
      </c>
      <c r="T164" s="193">
        <f t="shared" si="60"/>
        <v>0</v>
      </c>
      <c r="U164" s="193">
        <f t="shared" si="60"/>
        <v>0</v>
      </c>
      <c r="V164" s="193">
        <f t="shared" si="60"/>
        <v>0</v>
      </c>
      <c r="W164" s="193">
        <f t="shared" si="60"/>
        <v>0</v>
      </c>
      <c r="X164" s="193">
        <f t="shared" si="60"/>
        <v>0</v>
      </c>
      <c r="Y164" s="193">
        <f t="shared" si="60"/>
        <v>0</v>
      </c>
      <c r="Z164" s="193">
        <f t="shared" si="60"/>
        <v>0</v>
      </c>
      <c r="AA164" s="193">
        <f t="shared" si="60"/>
        <v>0</v>
      </c>
      <c r="AB164" s="358"/>
      <c r="AC164" s="271">
        <f>SUM(AC28,AC86,AC121,AC137,AC148,AC163)</f>
        <v>5964.89</v>
      </c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1"/>
      <c r="BK164" s="21"/>
      <c r="BL164" s="21"/>
      <c r="BM164" s="21"/>
      <c r="BN164" s="21"/>
      <c r="BO164" s="21"/>
      <c r="BP164" s="21"/>
      <c r="BQ164" s="21"/>
      <c r="BR164" s="21"/>
      <c r="BS164" s="21"/>
      <c r="BT164" s="21"/>
      <c r="BU164" s="21"/>
      <c r="BV164" s="21"/>
      <c r="BW164" s="21"/>
      <c r="BX164" s="21"/>
      <c r="BY164" s="21"/>
      <c r="BZ164" s="21"/>
      <c r="CA164" s="21"/>
      <c r="CB164" s="21"/>
      <c r="CC164" s="21"/>
      <c r="CD164" s="21"/>
      <c r="CE164" s="21"/>
      <c r="CF164" s="21"/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1"/>
      <c r="CY164" s="21"/>
      <c r="CZ164" s="21"/>
      <c r="DA164" s="21"/>
      <c r="DB164" s="21"/>
    </row>
    <row r="165" spans="1:106" ht="15.75" hidden="1" customHeight="1">
      <c r="A165" s="772" t="s">
        <v>109</v>
      </c>
      <c r="B165" s="245" t="s">
        <v>110</v>
      </c>
      <c r="C165" s="714" t="s">
        <v>111</v>
      </c>
      <c r="D165" s="714"/>
      <c r="E165" s="724" t="s">
        <v>112</v>
      </c>
      <c r="F165" s="724"/>
      <c r="G165" s="694" t="s">
        <v>113</v>
      </c>
      <c r="H165" s="694"/>
      <c r="I165" s="724" t="s">
        <v>114</v>
      </c>
      <c r="J165" s="724"/>
      <c r="K165" s="724" t="s">
        <v>36</v>
      </c>
      <c r="L165" s="724"/>
      <c r="M165" s="724" t="s">
        <v>115</v>
      </c>
      <c r="N165" s="724"/>
      <c r="O165" s="724" t="s">
        <v>116</v>
      </c>
      <c r="P165" s="694" t="s">
        <v>117</v>
      </c>
      <c r="Q165" s="694"/>
      <c r="R165" s="694" t="s">
        <v>36</v>
      </c>
      <c r="S165" s="694"/>
      <c r="T165" s="694" t="s">
        <v>118</v>
      </c>
      <c r="U165" s="694"/>
      <c r="V165" s="694" t="s">
        <v>119</v>
      </c>
      <c r="W165" s="694"/>
      <c r="X165" s="694" t="s">
        <v>36</v>
      </c>
      <c r="Y165" s="694"/>
      <c r="Z165" s="694" t="s">
        <v>118</v>
      </c>
      <c r="AA165" s="694"/>
      <c r="AE165" s="14"/>
      <c r="AF165" s="14"/>
      <c r="AG165" s="3"/>
      <c r="AH165" s="249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3.5" hidden="1" customHeight="1">
      <c r="A166" s="773"/>
      <c r="B166" s="245" t="s">
        <v>120</v>
      </c>
      <c r="C166" s="729">
        <f>SUM('1:2'!C166)</f>
        <v>2</v>
      </c>
      <c r="D166" s="730"/>
      <c r="E166" s="728">
        <f>D166*11</f>
        <v>0</v>
      </c>
      <c r="F166" s="728"/>
      <c r="G166" s="729">
        <f>SUM('1:2'!G166)</f>
        <v>2</v>
      </c>
      <c r="H166" s="730"/>
      <c r="I166" s="724">
        <f>G166*11</f>
        <v>22</v>
      </c>
      <c r="J166" s="724"/>
      <c r="K166" s="724">
        <f>E166-I166</f>
        <v>-22</v>
      </c>
      <c r="L166" s="724"/>
      <c r="M166" s="726" t="str">
        <f>IF(ISERROR(K166/E166),"",K166/E166)</f>
        <v/>
      </c>
      <c r="N166" s="726"/>
      <c r="O166" s="724"/>
      <c r="P166" s="694" t="s">
        <v>70</v>
      </c>
      <c r="Q166" s="694"/>
      <c r="R166" s="717">
        <f>SUM(O28:U28)</f>
        <v>0</v>
      </c>
      <c r="S166" s="717"/>
      <c r="T166" s="725" t="str">
        <f t="array" ref="T166">IF(ISERROR(R166/R173),"",R166/R173)</f>
        <v/>
      </c>
      <c r="U166" s="725"/>
      <c r="V166" s="694" t="s">
        <v>41</v>
      </c>
      <c r="W166" s="694"/>
      <c r="X166" s="717">
        <f>SUM(P27,P85,P120,P136,P147,P161)</f>
        <v>0</v>
      </c>
      <c r="Y166" s="717"/>
      <c r="Z166" s="725" t="str">
        <f t="array" ref="Z166">IF(ISERROR(X166/X173),"",X166/X173)</f>
        <v/>
      </c>
      <c r="AA166" s="725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773"/>
      <c r="B167" s="245" t="s">
        <v>121</v>
      </c>
      <c r="C167" s="729">
        <f>SUM('1:2'!C167)</f>
        <v>2</v>
      </c>
      <c r="D167" s="730"/>
      <c r="E167" s="728">
        <f>D167*11</f>
        <v>0</v>
      </c>
      <c r="F167" s="728"/>
      <c r="G167" s="729">
        <f>SUM('1:2'!G167)</f>
        <v>2</v>
      </c>
      <c r="H167" s="730"/>
      <c r="I167" s="724">
        <f>G167*11</f>
        <v>22</v>
      </c>
      <c r="J167" s="724"/>
      <c r="K167" s="724">
        <f>E167-I167</f>
        <v>-22</v>
      </c>
      <c r="L167" s="724"/>
      <c r="M167" s="726" t="str">
        <f>IF(ISERROR(K167/E167),"",K167/E167)</f>
        <v/>
      </c>
      <c r="N167" s="726"/>
      <c r="O167" s="724"/>
      <c r="P167" s="694" t="s">
        <v>86</v>
      </c>
      <c r="Q167" s="694"/>
      <c r="R167" s="717">
        <f>SUM(O86:U86)</f>
        <v>0</v>
      </c>
      <c r="S167" s="717"/>
      <c r="T167" s="725" t="str">
        <f>IF(ISERROR(R167/R173),"",R167/R173)</f>
        <v/>
      </c>
      <c r="U167" s="725"/>
      <c r="V167" s="694" t="s">
        <v>42</v>
      </c>
      <c r="W167" s="694"/>
      <c r="X167" s="717">
        <f>SUM(P28,P86,P121,P137,P148,P163)</f>
        <v>0</v>
      </c>
      <c r="Y167" s="717"/>
      <c r="Z167" s="725" t="str">
        <f>IF(ISERROR(X167/X173),"",X167/X173)</f>
        <v/>
      </c>
      <c r="AA167" s="725"/>
      <c r="AE167" s="14"/>
      <c r="AF167" s="14"/>
      <c r="AG167" s="3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773"/>
      <c r="B168" s="245" t="s">
        <v>122</v>
      </c>
      <c r="C168" s="729">
        <f>SUM('1:2'!C168)</f>
        <v>2</v>
      </c>
      <c r="D168" s="730"/>
      <c r="E168" s="728">
        <f>D168*11</f>
        <v>0</v>
      </c>
      <c r="F168" s="728"/>
      <c r="G168" s="729">
        <f>SUM('1:2'!G168)</f>
        <v>2</v>
      </c>
      <c r="H168" s="730"/>
      <c r="I168" s="724">
        <f>G168*8</f>
        <v>16</v>
      </c>
      <c r="J168" s="724"/>
      <c r="K168" s="724">
        <f>E168-I168</f>
        <v>-16</v>
      </c>
      <c r="L168" s="724"/>
      <c r="M168" s="726" t="str">
        <f>IF(ISERROR(K168/E168),"",K168/E168)</f>
        <v/>
      </c>
      <c r="N168" s="726"/>
      <c r="O168" s="724"/>
      <c r="P168" s="694" t="s">
        <v>92</v>
      </c>
      <c r="Q168" s="694"/>
      <c r="R168" s="717">
        <f>SUM(O121:U121)</f>
        <v>0</v>
      </c>
      <c r="S168" s="717"/>
      <c r="T168" s="725" t="str">
        <f>IF(ISERROR(R168/R173),"",R168/R173)</f>
        <v/>
      </c>
      <c r="U168" s="725"/>
      <c r="V168" s="694" t="s">
        <v>43</v>
      </c>
      <c r="W168" s="694"/>
      <c r="X168" s="717">
        <f>SUM(P29,P87,P122,P138,P149,P164)</f>
        <v>0</v>
      </c>
      <c r="Y168" s="717"/>
      <c r="Z168" s="725" t="str">
        <f>IF(ISERROR(X168/X173),"",X168/X173)</f>
        <v/>
      </c>
      <c r="AA168" s="725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773"/>
      <c r="B169" s="245" t="s">
        <v>47</v>
      </c>
      <c r="C169" s="729">
        <f>SUM('1:2'!C169)</f>
        <v>2</v>
      </c>
      <c r="D169" s="730"/>
      <c r="E169" s="728">
        <f>D169*11</f>
        <v>0</v>
      </c>
      <c r="F169" s="728"/>
      <c r="G169" s="729">
        <f>SUM('1:2'!G169)</f>
        <v>2</v>
      </c>
      <c r="H169" s="730"/>
      <c r="I169" s="724">
        <f>G169*11</f>
        <v>22</v>
      </c>
      <c r="J169" s="724"/>
      <c r="K169" s="724">
        <f>E169-I169</f>
        <v>-22</v>
      </c>
      <c r="L169" s="724"/>
      <c r="M169" s="726" t="str">
        <f>IF(ISERROR(K169/E169),"",K169/E169)</f>
        <v/>
      </c>
      <c r="N169" s="726"/>
      <c r="O169" s="724"/>
      <c r="P169" s="694" t="s">
        <v>99</v>
      </c>
      <c r="Q169" s="694"/>
      <c r="R169" s="717">
        <f>SUM(O137:U137)</f>
        <v>0</v>
      </c>
      <c r="S169" s="717"/>
      <c r="T169" s="725" t="str">
        <f>IF(ISERROR(R169/R173),"",R169/R173)</f>
        <v/>
      </c>
      <c r="U169" s="725"/>
      <c r="V169" s="694" t="s">
        <v>44</v>
      </c>
      <c r="W169" s="694"/>
      <c r="X169" s="717">
        <f>SUM(P31,P88,P123,P139,P150,P165)</f>
        <v>0</v>
      </c>
      <c r="Y169" s="717"/>
      <c r="Z169" s="725" t="str">
        <f>IF(ISERROR(X169/X173),"",X169/X173)</f>
        <v/>
      </c>
      <c r="AA169" s="725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1"/>
      <c r="AV169" s="21"/>
      <c r="AW169" s="21"/>
      <c r="AX169" s="21"/>
      <c r="AY169" s="21"/>
      <c r="AZ169" s="21"/>
      <c r="BA169" s="21"/>
    </row>
    <row r="170" spans="1:106" ht="15.75" hidden="1">
      <c r="A170" s="774"/>
      <c r="B170" s="245" t="s">
        <v>123</v>
      </c>
      <c r="C170" s="727">
        <f>SUM(C166:D169)</f>
        <v>8</v>
      </c>
      <c r="D170" s="724"/>
      <c r="E170" s="724">
        <f>SUM(F166:F169)</f>
        <v>0</v>
      </c>
      <c r="F170" s="724"/>
      <c r="G170" s="727">
        <f>SUM(G166:H169)</f>
        <v>8</v>
      </c>
      <c r="H170" s="724"/>
      <c r="I170" s="724">
        <f>SUM(I166:J169)</f>
        <v>82</v>
      </c>
      <c r="J170" s="724"/>
      <c r="K170" s="724">
        <f>SUM(K166:L169)</f>
        <v>-82</v>
      </c>
      <c r="L170" s="724"/>
      <c r="M170" s="726" t="str">
        <f>IF(ISERROR(K170/E170),"",K170/E170)</f>
        <v/>
      </c>
      <c r="N170" s="726"/>
      <c r="O170" s="724"/>
      <c r="P170" s="694" t="s">
        <v>102</v>
      </c>
      <c r="Q170" s="694"/>
      <c r="R170" s="717">
        <f>SUM(O148:U148)</f>
        <v>0</v>
      </c>
      <c r="S170" s="717"/>
      <c r="T170" s="725" t="str">
        <f>IF(ISERROR(R170/R173),"",R170/R173)</f>
        <v/>
      </c>
      <c r="U170" s="725"/>
      <c r="V170" s="694" t="s">
        <v>45</v>
      </c>
      <c r="W170" s="694"/>
      <c r="X170" s="717">
        <f>SUM(P32,P89,P124,P140,P151,P166)</f>
        <v>0</v>
      </c>
      <c r="Y170" s="717"/>
      <c r="Z170" s="725" t="str">
        <f>IF(ISERROR(X170/X173),"",X170/X173)</f>
        <v/>
      </c>
      <c r="AA170" s="725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4" t="s">
        <v>152</v>
      </c>
      <c r="B171" s="245">
        <f>G164</f>
        <v>10993</v>
      </c>
      <c r="C171" s="717" t="s">
        <v>155</v>
      </c>
      <c r="D171" s="717"/>
      <c r="E171" s="694">
        <f>H164</f>
        <v>55764.04</v>
      </c>
      <c r="F171" s="694"/>
      <c r="G171" s="694" t="s">
        <v>34</v>
      </c>
      <c r="H171" s="694"/>
      <c r="I171" s="723">
        <f>L164</f>
        <v>23.690228867206013</v>
      </c>
      <c r="J171" s="723"/>
      <c r="K171" s="724" t="s">
        <v>32</v>
      </c>
      <c r="L171" s="724"/>
      <c r="M171" s="723">
        <f>J164</f>
        <v>21.920239282153538</v>
      </c>
      <c r="N171" s="723"/>
      <c r="O171" s="724"/>
      <c r="P171" s="694" t="s">
        <v>106</v>
      </c>
      <c r="Q171" s="694"/>
      <c r="R171" s="717">
        <f>SUM(O163:U163)</f>
        <v>0</v>
      </c>
      <c r="S171" s="717"/>
      <c r="T171" s="725" t="str">
        <f>IF(ISERROR(R171/R173),"",R171/R173)</f>
        <v/>
      </c>
      <c r="U171" s="725"/>
      <c r="V171" s="694" t="s">
        <v>46</v>
      </c>
      <c r="W171" s="694"/>
      <c r="X171" s="717">
        <f>SUM(P33,P90,P125,P141,P152,P167)</f>
        <v>0</v>
      </c>
      <c r="Y171" s="717"/>
      <c r="Z171" s="725" t="str">
        <f>IF(ISERROR(X171/X173),"",X171/X173)</f>
        <v/>
      </c>
      <c r="AA171" s="725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7.25" hidden="1">
      <c r="A172" s="325" t="s">
        <v>153</v>
      </c>
      <c r="B172" s="245">
        <f>I164+C170</f>
        <v>509.5</v>
      </c>
      <c r="C172" s="694" t="s">
        <v>114</v>
      </c>
      <c r="D172" s="694"/>
      <c r="E172" s="714">
        <f>K164+I170</f>
        <v>546.03097503280878</v>
      </c>
      <c r="F172" s="714"/>
      <c r="G172" s="694" t="s">
        <v>150</v>
      </c>
      <c r="H172" s="694"/>
      <c r="I172" s="723">
        <f>B172-E172</f>
        <v>-36.530975032808783</v>
      </c>
      <c r="J172" s="723"/>
      <c r="K172" s="724" t="s">
        <v>151</v>
      </c>
      <c r="L172" s="724"/>
      <c r="M172" s="726">
        <f>IF(ISERROR(I172/B172),"",I172/B172)</f>
        <v>-7.1699656590399966E-2</v>
      </c>
      <c r="N172" s="726"/>
      <c r="O172" s="724"/>
      <c r="P172" s="694" t="s">
        <v>107</v>
      </c>
      <c r="Q172" s="694"/>
      <c r="R172" s="717"/>
      <c r="S172" s="717"/>
      <c r="T172" s="725" t="str">
        <f>IF(ISERROR(R172/R173),"",R172/R173)</f>
        <v/>
      </c>
      <c r="U172" s="725"/>
      <c r="V172" s="694" t="s">
        <v>47</v>
      </c>
      <c r="W172" s="694"/>
      <c r="X172" s="717"/>
      <c r="Y172" s="717"/>
      <c r="Z172" s="725" t="str">
        <f>IF(ISERROR(X172/X173),"",X172/X173)</f>
        <v/>
      </c>
      <c r="AA172" s="725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 hidden="1" customHeight="1">
      <c r="A173" s="325" t="s">
        <v>154</v>
      </c>
      <c r="B173" s="245">
        <f>N164</f>
        <v>0</v>
      </c>
      <c r="C173" s="694" t="s">
        <v>149</v>
      </c>
      <c r="D173" s="694"/>
      <c r="E173" s="725">
        <f>IF(ISERROR(B173/B172),"",B173/B172)</f>
        <v>0</v>
      </c>
      <c r="F173" s="725"/>
      <c r="G173" s="694" t="s">
        <v>158</v>
      </c>
      <c r="H173" s="694"/>
      <c r="I173" s="724">
        <f>V164</f>
        <v>0</v>
      </c>
      <c r="J173" s="724"/>
      <c r="K173" s="724" t="s">
        <v>156</v>
      </c>
      <c r="L173" s="724"/>
      <c r="M173" s="726">
        <f t="array" ref="M173">IF(ISERROR(I173/B171),"",I173/B171)</f>
        <v>0</v>
      </c>
      <c r="N173" s="726"/>
      <c r="O173" s="724"/>
      <c r="P173" s="694" t="s">
        <v>123</v>
      </c>
      <c r="Q173" s="694"/>
      <c r="R173" s="717">
        <f>SUM(R166:S172)</f>
        <v>0</v>
      </c>
      <c r="S173" s="717"/>
      <c r="T173" s="725">
        <f>SUM(T166:U172)</f>
        <v>0</v>
      </c>
      <c r="U173" s="725"/>
      <c r="V173" s="694" t="s">
        <v>123</v>
      </c>
      <c r="W173" s="694"/>
      <c r="X173" s="717">
        <f>SUM(X166:Y172)</f>
        <v>0</v>
      </c>
      <c r="Y173" s="717"/>
      <c r="Z173" s="725">
        <f>SUM(Z166:AA172)</f>
        <v>0</v>
      </c>
      <c r="AA173" s="725"/>
      <c r="AE173" s="14"/>
      <c r="AF173" s="14"/>
      <c r="AG173" s="251"/>
      <c r="AH173" s="251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248"/>
      <c r="AV173" s="248"/>
      <c r="AW173" s="248"/>
      <c r="AX173" s="248"/>
      <c r="AY173" s="248"/>
      <c r="AZ173" s="248"/>
      <c r="BA173" s="248"/>
    </row>
    <row r="174" spans="1:106" ht="15.75">
      <c r="A174" s="756" t="s">
        <v>128</v>
      </c>
      <c r="B174" s="756"/>
      <c r="C174" s="756"/>
      <c r="D174" s="756"/>
      <c r="E174" s="756"/>
      <c r="F174" s="756"/>
      <c r="G174" s="756"/>
      <c r="H174" s="756"/>
      <c r="I174" s="756"/>
      <c r="J174" s="764"/>
      <c r="K174" s="756"/>
      <c r="L174" s="756"/>
      <c r="M174" s="756"/>
      <c r="N174" s="756"/>
      <c r="O174" s="756"/>
      <c r="P174" s="756"/>
      <c r="Q174" s="756"/>
      <c r="R174" s="756"/>
      <c r="S174" s="756"/>
      <c r="T174" s="756"/>
      <c r="U174" s="756"/>
      <c r="V174" s="756"/>
      <c r="W174" s="756"/>
      <c r="X174" s="756"/>
      <c r="Y174" s="756"/>
      <c r="Z174" s="756"/>
      <c r="AA174" s="756"/>
      <c r="AB174" s="756"/>
      <c r="AC174" s="756"/>
      <c r="AD174" s="756"/>
      <c r="AE174" s="756"/>
      <c r="AF174" s="756"/>
      <c r="AG174" s="756"/>
      <c r="AH174" s="756"/>
      <c r="AI174" s="756"/>
      <c r="AJ174" s="756"/>
      <c r="AK174" s="756"/>
      <c r="AL174" s="756"/>
      <c r="AM174" s="756"/>
      <c r="AN174" s="756"/>
      <c r="AO174" s="756"/>
      <c r="AP174" s="756"/>
      <c r="AQ174" s="756"/>
      <c r="AR174" s="756"/>
      <c r="AS174" s="756"/>
      <c r="AT174" s="756"/>
      <c r="AU174" s="756"/>
      <c r="AV174" s="756"/>
      <c r="AW174" s="756"/>
      <c r="AX174" s="756"/>
      <c r="AY174" s="756"/>
      <c r="AZ174" s="756"/>
      <c r="BA174" s="756"/>
    </row>
    <row r="175" spans="1:106" ht="15.75">
      <c r="A175" s="766" t="s">
        <v>12</v>
      </c>
      <c r="B175" s="745" t="s">
        <v>25</v>
      </c>
      <c r="C175" s="745" t="s">
        <v>26</v>
      </c>
      <c r="D175" s="745" t="s">
        <v>27</v>
      </c>
      <c r="E175" s="757" t="s">
        <v>28</v>
      </c>
      <c r="F175" s="760" t="s">
        <v>29</v>
      </c>
      <c r="G175" s="724" t="s">
        <v>30</v>
      </c>
      <c r="H175" s="724"/>
      <c r="I175" s="745" t="s">
        <v>31</v>
      </c>
      <c r="J175" s="748" t="s">
        <v>32</v>
      </c>
      <c r="K175" s="751" t="s">
        <v>33</v>
      </c>
      <c r="L175" s="745" t="s">
        <v>34</v>
      </c>
      <c r="M175" s="754" t="s">
        <v>35</v>
      </c>
      <c r="N175" s="742" t="s">
        <v>36</v>
      </c>
      <c r="O175" s="724" t="s">
        <v>37</v>
      </c>
      <c r="P175" s="724"/>
      <c r="Q175" s="724"/>
      <c r="R175" s="724"/>
      <c r="S175" s="724"/>
      <c r="T175" s="724"/>
      <c r="U175" s="724"/>
      <c r="V175" s="743" t="s">
        <v>38</v>
      </c>
      <c r="W175" s="742" t="s">
        <v>39</v>
      </c>
      <c r="X175" s="724" t="s">
        <v>40</v>
      </c>
      <c r="Y175" s="724"/>
      <c r="Z175" s="724"/>
      <c r="AA175" s="724"/>
      <c r="AB175" s="769" t="s">
        <v>434</v>
      </c>
      <c r="AC175" s="771" t="s">
        <v>435</v>
      </c>
      <c r="AD175" s="21"/>
      <c r="AE175" s="21"/>
      <c r="AF175" s="21"/>
      <c r="AG175" s="21"/>
      <c r="AH175" s="21"/>
      <c r="AI175" s="744"/>
      <c r="AJ175" s="740"/>
      <c r="AK175" s="740"/>
      <c r="AL175" s="740"/>
      <c r="AM175" s="740"/>
      <c r="AN175" s="740"/>
      <c r="AO175" s="740"/>
      <c r="AP175" s="740"/>
      <c r="AQ175" s="740"/>
      <c r="AR175" s="740"/>
      <c r="AS175" s="740"/>
      <c r="AT175" s="740"/>
      <c r="AU175" s="740"/>
      <c r="AV175" s="740"/>
      <c r="AW175" s="740"/>
      <c r="AX175" s="740"/>
      <c r="AY175" s="740"/>
      <c r="AZ175" s="740"/>
      <c r="BA175" s="740"/>
    </row>
    <row r="176" spans="1:106" ht="15.75" customHeight="1">
      <c r="A176" s="767"/>
      <c r="B176" s="746"/>
      <c r="C176" s="746"/>
      <c r="D176" s="746"/>
      <c r="E176" s="758"/>
      <c r="F176" s="761"/>
      <c r="G176" s="724"/>
      <c r="H176" s="724"/>
      <c r="I176" s="746"/>
      <c r="J176" s="749"/>
      <c r="K176" s="752"/>
      <c r="L176" s="746"/>
      <c r="M176" s="755"/>
      <c r="N176" s="742"/>
      <c r="O176" s="724" t="s">
        <v>41</v>
      </c>
      <c r="P176" s="724" t="s">
        <v>42</v>
      </c>
      <c r="Q176" s="724" t="s">
        <v>43</v>
      </c>
      <c r="R176" s="741" t="s">
        <v>44</v>
      </c>
      <c r="S176" s="694" t="s">
        <v>45</v>
      </c>
      <c r="T176" s="724" t="s">
        <v>46</v>
      </c>
      <c r="U176" s="724" t="s">
        <v>47</v>
      </c>
      <c r="V176" s="743"/>
      <c r="W176" s="742"/>
      <c r="X176" s="724" t="s">
        <v>13</v>
      </c>
      <c r="Y176" s="724" t="s">
        <v>48</v>
      </c>
      <c r="Z176" s="724" t="s">
        <v>49</v>
      </c>
      <c r="AA176" s="724" t="s">
        <v>47</v>
      </c>
      <c r="AB176" s="770"/>
      <c r="AC176" s="771"/>
      <c r="AD176" s="21"/>
      <c r="AE176" s="21"/>
      <c r="AF176" s="21"/>
      <c r="AG176" s="21"/>
      <c r="AH176" s="21"/>
      <c r="AI176" s="744"/>
      <c r="AJ176" s="740"/>
      <c r="AK176" s="740"/>
      <c r="AL176" s="740"/>
      <c r="AM176" s="740"/>
      <c r="AN176" s="740"/>
      <c r="AO176" s="740"/>
      <c r="AP176" s="740"/>
      <c r="AQ176" s="740"/>
      <c r="AR176" s="740"/>
      <c r="AS176" s="763"/>
      <c r="AT176" s="763"/>
      <c r="AU176" s="763"/>
      <c r="AV176" s="763"/>
      <c r="AW176" s="763"/>
      <c r="AX176" s="763"/>
      <c r="AY176" s="763"/>
      <c r="AZ176" s="763"/>
      <c r="BA176" s="763"/>
    </row>
    <row r="177" spans="1:53" ht="15.75" customHeight="1">
      <c r="A177" s="768"/>
      <c r="B177" s="747"/>
      <c r="C177" s="747"/>
      <c r="D177" s="747"/>
      <c r="E177" s="759"/>
      <c r="F177" s="762"/>
      <c r="G177" s="242" t="s">
        <v>515</v>
      </c>
      <c r="H177" s="242" t="s">
        <v>51</v>
      </c>
      <c r="I177" s="747"/>
      <c r="J177" s="750"/>
      <c r="K177" s="753"/>
      <c r="L177" s="747"/>
      <c r="M177" s="755"/>
      <c r="N177" s="742"/>
      <c r="O177" s="724"/>
      <c r="P177" s="724"/>
      <c r="Q177" s="724"/>
      <c r="R177" s="741"/>
      <c r="S177" s="694"/>
      <c r="T177" s="724"/>
      <c r="U177" s="724"/>
      <c r="V177" s="743"/>
      <c r="W177" s="742"/>
      <c r="X177" s="724"/>
      <c r="Y177" s="724"/>
      <c r="Z177" s="724"/>
      <c r="AA177" s="724"/>
      <c r="AB177" s="770"/>
      <c r="AC177" s="771"/>
      <c r="AD177" s="21"/>
      <c r="AE177" s="21"/>
      <c r="AF177" s="21"/>
      <c r="AG177" s="21"/>
      <c r="AH177" s="21"/>
      <c r="AI177" s="744"/>
      <c r="AJ177" s="740"/>
      <c r="AK177" s="740"/>
      <c r="AL177" s="248"/>
      <c r="AM177" s="248"/>
      <c r="AN177" s="248"/>
      <c r="AO177" s="248"/>
      <c r="AP177" s="248"/>
      <c r="AQ177" s="248"/>
      <c r="AR177" s="248"/>
      <c r="AS177" s="21"/>
      <c r="AT177" s="21"/>
      <c r="AU177" s="21"/>
      <c r="AV177" s="249"/>
      <c r="AW177" s="248"/>
      <c r="AX177" s="248"/>
      <c r="AY177" s="248"/>
      <c r="AZ177" s="248"/>
      <c r="BA177" s="248"/>
    </row>
    <row r="178" spans="1:53" ht="15.75">
      <c r="A178" s="315">
        <v>30100030</v>
      </c>
      <c r="B178" s="82" t="s">
        <v>52</v>
      </c>
      <c r="C178" s="81" t="s">
        <v>53</v>
      </c>
      <c r="D178" s="80">
        <v>5.03</v>
      </c>
      <c r="E178" s="80"/>
      <c r="F178" s="83"/>
      <c r="G178" s="93">
        <f>SUM('1:2'!G178)</f>
        <v>0</v>
      </c>
      <c r="H178" s="95">
        <f t="shared" ref="H178:H183" si="61">D178*G178</f>
        <v>0</v>
      </c>
      <c r="I178" s="93">
        <f>SUM('1:2'!I178)</f>
        <v>0</v>
      </c>
      <c r="J178" s="31" t="str">
        <f t="array" ref="J178">IF(ISERROR(G178/I178),"",G178/I178)</f>
        <v/>
      </c>
      <c r="K178" s="96">
        <f t="array" ref="K178">IF(ISERROR(G178/L178),"",G178/L178)</f>
        <v>0</v>
      </c>
      <c r="L178" s="84">
        <v>16</v>
      </c>
      <c r="M178" s="97">
        <f t="shared" ref="M178:M189" si="62">IF(ISERROR(I178-K178),"",I178-K178)</f>
        <v>0</v>
      </c>
      <c r="N178" s="93">
        <f>SUM('1:2'!N178)</f>
        <v>0</v>
      </c>
      <c r="O178" s="93">
        <f>SUM('1:2'!O178)</f>
        <v>0</v>
      </c>
      <c r="P178" s="93">
        <f>SUM('1:2'!P178)</f>
        <v>0</v>
      </c>
      <c r="Q178" s="93">
        <f>SUM('1:2'!Q178)</f>
        <v>0</v>
      </c>
      <c r="R178" s="93">
        <f>SUM('1:2'!R178)</f>
        <v>0</v>
      </c>
      <c r="S178" s="93">
        <f>SUM('1:2'!S178)</f>
        <v>0</v>
      </c>
      <c r="T178" s="93">
        <f>SUM('1:2'!T178)</f>
        <v>0</v>
      </c>
      <c r="U178" s="93">
        <f>SUM('1:2'!U178)</f>
        <v>0</v>
      </c>
      <c r="V178" s="206">
        <f t="shared" ref="V178:V189" si="63">SUM(X178:AA178)</f>
        <v>0</v>
      </c>
      <c r="W178" s="33" t="str">
        <f t="shared" ref="W178:W189" si="64">IF(ISERROR(V178/G178),"",V178/G178)</f>
        <v/>
      </c>
      <c r="X178" s="93">
        <f>SUM('1:2'!X178)</f>
        <v>0</v>
      </c>
      <c r="Y178" s="93">
        <f>SUM('1:2'!Y178)</f>
        <v>0</v>
      </c>
      <c r="Z178" s="93">
        <f>SUM('1:2'!Z178)</f>
        <v>0</v>
      </c>
      <c r="AA178" s="93">
        <f>SUM('1:2'!AA178)</f>
        <v>0</v>
      </c>
      <c r="AB178" s="371">
        <v>0.65</v>
      </c>
      <c r="AC178" s="269">
        <f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250"/>
      <c r="AM178" s="54"/>
      <c r="AN178" s="250"/>
      <c r="AO178" s="250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</row>
    <row r="179" spans="1:53" ht="17.25">
      <c r="A179" s="316"/>
      <c r="B179" s="62" t="s">
        <v>54</v>
      </c>
      <c r="C179" s="16" t="s">
        <v>53</v>
      </c>
      <c r="D179" s="17">
        <v>5.03</v>
      </c>
      <c r="E179" s="17"/>
      <c r="F179" s="6"/>
      <c r="G179" s="93">
        <f>SUM('1:2'!G179)</f>
        <v>0</v>
      </c>
      <c r="H179" s="95">
        <f t="shared" si="61"/>
        <v>0</v>
      </c>
      <c r="I179" s="93">
        <f>SUM('1:2'!I179)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SUM('1:2'!N179)</f>
        <v>0</v>
      </c>
      <c r="O179" s="93">
        <f>SUM('1:2'!O179)</f>
        <v>0</v>
      </c>
      <c r="P179" s="93">
        <f>SUM('1:2'!P179)</f>
        <v>0</v>
      </c>
      <c r="Q179" s="93">
        <f>SUM('1:2'!Q179)</f>
        <v>0</v>
      </c>
      <c r="R179" s="93">
        <f>SUM('1:2'!R179)</f>
        <v>0</v>
      </c>
      <c r="S179" s="93">
        <f>SUM('1:2'!S179)</f>
        <v>0</v>
      </c>
      <c r="T179" s="93">
        <f>SUM('1:2'!T179)</f>
        <v>0</v>
      </c>
      <c r="U179" s="93">
        <f>SUM('1:2'!U179)</f>
        <v>0</v>
      </c>
      <c r="V179" s="206">
        <f t="shared" si="63"/>
        <v>0</v>
      </c>
      <c r="W179" s="33" t="str">
        <f t="shared" si="64"/>
        <v/>
      </c>
      <c r="X179" s="93">
        <f>SUM('1:2'!X179)</f>
        <v>0</v>
      </c>
      <c r="Y179" s="93">
        <f>SUM('1:2'!Y179)</f>
        <v>0</v>
      </c>
      <c r="Z179" s="93">
        <f>SUM('1:2'!Z179)</f>
        <v>0</v>
      </c>
      <c r="AA179" s="93">
        <f>SUM('1:2'!AA179)</f>
        <v>0</v>
      </c>
      <c r="AB179" s="358">
        <v>0.48</v>
      </c>
      <c r="AC179" s="269">
        <f t="shared" ref="AC179:AC198" si="65">AB179*G179</f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250"/>
      <c r="AO179" s="54"/>
      <c r="AP179" s="250"/>
      <c r="AQ179" s="54"/>
      <c r="AR179" s="54"/>
      <c r="AS179" s="250"/>
      <c r="AT179" s="250"/>
      <c r="AU179" s="250"/>
      <c r="AV179" s="250"/>
      <c r="AW179" s="55"/>
      <c r="AX179" s="54"/>
      <c r="AY179" s="54"/>
      <c r="AZ179" s="54"/>
      <c r="BA179" s="54"/>
    </row>
    <row r="180" spans="1:53" ht="17.25">
      <c r="A180" s="317"/>
      <c r="B180" s="62" t="s">
        <v>54</v>
      </c>
      <c r="C180" s="16" t="s">
        <v>55</v>
      </c>
      <c r="D180" s="17">
        <v>5.03</v>
      </c>
      <c r="E180" s="17"/>
      <c r="F180" s="6"/>
      <c r="G180" s="93">
        <f>SUM('1:2'!G180)</f>
        <v>0</v>
      </c>
      <c r="H180" s="95">
        <f t="shared" si="61"/>
        <v>0</v>
      </c>
      <c r="I180" s="93">
        <f>SUM('1:2'!I180)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SUM('1:2'!N180)</f>
        <v>0</v>
      </c>
      <c r="O180" s="93">
        <f>SUM('1:2'!O180)</f>
        <v>0</v>
      </c>
      <c r="P180" s="93">
        <f>SUM('1:2'!P180)</f>
        <v>0</v>
      </c>
      <c r="Q180" s="93">
        <f>SUM('1:2'!Q180)</f>
        <v>0</v>
      </c>
      <c r="R180" s="93">
        <f>SUM('1:2'!R180)</f>
        <v>0</v>
      </c>
      <c r="S180" s="93">
        <f>SUM('1:2'!S180)</f>
        <v>0</v>
      </c>
      <c r="T180" s="93">
        <f>SUM('1:2'!T180)</f>
        <v>0</v>
      </c>
      <c r="U180" s="93">
        <f>SUM('1:2'!U180)</f>
        <v>0</v>
      </c>
      <c r="V180" s="206">
        <f t="shared" si="63"/>
        <v>0</v>
      </c>
      <c r="W180" s="33" t="str">
        <f t="shared" si="64"/>
        <v/>
      </c>
      <c r="X180" s="93">
        <f>SUM('1:2'!X180)</f>
        <v>0</v>
      </c>
      <c r="Y180" s="93">
        <f>SUM('1:2'!Y180)</f>
        <v>0</v>
      </c>
      <c r="Z180" s="93">
        <f>SUM('1:2'!Z180)</f>
        <v>0</v>
      </c>
      <c r="AA180" s="93">
        <f>SUM('1:2'!AA180)</f>
        <v>0</v>
      </c>
      <c r="AB180" s="358">
        <v>0.43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250"/>
      <c r="AP180" s="54"/>
      <c r="AQ180" s="54"/>
      <c r="AR180" s="54"/>
      <c r="AS180" s="56"/>
      <c r="AT180" s="56"/>
      <c r="AU180" s="56"/>
      <c r="AV180" s="54"/>
      <c r="AW180" s="54"/>
      <c r="AX180" s="54"/>
      <c r="AY180" s="54"/>
      <c r="AZ180" s="54"/>
      <c r="BA180" s="54"/>
    </row>
    <row r="181" spans="1:53" ht="15.75">
      <c r="A181" s="315">
        <v>30100048</v>
      </c>
      <c r="B181" s="62" t="s">
        <v>56</v>
      </c>
      <c r="C181" s="16" t="s">
        <v>53</v>
      </c>
      <c r="D181" s="17">
        <v>5.03</v>
      </c>
      <c r="E181" s="17"/>
      <c r="F181" s="6"/>
      <c r="G181" s="93">
        <f>SUM('1:2'!G181)</f>
        <v>211</v>
      </c>
      <c r="H181" s="95">
        <f t="shared" si="61"/>
        <v>1061.3300000000002</v>
      </c>
      <c r="I181" s="93">
        <f>SUM('1:2'!I181)</f>
        <v>22.05</v>
      </c>
      <c r="J181" s="31">
        <f t="array" ref="J181">IF(ISERROR(G181/I181),"",G181/I181)</f>
        <v>9.5691609977324266</v>
      </c>
      <c r="K181" s="35">
        <f t="array" ref="K181">IF(ISERROR(G181/L181),"",G181/L181)</f>
        <v>11.105263157894736</v>
      </c>
      <c r="L181" s="87">
        <v>19</v>
      </c>
      <c r="M181" s="36">
        <f t="shared" si="62"/>
        <v>10.944736842105264</v>
      </c>
      <c r="N181" s="93">
        <f>SUM('1:2'!N181)</f>
        <v>0</v>
      </c>
      <c r="O181" s="93">
        <f>SUM('1:2'!O181)</f>
        <v>0</v>
      </c>
      <c r="P181" s="93">
        <f>SUM('1:2'!P181)</f>
        <v>0</v>
      </c>
      <c r="Q181" s="93">
        <f>SUM('1:2'!Q181)</f>
        <v>0</v>
      </c>
      <c r="R181" s="93">
        <f>SUM('1:2'!R181)</f>
        <v>0</v>
      </c>
      <c r="S181" s="93">
        <f>SUM('1:2'!S181)</f>
        <v>0</v>
      </c>
      <c r="T181" s="93">
        <f>SUM('1:2'!T181)</f>
        <v>0</v>
      </c>
      <c r="U181" s="93">
        <f>SUM('1:2'!U181)</f>
        <v>0</v>
      </c>
      <c r="V181" s="206">
        <f t="shared" si="63"/>
        <v>0</v>
      </c>
      <c r="W181" s="33">
        <f t="shared" si="64"/>
        <v>0</v>
      </c>
      <c r="X181" s="93">
        <f>SUM('1:2'!X181)</f>
        <v>0</v>
      </c>
      <c r="Y181" s="93">
        <f>SUM('1:2'!Y181)</f>
        <v>0</v>
      </c>
      <c r="Z181" s="93">
        <f>SUM('1:2'!Z181)</f>
        <v>0</v>
      </c>
      <c r="AA181" s="93">
        <f>SUM('1:2'!AA181)</f>
        <v>0</v>
      </c>
      <c r="AB181" s="358">
        <v>0.55000000000000004</v>
      </c>
      <c r="AC181" s="269">
        <f t="shared" si="65"/>
        <v>116.05000000000001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5"/>
      <c r="AW181" s="55"/>
      <c r="AX181" s="55"/>
      <c r="AY181" s="54"/>
      <c r="AZ181" s="54"/>
      <c r="BA181" s="54"/>
    </row>
    <row r="182" spans="1:53" ht="15.75">
      <c r="A182" s="315">
        <v>30100047</v>
      </c>
      <c r="B182" s="62" t="s">
        <v>56</v>
      </c>
      <c r="C182" s="16" t="s">
        <v>57</v>
      </c>
      <c r="D182" s="17">
        <v>5.03</v>
      </c>
      <c r="E182" s="17"/>
      <c r="F182" s="6"/>
      <c r="G182" s="93">
        <f>SUM('1:2'!G182)</f>
        <v>785</v>
      </c>
      <c r="H182" s="95">
        <f t="shared" si="61"/>
        <v>3948.55</v>
      </c>
      <c r="I182" s="93">
        <f>SUM('1:2'!I182)</f>
        <v>52</v>
      </c>
      <c r="J182" s="31">
        <f t="array" ref="J182">IF(ISERROR(G182/I182),"",G182/I182)</f>
        <v>15.096153846153847</v>
      </c>
      <c r="K182" s="35">
        <f t="array" ref="K182">IF(ISERROR(G182/L182),"",G182/L182)</f>
        <v>39.25</v>
      </c>
      <c r="L182" s="87">
        <v>20</v>
      </c>
      <c r="M182" s="36">
        <f t="shared" si="62"/>
        <v>12.75</v>
      </c>
      <c r="N182" s="93">
        <f>SUM('1:2'!N182)</f>
        <v>0</v>
      </c>
      <c r="O182" s="93">
        <f>SUM('1:2'!O182)</f>
        <v>0</v>
      </c>
      <c r="P182" s="93">
        <f>SUM('1:2'!P182)</f>
        <v>0</v>
      </c>
      <c r="Q182" s="93">
        <f>SUM('1:2'!Q182)</f>
        <v>0</v>
      </c>
      <c r="R182" s="93">
        <f>SUM('1:2'!R182)</f>
        <v>0</v>
      </c>
      <c r="S182" s="93">
        <f>SUM('1:2'!S182)</f>
        <v>0</v>
      </c>
      <c r="T182" s="93">
        <f>SUM('1:2'!T182)</f>
        <v>0</v>
      </c>
      <c r="U182" s="93">
        <f>SUM('1:2'!U182)</f>
        <v>0</v>
      </c>
      <c r="V182" s="206">
        <f t="shared" si="63"/>
        <v>0</v>
      </c>
      <c r="W182" s="33">
        <f t="shared" si="64"/>
        <v>0</v>
      </c>
      <c r="X182" s="93">
        <f>SUM('1:2'!X182)</f>
        <v>0</v>
      </c>
      <c r="Y182" s="93">
        <f>SUM('1:2'!Y182)</f>
        <v>0</v>
      </c>
      <c r="Z182" s="93">
        <f>SUM('1:2'!Z182)</f>
        <v>0</v>
      </c>
      <c r="AA182" s="93">
        <f>SUM('1:2'!AA182)</f>
        <v>0</v>
      </c>
      <c r="AB182" s="358">
        <v>0.52</v>
      </c>
      <c r="AC182" s="269">
        <f t="shared" si="65"/>
        <v>408.2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15">
        <v>30100052</v>
      </c>
      <c r="B183" s="62" t="s">
        <v>58</v>
      </c>
      <c r="C183" s="16" t="s">
        <v>53</v>
      </c>
      <c r="D183" s="17">
        <v>5.04</v>
      </c>
      <c r="E183" s="17"/>
      <c r="F183" s="6"/>
      <c r="G183" s="93">
        <f>SUM('1:2'!G183)</f>
        <v>0</v>
      </c>
      <c r="H183" s="95">
        <f t="shared" si="61"/>
        <v>0</v>
      </c>
      <c r="I183" s="93">
        <f>SUM('1:2'!I183)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19</v>
      </c>
      <c r="M183" s="36">
        <f t="shared" si="62"/>
        <v>0</v>
      </c>
      <c r="N183" s="93">
        <f>SUM('1:2'!N183)</f>
        <v>0</v>
      </c>
      <c r="O183" s="93">
        <f>SUM('1:2'!O183)</f>
        <v>0</v>
      </c>
      <c r="P183" s="93">
        <f>SUM('1:2'!P183)</f>
        <v>0</v>
      </c>
      <c r="Q183" s="93">
        <f>SUM('1:2'!Q183)</f>
        <v>0</v>
      </c>
      <c r="R183" s="93">
        <f>SUM('1:2'!R183)</f>
        <v>0</v>
      </c>
      <c r="S183" s="93">
        <f>SUM('1:2'!S183)</f>
        <v>0</v>
      </c>
      <c r="T183" s="93">
        <f>SUM('1:2'!T183)</f>
        <v>0</v>
      </c>
      <c r="U183" s="93">
        <f>SUM('1:2'!U183)</f>
        <v>0</v>
      </c>
      <c r="V183" s="206">
        <f t="shared" si="63"/>
        <v>0</v>
      </c>
      <c r="W183" s="33" t="str">
        <f t="shared" si="64"/>
        <v/>
      </c>
      <c r="X183" s="93">
        <f>SUM('1:2'!X183)</f>
        <v>0</v>
      </c>
      <c r="Y183" s="93">
        <f>SUM('1:2'!Y183)</f>
        <v>0</v>
      </c>
      <c r="Z183" s="93">
        <f>SUM('1:2'!Z183)</f>
        <v>0</v>
      </c>
      <c r="AA183" s="93">
        <f>SUM('1:2'!AA183)</f>
        <v>0</v>
      </c>
      <c r="AB183" s="358">
        <v>0.55000000000000004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32">
        <v>30100059</v>
      </c>
      <c r="B184" s="62" t="s">
        <v>59</v>
      </c>
      <c r="C184" s="16" t="s">
        <v>60</v>
      </c>
      <c r="D184" s="17">
        <v>5.03</v>
      </c>
      <c r="E184" s="17"/>
      <c r="F184" s="6"/>
      <c r="G184" s="93">
        <f>SUM('1:2'!G184)</f>
        <v>0</v>
      </c>
      <c r="H184" s="95">
        <f>D184*G184</f>
        <v>0</v>
      </c>
      <c r="I184" s="93">
        <f>SUM('1:2'!I184)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SUM('1:2'!N184)</f>
        <v>0</v>
      </c>
      <c r="O184" s="93">
        <f>SUM('1:2'!O184)</f>
        <v>0</v>
      </c>
      <c r="P184" s="93">
        <f>SUM('1:2'!P184)</f>
        <v>0</v>
      </c>
      <c r="Q184" s="93">
        <f>SUM('1:2'!Q184)</f>
        <v>0</v>
      </c>
      <c r="R184" s="93">
        <f>SUM('1:2'!R184)</f>
        <v>0</v>
      </c>
      <c r="S184" s="93">
        <f>SUM('1:2'!S184)</f>
        <v>0</v>
      </c>
      <c r="T184" s="93">
        <f>SUM('1:2'!T184)</f>
        <v>0</v>
      </c>
      <c r="U184" s="93">
        <f>SUM('1:2'!U184)</f>
        <v>0</v>
      </c>
      <c r="V184" s="206">
        <f t="shared" si="63"/>
        <v>0</v>
      </c>
      <c r="W184" s="33" t="str">
        <f t="shared" si="64"/>
        <v/>
      </c>
      <c r="X184" s="93">
        <f>SUM('1:2'!X184)</f>
        <v>0</v>
      </c>
      <c r="Y184" s="93">
        <f>SUM('1:2'!Y184)</f>
        <v>0</v>
      </c>
      <c r="Z184" s="93">
        <f>SUM('1:2'!Z184)</f>
        <v>0</v>
      </c>
      <c r="AA184" s="93">
        <f>SUM('1:2'!AA184)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5.75">
      <c r="A185" s="302">
        <v>30100060</v>
      </c>
      <c r="B185" s="62" t="s">
        <v>59</v>
      </c>
      <c r="C185" s="16" t="s">
        <v>61</v>
      </c>
      <c r="D185" s="17">
        <v>5.03</v>
      </c>
      <c r="E185" s="17"/>
      <c r="F185" s="6"/>
      <c r="G185" s="93">
        <f>SUM('1:2'!G185)</f>
        <v>0</v>
      </c>
      <c r="H185" s="95">
        <f t="shared" ref="H185:H198" si="66">D185*G185</f>
        <v>0</v>
      </c>
      <c r="I185" s="93">
        <f>SUM('1:2'!I185)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3</v>
      </c>
      <c r="M185" s="36">
        <f t="shared" si="62"/>
        <v>0</v>
      </c>
      <c r="N185" s="93">
        <f>SUM('1:2'!N185)</f>
        <v>0</v>
      </c>
      <c r="O185" s="93">
        <f>SUM('1:2'!O185)</f>
        <v>0</v>
      </c>
      <c r="P185" s="93">
        <f>SUM('1:2'!P185)</f>
        <v>0</v>
      </c>
      <c r="Q185" s="93">
        <f>SUM('1:2'!Q185)</f>
        <v>0</v>
      </c>
      <c r="R185" s="93">
        <f>SUM('1:2'!R185)</f>
        <v>0</v>
      </c>
      <c r="S185" s="93">
        <f>SUM('1:2'!S185)</f>
        <v>0</v>
      </c>
      <c r="T185" s="93">
        <f>SUM('1:2'!T185)</f>
        <v>0</v>
      </c>
      <c r="U185" s="93">
        <f>SUM('1:2'!U185)</f>
        <v>0</v>
      </c>
      <c r="V185" s="206">
        <f t="shared" si="63"/>
        <v>0</v>
      </c>
      <c r="W185" s="33" t="str">
        <f t="shared" si="64"/>
        <v/>
      </c>
      <c r="X185" s="93">
        <f>SUM('1:2'!X185)</f>
        <v>0</v>
      </c>
      <c r="Y185" s="93">
        <f>SUM('1:2'!Y185)</f>
        <v>0</v>
      </c>
      <c r="Z185" s="93">
        <f>SUM('1:2'!Z185)</f>
        <v>0</v>
      </c>
      <c r="AA185" s="93">
        <f>SUM('1:2'!AA185)</f>
        <v>0</v>
      </c>
      <c r="AB185" s="358">
        <v>0.45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30200006</v>
      </c>
      <c r="B186" s="62" t="s">
        <v>62</v>
      </c>
      <c r="C186" s="16" t="s">
        <v>63</v>
      </c>
      <c r="D186" s="17">
        <v>5.04</v>
      </c>
      <c r="E186" s="17"/>
      <c r="F186" s="79"/>
      <c r="G186" s="93">
        <f>SUM('1:2'!G186)</f>
        <v>0</v>
      </c>
      <c r="H186" s="95">
        <f t="shared" si="66"/>
        <v>0</v>
      </c>
      <c r="I186" s="93">
        <f>SUM('1:2'!I186)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SUM('1:2'!N186)</f>
        <v>0</v>
      </c>
      <c r="O186" s="93">
        <f>SUM('1:2'!O186)</f>
        <v>0</v>
      </c>
      <c r="P186" s="93">
        <f>SUM('1:2'!P186)</f>
        <v>0</v>
      </c>
      <c r="Q186" s="93">
        <f>SUM('1:2'!Q186)</f>
        <v>0</v>
      </c>
      <c r="R186" s="93">
        <f>SUM('1:2'!R186)</f>
        <v>0</v>
      </c>
      <c r="S186" s="93">
        <f>SUM('1:2'!S186)</f>
        <v>0</v>
      </c>
      <c r="T186" s="93">
        <f>SUM('1:2'!T186)</f>
        <v>0</v>
      </c>
      <c r="U186" s="93">
        <f>SUM('1:2'!U186)</f>
        <v>0</v>
      </c>
      <c r="V186" s="206">
        <f t="shared" si="63"/>
        <v>0</v>
      </c>
      <c r="W186" s="33" t="str">
        <f t="shared" si="64"/>
        <v/>
      </c>
      <c r="X186" s="93">
        <f>SUM('1:2'!X186)</f>
        <v>0</v>
      </c>
      <c r="Y186" s="93">
        <f>SUM('1:2'!Y186)</f>
        <v>0</v>
      </c>
      <c r="Z186" s="93">
        <f>SUM('1:2'!Z186)</f>
        <v>0</v>
      </c>
      <c r="AA186" s="93">
        <f>SUM('1:2'!AA186)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250"/>
      <c r="AM186" s="54"/>
      <c r="AN186" s="54"/>
      <c r="AO186" s="54"/>
      <c r="AP186" s="250"/>
      <c r="AQ186" s="250"/>
      <c r="AR186" s="250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6">
        <v>30200005</v>
      </c>
      <c r="B187" s="62" t="s">
        <v>62</v>
      </c>
      <c r="C187" s="16" t="s">
        <v>64</v>
      </c>
      <c r="D187" s="17">
        <v>5.04</v>
      </c>
      <c r="E187" s="17"/>
      <c r="F187" s="79"/>
      <c r="G187" s="93">
        <f>SUM('1:2'!G187)</f>
        <v>563</v>
      </c>
      <c r="H187" s="95">
        <f t="shared" si="66"/>
        <v>2837.52</v>
      </c>
      <c r="I187" s="93">
        <f>SUM('1:2'!I187)</f>
        <v>37.5</v>
      </c>
      <c r="J187" s="31">
        <f t="array" ref="J187">IF(ISERROR(G187/I187),"",G187/I187)</f>
        <v>15.013333333333334</v>
      </c>
      <c r="K187" s="35">
        <f t="array" ref="K187">IF(ISERROR(G187/L187),"",G187/L187)</f>
        <v>33.117647058823529</v>
      </c>
      <c r="L187" s="87">
        <v>17</v>
      </c>
      <c r="M187" s="36">
        <f t="shared" si="62"/>
        <v>4.382352941176471</v>
      </c>
      <c r="N187" s="93">
        <f>SUM('1:2'!N187)</f>
        <v>0</v>
      </c>
      <c r="O187" s="93">
        <f>SUM('1:2'!O187)</f>
        <v>0</v>
      </c>
      <c r="P187" s="93">
        <f>SUM('1:2'!P187)</f>
        <v>0</v>
      </c>
      <c r="Q187" s="93">
        <f>SUM('1:2'!Q187)</f>
        <v>0</v>
      </c>
      <c r="R187" s="93">
        <f>SUM('1:2'!R187)</f>
        <v>0</v>
      </c>
      <c r="S187" s="93">
        <f>SUM('1:2'!S187)</f>
        <v>0</v>
      </c>
      <c r="T187" s="93">
        <f>SUM('1:2'!T187)</f>
        <v>0</v>
      </c>
      <c r="U187" s="93">
        <f>SUM('1:2'!U187)</f>
        <v>0</v>
      </c>
      <c r="V187" s="206">
        <f t="shared" si="63"/>
        <v>0</v>
      </c>
      <c r="W187" s="33">
        <f t="shared" si="64"/>
        <v>0</v>
      </c>
      <c r="X187" s="93">
        <f>SUM('1:2'!X187)</f>
        <v>0</v>
      </c>
      <c r="Y187" s="93">
        <f>SUM('1:2'!Y187)</f>
        <v>0</v>
      </c>
      <c r="Z187" s="93">
        <f>SUM('1:2'!Z187)</f>
        <v>0</v>
      </c>
      <c r="AA187" s="93">
        <f>SUM('1:2'!AA187)</f>
        <v>0</v>
      </c>
      <c r="AB187" s="358">
        <v>0.61</v>
      </c>
      <c r="AC187" s="269">
        <f t="shared" si="65"/>
        <v>343.43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7.25">
      <c r="A188" s="318">
        <v>30100063</v>
      </c>
      <c r="B188" s="202" t="s">
        <v>171</v>
      </c>
      <c r="C188" s="16" t="s">
        <v>379</v>
      </c>
      <c r="D188" s="108"/>
      <c r="E188" s="17"/>
      <c r="F188" s="6"/>
      <c r="G188" s="93">
        <f>SUM('1:2'!G188)</f>
        <v>0</v>
      </c>
      <c r="H188" s="95">
        <f t="shared" si="66"/>
        <v>0</v>
      </c>
      <c r="I188" s="93">
        <f>SUM('1:2'!I188)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SUM('1:2'!N188)</f>
        <v>0</v>
      </c>
      <c r="O188" s="93">
        <f>SUM('1:2'!O188)</f>
        <v>0</v>
      </c>
      <c r="P188" s="93">
        <f>SUM('1:2'!P188)</f>
        <v>0</v>
      </c>
      <c r="Q188" s="93">
        <f>SUM('1:2'!Q188)</f>
        <v>0</v>
      </c>
      <c r="R188" s="93">
        <f>SUM('1:2'!R188)</f>
        <v>0</v>
      </c>
      <c r="S188" s="93">
        <f>SUM('1:2'!S188)</f>
        <v>0</v>
      </c>
      <c r="T188" s="93">
        <f>SUM('1:2'!T188)</f>
        <v>0</v>
      </c>
      <c r="U188" s="93">
        <f>SUM('1:2'!U188)</f>
        <v>0</v>
      </c>
      <c r="V188" s="206">
        <f t="shared" si="63"/>
        <v>0</v>
      </c>
      <c r="W188" s="33" t="str">
        <f t="shared" si="64"/>
        <v/>
      </c>
      <c r="X188" s="93">
        <f>SUM('1:2'!X188)</f>
        <v>0</v>
      </c>
      <c r="Y188" s="93">
        <f>SUM('1:2'!Y188)</f>
        <v>0</v>
      </c>
      <c r="Z188" s="93">
        <f>SUM('1:2'!Z188)</f>
        <v>0</v>
      </c>
      <c r="AA188" s="93">
        <f>SUM('1:2'!AA188)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5.75">
      <c r="A189" s="302">
        <v>30100061</v>
      </c>
      <c r="B189" s="202" t="s">
        <v>171</v>
      </c>
      <c r="C189" s="16" t="s">
        <v>173</v>
      </c>
      <c r="D189" s="108"/>
      <c r="E189" s="17"/>
      <c r="F189" s="6"/>
      <c r="G189" s="93">
        <f>SUM('1:2'!G189)</f>
        <v>0</v>
      </c>
      <c r="H189" s="95">
        <f t="shared" si="66"/>
        <v>0</v>
      </c>
      <c r="I189" s="93">
        <f>SUM('1:2'!I189)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17</v>
      </c>
      <c r="M189" s="36">
        <f t="shared" si="62"/>
        <v>0</v>
      </c>
      <c r="N189" s="93">
        <f>SUM('1:2'!N189)</f>
        <v>0</v>
      </c>
      <c r="O189" s="93">
        <f>SUM('1:2'!O189)</f>
        <v>0</v>
      </c>
      <c r="P189" s="93">
        <f>SUM('1:2'!P189)</f>
        <v>0</v>
      </c>
      <c r="Q189" s="93">
        <f>SUM('1:2'!Q189)</f>
        <v>0</v>
      </c>
      <c r="R189" s="93">
        <f>SUM('1:2'!R189)</f>
        <v>0</v>
      </c>
      <c r="S189" s="93">
        <f>SUM('1:2'!S189)</f>
        <v>0</v>
      </c>
      <c r="T189" s="93">
        <f>SUM('1:2'!T189)</f>
        <v>0</v>
      </c>
      <c r="U189" s="93">
        <f>SUM('1:2'!U189)</f>
        <v>0</v>
      </c>
      <c r="V189" s="206">
        <f t="shared" si="63"/>
        <v>0</v>
      </c>
      <c r="W189" s="33" t="str">
        <f t="shared" si="64"/>
        <v/>
      </c>
      <c r="X189" s="93">
        <f>SUM('1:2'!X189)</f>
        <v>0</v>
      </c>
      <c r="Y189" s="93">
        <f>SUM('1:2'!Y189)</f>
        <v>0</v>
      </c>
      <c r="Z189" s="93">
        <f>SUM('1:2'!Z189)</f>
        <v>0</v>
      </c>
      <c r="AA189" s="93">
        <f>SUM('1:2'!AA189)</f>
        <v>0</v>
      </c>
      <c r="AB189" s="358">
        <v>0.43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30200001</v>
      </c>
      <c r="B190" s="202" t="s">
        <v>67</v>
      </c>
      <c r="C190" s="16" t="s">
        <v>63</v>
      </c>
      <c r="D190" s="108">
        <v>5.0599999999999996</v>
      </c>
      <c r="E190" s="17"/>
      <c r="F190" s="6"/>
      <c r="G190" s="93">
        <f>SUM('1:2'!G190)</f>
        <v>793</v>
      </c>
      <c r="H190" s="95">
        <f t="shared" si="66"/>
        <v>4012.5799999999995</v>
      </c>
      <c r="I190" s="93">
        <f>SUM('1:2'!I190)</f>
        <v>61.5</v>
      </c>
      <c r="J190" s="31">
        <f t="array" ref="J190">IF(ISERROR(G190/I190),"",G190/I190)</f>
        <v>12.894308943089431</v>
      </c>
      <c r="K190" s="35">
        <f t="array" ref="K190">IF(ISERROR(G190/L190),"",G190/L190)</f>
        <v>41.736842105263158</v>
      </c>
      <c r="L190" s="87">
        <v>19</v>
      </c>
      <c r="M190" s="36">
        <f>IF(ISERROR(I190-K190),"",I190-K190)</f>
        <v>19.763157894736842</v>
      </c>
      <c r="N190" s="93">
        <f>SUM('1:2'!N190)</f>
        <v>0</v>
      </c>
      <c r="O190" s="93">
        <f>SUM('1:2'!O190)</f>
        <v>0</v>
      </c>
      <c r="P190" s="93">
        <f>SUM('1:2'!P190)</f>
        <v>0</v>
      </c>
      <c r="Q190" s="93">
        <f>SUM('1:2'!Q190)</f>
        <v>0</v>
      </c>
      <c r="R190" s="93">
        <f>SUM('1:2'!R190)</f>
        <v>0</v>
      </c>
      <c r="S190" s="93">
        <f>SUM('1:2'!S190)</f>
        <v>0</v>
      </c>
      <c r="T190" s="93">
        <f>SUM('1:2'!T190)</f>
        <v>0</v>
      </c>
      <c r="U190" s="93">
        <f>SUM('1:2'!U190)</f>
        <v>0</v>
      </c>
      <c r="V190" s="206">
        <f>SUM(X190:AA190)</f>
        <v>0</v>
      </c>
      <c r="W190" s="33">
        <f>IF(ISERROR(V190/G190),"",V190/G190)</f>
        <v>0</v>
      </c>
      <c r="X190" s="93">
        <f>SUM('1:2'!X190)</f>
        <v>0</v>
      </c>
      <c r="Y190" s="93">
        <f>SUM('1:2'!Y190)</f>
        <v>0</v>
      </c>
      <c r="Z190" s="93">
        <f>SUM('1:2'!Z190)</f>
        <v>0</v>
      </c>
      <c r="AA190" s="93">
        <f>SUM('1:2'!AA190)</f>
        <v>0</v>
      </c>
      <c r="AB190" s="358">
        <v>0.55000000000000004</v>
      </c>
      <c r="AC190" s="269">
        <f t="shared" si="65"/>
        <v>436.15000000000003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30200002</v>
      </c>
      <c r="B191" s="62" t="s">
        <v>68</v>
      </c>
      <c r="C191" s="16" t="s">
        <v>63</v>
      </c>
      <c r="D191" s="17">
        <v>5.09</v>
      </c>
      <c r="E191" s="17"/>
      <c r="F191" s="6"/>
      <c r="G191" s="93">
        <f>SUM('1:2'!G191)</f>
        <v>1183</v>
      </c>
      <c r="H191" s="95">
        <f t="shared" si="66"/>
        <v>6021.47</v>
      </c>
      <c r="I191" s="93">
        <f>SUM('1:2'!I191)</f>
        <v>57.5</v>
      </c>
      <c r="J191" s="31">
        <f t="array" ref="J191">IF(ISERROR(G191/I191),"",G191/I191)</f>
        <v>20.57391304347826</v>
      </c>
      <c r="K191" s="35">
        <f t="array" ref="K191">IF(ISERROR(G191/L191),"",G191/L191)</f>
        <v>51.434782608695649</v>
      </c>
      <c r="L191" s="87">
        <v>23</v>
      </c>
      <c r="M191" s="36">
        <f t="shared" ref="M191:M194" si="67">IF(ISERROR(I191-K191),"",I191-K191)</f>
        <v>6.0652173913043512</v>
      </c>
      <c r="N191" s="93">
        <f>SUM('1:2'!N191)</f>
        <v>0</v>
      </c>
      <c r="O191" s="93">
        <f>SUM('1:2'!O191)</f>
        <v>0</v>
      </c>
      <c r="P191" s="93">
        <f>SUM('1:2'!P191)</f>
        <v>0</v>
      </c>
      <c r="Q191" s="93">
        <f>SUM('1:2'!Q191)</f>
        <v>0</v>
      </c>
      <c r="R191" s="93">
        <f>SUM('1:2'!R191)</f>
        <v>0</v>
      </c>
      <c r="S191" s="93">
        <f>SUM('1:2'!S191)</f>
        <v>0</v>
      </c>
      <c r="T191" s="93">
        <f>SUM('1:2'!T191)</f>
        <v>0</v>
      </c>
      <c r="U191" s="93">
        <f>SUM('1:2'!U191)</f>
        <v>0</v>
      </c>
      <c r="V191" s="206">
        <f t="shared" ref="V191:V194" si="68">SUM(X191:AA191)</f>
        <v>0</v>
      </c>
      <c r="W191" s="33">
        <f t="shared" ref="W191:W194" si="69">IF(ISERROR(V191/G191),"",V191/G191)</f>
        <v>0</v>
      </c>
      <c r="X191" s="93">
        <f>SUM('1:2'!X191)</f>
        <v>0</v>
      </c>
      <c r="Y191" s="93">
        <f>SUM('1:2'!Y191)</f>
        <v>0</v>
      </c>
      <c r="Z191" s="93">
        <f>SUM('1:2'!Z191)</f>
        <v>0</v>
      </c>
      <c r="AA191" s="93">
        <f>SUM('1:2'!AA191)</f>
        <v>0</v>
      </c>
      <c r="AB191" s="358">
        <v>0.45</v>
      </c>
      <c r="AC191" s="269">
        <f t="shared" si="65"/>
        <v>532.35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30200003</v>
      </c>
      <c r="B192" s="62" t="s">
        <v>68</v>
      </c>
      <c r="C192" s="16" t="s">
        <v>64</v>
      </c>
      <c r="D192" s="17">
        <v>5.09</v>
      </c>
      <c r="E192" s="17"/>
      <c r="F192" s="6"/>
      <c r="G192" s="93">
        <f>SUM('1:2'!G192)</f>
        <v>1100</v>
      </c>
      <c r="H192" s="95">
        <f t="shared" si="66"/>
        <v>5599</v>
      </c>
      <c r="I192" s="93">
        <f>SUM('1:2'!I192)</f>
        <v>62.5</v>
      </c>
      <c r="J192" s="31">
        <f t="array" ref="J192">IF(ISERROR(G192/I192),"",G192/I192)</f>
        <v>17.600000000000001</v>
      </c>
      <c r="K192" s="35">
        <f t="array" ref="K192">IF(ISERROR(G192/L192),"",G192/L192)</f>
        <v>47.826086956521742</v>
      </c>
      <c r="L192" s="87">
        <v>23</v>
      </c>
      <c r="M192" s="36">
        <f t="shared" si="67"/>
        <v>14.673913043478258</v>
      </c>
      <c r="N192" s="93">
        <f>SUM('1:2'!N192)</f>
        <v>0</v>
      </c>
      <c r="O192" s="93">
        <f>SUM('1:2'!O192)</f>
        <v>0</v>
      </c>
      <c r="P192" s="93">
        <f>SUM('1:2'!P192)</f>
        <v>0</v>
      </c>
      <c r="Q192" s="93">
        <f>SUM('1:2'!Q192)</f>
        <v>0</v>
      </c>
      <c r="R192" s="93">
        <f>SUM('1:2'!R192)</f>
        <v>0</v>
      </c>
      <c r="S192" s="93">
        <f>SUM('1:2'!S192)</f>
        <v>0</v>
      </c>
      <c r="T192" s="93">
        <f>SUM('1:2'!T192)</f>
        <v>0</v>
      </c>
      <c r="U192" s="93">
        <f>SUM('1:2'!U192)</f>
        <v>0</v>
      </c>
      <c r="V192" s="206">
        <f t="shared" si="68"/>
        <v>0</v>
      </c>
      <c r="W192" s="33">
        <f t="shared" si="69"/>
        <v>0</v>
      </c>
      <c r="X192" s="93">
        <f>SUM('1:2'!X192)</f>
        <v>0</v>
      </c>
      <c r="Y192" s="93">
        <f>SUM('1:2'!Y192)</f>
        <v>0</v>
      </c>
      <c r="Z192" s="93">
        <f>SUM('1:2'!Z192)</f>
        <v>0</v>
      </c>
      <c r="AA192" s="93">
        <f>SUM('1:2'!AA192)</f>
        <v>0</v>
      </c>
      <c r="AB192" s="358">
        <v>0.45</v>
      </c>
      <c r="AC192" s="269">
        <f t="shared" si="65"/>
        <v>495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30100003</v>
      </c>
      <c r="B193" s="141" t="s">
        <v>198</v>
      </c>
      <c r="C193" s="241" t="s">
        <v>190</v>
      </c>
      <c r="D193" s="108">
        <v>4.8</v>
      </c>
      <c r="E193" s="17"/>
      <c r="F193" s="6"/>
      <c r="G193" s="93">
        <f>SUM('1:2'!G193)</f>
        <v>0</v>
      </c>
      <c r="H193" s="95">
        <f t="shared" si="66"/>
        <v>0</v>
      </c>
      <c r="I193" s="93">
        <f>SUM('1:2'!I193)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SUM('1:2'!N193)</f>
        <v>0</v>
      </c>
      <c r="O193" s="93">
        <f>SUM('1:2'!O193)</f>
        <v>0</v>
      </c>
      <c r="P193" s="93">
        <f>SUM('1:2'!P193)</f>
        <v>0</v>
      </c>
      <c r="Q193" s="93">
        <f>SUM('1:2'!Q193)</f>
        <v>0</v>
      </c>
      <c r="R193" s="93">
        <f>SUM('1:2'!R193)</f>
        <v>0</v>
      </c>
      <c r="S193" s="93">
        <f>SUM('1:2'!S193)</f>
        <v>0</v>
      </c>
      <c r="T193" s="93">
        <f>SUM('1:2'!T193)</f>
        <v>0</v>
      </c>
      <c r="U193" s="93">
        <f>SUM('1:2'!U193)</f>
        <v>0</v>
      </c>
      <c r="V193" s="206">
        <f t="shared" si="68"/>
        <v>0</v>
      </c>
      <c r="W193" s="33" t="str">
        <f t="shared" si="69"/>
        <v/>
      </c>
      <c r="X193" s="93">
        <f>SUM('1:2'!X193)</f>
        <v>0</v>
      </c>
      <c r="Y193" s="93">
        <f>SUM('1:2'!Y193)</f>
        <v>0</v>
      </c>
      <c r="Z193" s="93">
        <f>SUM('1:2'!Z193)</f>
        <v>0</v>
      </c>
      <c r="AA193" s="93">
        <f>SUM('1:2'!AA193)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30100004</v>
      </c>
      <c r="B194" s="141" t="s">
        <v>198</v>
      </c>
      <c r="C194" s="241" t="s">
        <v>187</v>
      </c>
      <c r="D194" s="108">
        <v>4.8</v>
      </c>
      <c r="E194" s="17"/>
      <c r="F194" s="13"/>
      <c r="G194" s="93">
        <f>SUM('1:2'!G194)</f>
        <v>0</v>
      </c>
      <c r="H194" s="95">
        <f t="shared" si="66"/>
        <v>0</v>
      </c>
      <c r="I194" s="93">
        <f>SUM('1:2'!I194)</f>
        <v>0</v>
      </c>
      <c r="J194" s="31" t="str">
        <f t="array" ref="J194">IF(ISERROR(G194/I194),"",G194/I194)</f>
        <v/>
      </c>
      <c r="K194" s="35">
        <f t="array" ref="K194">IF(ISERROR(G194/L194),"",G194/L194)</f>
        <v>0</v>
      </c>
      <c r="L194" s="87">
        <v>4</v>
      </c>
      <c r="M194" s="36">
        <f t="shared" si="67"/>
        <v>0</v>
      </c>
      <c r="N194" s="93">
        <f>SUM('1:2'!N194)</f>
        <v>0</v>
      </c>
      <c r="O194" s="93">
        <f>SUM('1:2'!O194)</f>
        <v>0</v>
      </c>
      <c r="P194" s="93">
        <f>SUM('1:2'!P194)</f>
        <v>0</v>
      </c>
      <c r="Q194" s="93">
        <f>SUM('1:2'!Q194)</f>
        <v>0</v>
      </c>
      <c r="R194" s="93">
        <f>SUM('1:2'!R194)</f>
        <v>0</v>
      </c>
      <c r="S194" s="93">
        <f>SUM('1:2'!S194)</f>
        <v>0</v>
      </c>
      <c r="T194" s="93">
        <f>SUM('1:2'!T194)</f>
        <v>0</v>
      </c>
      <c r="U194" s="93">
        <f>SUM('1:2'!U194)</f>
        <v>0</v>
      </c>
      <c r="V194" s="206">
        <f t="shared" si="68"/>
        <v>0</v>
      </c>
      <c r="W194" s="33" t="str">
        <f t="shared" si="69"/>
        <v/>
      </c>
      <c r="X194" s="93">
        <f>SUM('1:2'!X194)</f>
        <v>0</v>
      </c>
      <c r="Y194" s="93">
        <f>SUM('1:2'!Y194)</f>
        <v>0</v>
      </c>
      <c r="Z194" s="93">
        <f>SUM('1:2'!Z194)</f>
        <v>0</v>
      </c>
      <c r="AA194" s="93">
        <f>SUM('1:2'!AA194)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30100006</v>
      </c>
      <c r="B195" s="141" t="s">
        <v>198</v>
      </c>
      <c r="C195" s="241" t="s">
        <v>179</v>
      </c>
      <c r="D195" s="108">
        <v>4.8</v>
      </c>
      <c r="E195" s="17"/>
      <c r="F195" s="13"/>
      <c r="G195" s="93">
        <f>SUM('1:2'!G195)</f>
        <v>0</v>
      </c>
      <c r="H195" s="95">
        <f t="shared" si="66"/>
        <v>0</v>
      </c>
      <c r="I195" s="93">
        <f>SUM('1:2'!I195)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SUM('1:2'!N195)</f>
        <v>0</v>
      </c>
      <c r="O195" s="93">
        <f>SUM('1:2'!O195)</f>
        <v>0</v>
      </c>
      <c r="P195" s="93">
        <f>SUM('1:2'!P195)</f>
        <v>0</v>
      </c>
      <c r="Q195" s="93">
        <f>SUM('1:2'!Q195)</f>
        <v>0</v>
      </c>
      <c r="R195" s="93">
        <f>SUM('1:2'!R195)</f>
        <v>0</v>
      </c>
      <c r="S195" s="93">
        <f>SUM('1:2'!S195)</f>
        <v>0</v>
      </c>
      <c r="T195" s="93">
        <f>SUM('1:2'!T195)</f>
        <v>0</v>
      </c>
      <c r="U195" s="93">
        <f>SUM('1:2'!U195)</f>
        <v>0</v>
      </c>
      <c r="V195" s="206"/>
      <c r="W195" s="33"/>
      <c r="X195" s="93">
        <f>SUM('1:2'!X195)</f>
        <v>0</v>
      </c>
      <c r="Y195" s="93">
        <f>SUM('1:2'!Y195)</f>
        <v>0</v>
      </c>
      <c r="Z195" s="93">
        <f>SUM('1:2'!Z195)</f>
        <v>0</v>
      </c>
      <c r="AA195" s="93">
        <f>SUM('1:2'!AA195)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30100005</v>
      </c>
      <c r="B196" s="141" t="s">
        <v>198</v>
      </c>
      <c r="C196" s="241" t="s">
        <v>199</v>
      </c>
      <c r="D196" s="108">
        <v>4.8</v>
      </c>
      <c r="E196" s="17"/>
      <c r="F196" s="13"/>
      <c r="G196" s="93">
        <f>SUM('1:2'!G196)</f>
        <v>0</v>
      </c>
      <c r="H196" s="95">
        <f t="shared" si="66"/>
        <v>0</v>
      </c>
      <c r="I196" s="93">
        <f>SUM('1:2'!I196)</f>
        <v>0</v>
      </c>
      <c r="J196" s="31"/>
      <c r="K196" s="35">
        <f t="array" ref="K196">IF(ISERROR(G196/L196),"",G196/L196)</f>
        <v>0</v>
      </c>
      <c r="L196" s="87">
        <v>4</v>
      </c>
      <c r="M196" s="36">
        <f>IF(ISERROR(I196-K196),"",I196-K196)</f>
        <v>0</v>
      </c>
      <c r="N196" s="93">
        <f>SUM('1:2'!N196)</f>
        <v>0</v>
      </c>
      <c r="O196" s="93">
        <f>SUM('1:2'!O196)</f>
        <v>0</v>
      </c>
      <c r="P196" s="93">
        <f>SUM('1:2'!P196)</f>
        <v>0</v>
      </c>
      <c r="Q196" s="93">
        <f>SUM('1:2'!Q196)</f>
        <v>0</v>
      </c>
      <c r="R196" s="93">
        <f>SUM('1:2'!R196)</f>
        <v>0</v>
      </c>
      <c r="S196" s="93">
        <f>SUM('1:2'!S196)</f>
        <v>0</v>
      </c>
      <c r="T196" s="93">
        <f>SUM('1:2'!T196)</f>
        <v>0</v>
      </c>
      <c r="U196" s="93">
        <f>SUM('1:2'!U196)</f>
        <v>0</v>
      </c>
      <c r="V196" s="206"/>
      <c r="W196" s="33"/>
      <c r="X196" s="93">
        <f>SUM('1:2'!X196)</f>
        <v>0</v>
      </c>
      <c r="Y196" s="93">
        <f>SUM('1:2'!Y196)</f>
        <v>0</v>
      </c>
      <c r="Z196" s="93">
        <f>SUM('1:2'!Z196)</f>
        <v>0</v>
      </c>
      <c r="AA196" s="93">
        <f>SUM('1:2'!AA196)</f>
        <v>0</v>
      </c>
      <c r="AB196" s="358">
        <v>0.95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7.25">
      <c r="A197" s="316">
        <v>30100009</v>
      </c>
      <c r="B197" s="141" t="s">
        <v>200</v>
      </c>
      <c r="C197" s="126" t="s">
        <v>190</v>
      </c>
      <c r="D197" s="108">
        <v>4.99</v>
      </c>
      <c r="E197" s="17"/>
      <c r="F197" s="13"/>
      <c r="G197" s="93">
        <f>SUM('1:2'!G197)</f>
        <v>37</v>
      </c>
      <c r="H197" s="95">
        <f t="shared" si="66"/>
        <v>184.63</v>
      </c>
      <c r="I197" s="93">
        <f>SUM('1:2'!I197)</f>
        <v>0.5</v>
      </c>
      <c r="J197" s="31"/>
      <c r="K197" s="35">
        <f t="array" ref="K197">IF(ISERROR(G197/L197),"",G197/L197)</f>
        <v>1.574468085106383</v>
      </c>
      <c r="L197" s="87">
        <v>23.5</v>
      </c>
      <c r="M197" s="36">
        <f>IF(ISERROR(I197-K197),"",I197-K197)</f>
        <v>-1.074468085106383</v>
      </c>
      <c r="N197" s="93">
        <f>SUM('1:2'!N197)</f>
        <v>0</v>
      </c>
      <c r="O197" s="93">
        <f>SUM('1:2'!O197)</f>
        <v>0</v>
      </c>
      <c r="P197" s="93">
        <f>SUM('1:2'!P197)</f>
        <v>0</v>
      </c>
      <c r="Q197" s="93">
        <f>SUM('1:2'!Q197)</f>
        <v>0</v>
      </c>
      <c r="R197" s="93">
        <f>SUM('1:2'!R197)</f>
        <v>0</v>
      </c>
      <c r="S197" s="93">
        <f>SUM('1:2'!S197)</f>
        <v>0</v>
      </c>
      <c r="T197" s="93">
        <f>SUM('1:2'!T197)</f>
        <v>0</v>
      </c>
      <c r="U197" s="93">
        <f>SUM('1:2'!U197)</f>
        <v>0</v>
      </c>
      <c r="V197" s="206"/>
      <c r="W197" s="33"/>
      <c r="X197" s="93">
        <f>SUM('1:2'!X197)</f>
        <v>0</v>
      </c>
      <c r="Y197" s="93">
        <f>SUM('1:2'!Y197)</f>
        <v>0</v>
      </c>
      <c r="Z197" s="93">
        <f>SUM('1:2'!Z197)</f>
        <v>0</v>
      </c>
      <c r="AA197" s="93">
        <f>SUM('1:2'!AA197)</f>
        <v>0</v>
      </c>
      <c r="AB197" s="358">
        <v>0.44</v>
      </c>
      <c r="AC197" s="269">
        <f t="shared" si="65"/>
        <v>16.28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299">
        <v>30200004</v>
      </c>
      <c r="B198" s="141" t="s">
        <v>200</v>
      </c>
      <c r="C198" s="126" t="s">
        <v>189</v>
      </c>
      <c r="D198" s="108">
        <v>4.99</v>
      </c>
      <c r="E198" s="17"/>
      <c r="F198" s="13"/>
      <c r="G198" s="93">
        <f>SUM('1:2'!G198)</f>
        <v>0</v>
      </c>
      <c r="H198" s="95">
        <f t="shared" si="66"/>
        <v>0</v>
      </c>
      <c r="I198" s="93">
        <f>SUM('1:2'!I198)</f>
        <v>0</v>
      </c>
      <c r="J198" s="31"/>
      <c r="K198" s="35">
        <f t="array" ref="K198">IF(ISERROR(G198/L198),"",G198/L198)</f>
        <v>0</v>
      </c>
      <c r="L198" s="87">
        <v>23.5</v>
      </c>
      <c r="M198" s="36">
        <f>IF(ISERROR(I198-K198),"",I198-K198)</f>
        <v>0</v>
      </c>
      <c r="N198" s="93">
        <f>SUM('1:2'!N198)</f>
        <v>0</v>
      </c>
      <c r="O198" s="93">
        <f>SUM('1:2'!O198)</f>
        <v>0</v>
      </c>
      <c r="P198" s="93">
        <f>SUM('1:2'!P198)</f>
        <v>0</v>
      </c>
      <c r="Q198" s="93">
        <f>SUM('1:2'!Q198)</f>
        <v>0</v>
      </c>
      <c r="R198" s="93">
        <f>SUM('1:2'!R198)</f>
        <v>0</v>
      </c>
      <c r="S198" s="93">
        <f>SUM('1:2'!S198)</f>
        <v>0</v>
      </c>
      <c r="T198" s="93">
        <f>SUM('1:2'!T198)</f>
        <v>0</v>
      </c>
      <c r="U198" s="93">
        <f>SUM('1:2'!U198)</f>
        <v>0</v>
      </c>
      <c r="V198" s="206"/>
      <c r="W198" s="33"/>
      <c r="X198" s="93">
        <f>SUM('1:2'!X198)</f>
        <v>0</v>
      </c>
      <c r="Y198" s="93">
        <f>SUM('1:2'!Y198)</f>
        <v>0</v>
      </c>
      <c r="Z198" s="93">
        <f>SUM('1:2'!Z198)</f>
        <v>0</v>
      </c>
      <c r="AA198" s="93">
        <f>SUM('1:2'!AA198)</f>
        <v>0</v>
      </c>
      <c r="AB198" s="358">
        <v>0.44</v>
      </c>
      <c r="AC198" s="269">
        <f t="shared" si="65"/>
        <v>0</v>
      </c>
      <c r="AD198" s="251"/>
      <c r="AE198" s="54"/>
      <c r="AF198" s="54"/>
      <c r="AG198" s="54"/>
      <c r="AH198" s="54"/>
      <c r="AI198" s="57"/>
      <c r="AJ198" s="57"/>
      <c r="AK198" s="57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</row>
    <row r="199" spans="1:53" ht="15.75">
      <c r="A199" s="737" t="s">
        <v>70</v>
      </c>
      <c r="B199" s="738"/>
      <c r="C199" s="31" t="s">
        <v>71</v>
      </c>
      <c r="D199" s="30"/>
      <c r="E199" s="30"/>
      <c r="F199" s="30"/>
      <c r="G199" s="94">
        <f>SUM(G178:G198)</f>
        <v>4672</v>
      </c>
      <c r="H199" s="30">
        <f>SUM(H178:H198)</f>
        <v>23665.08</v>
      </c>
      <c r="I199" s="30">
        <f>SUM(I178:I198)</f>
        <v>293.55</v>
      </c>
      <c r="J199" s="31">
        <f t="array" ref="J199">IF(ISERROR(G199/I199),"",G199/I199)</f>
        <v>15.915516947709078</v>
      </c>
      <c r="K199" s="30">
        <f>SUM(K178:K198)</f>
        <v>226.04508997230522</v>
      </c>
      <c r="L199" s="98"/>
      <c r="M199" s="89">
        <f t="shared" ref="M199:AA199" si="70">SUM(M178:M198)</f>
        <v>67.504910027694791</v>
      </c>
      <c r="N199" s="30">
        <f t="shared" si="70"/>
        <v>0</v>
      </c>
      <c r="O199" s="34">
        <f t="shared" si="70"/>
        <v>0</v>
      </c>
      <c r="P199" s="34">
        <f t="shared" si="70"/>
        <v>0</v>
      </c>
      <c r="Q199" s="34">
        <f t="shared" si="70"/>
        <v>0</v>
      </c>
      <c r="R199" s="34">
        <f t="shared" si="70"/>
        <v>0</v>
      </c>
      <c r="S199" s="34">
        <f t="shared" si="70"/>
        <v>0</v>
      </c>
      <c r="T199" s="34">
        <f t="shared" si="70"/>
        <v>0</v>
      </c>
      <c r="U199" s="34">
        <f t="shared" si="70"/>
        <v>0</v>
      </c>
      <c r="V199" s="206">
        <f t="shared" si="70"/>
        <v>0</v>
      </c>
      <c r="W199" s="33">
        <f t="shared" si="70"/>
        <v>0</v>
      </c>
      <c r="X199" s="92">
        <f t="shared" si="70"/>
        <v>0</v>
      </c>
      <c r="Y199" s="92">
        <f t="shared" si="70"/>
        <v>0</v>
      </c>
      <c r="Z199" s="92">
        <f t="shared" si="70"/>
        <v>0</v>
      </c>
      <c r="AA199" s="92">
        <f t="shared" si="70"/>
        <v>0</v>
      </c>
      <c r="AB199" s="87"/>
      <c r="AC199" s="91">
        <f>SUM(AC178:AC198)</f>
        <v>2347.4600000000005</v>
      </c>
      <c r="AD199" s="58"/>
      <c r="AE199" s="70"/>
      <c r="AF199" s="70"/>
      <c r="AG199" s="70"/>
      <c r="AH199" s="70"/>
      <c r="AI199" s="58"/>
      <c r="AJ199" s="58"/>
      <c r="AK199" s="58"/>
      <c r="AL199" s="58"/>
      <c r="AM199" s="58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</row>
    <row r="200" spans="1:53" ht="17.25">
      <c r="A200" s="316">
        <v>30100012</v>
      </c>
      <c r="B200" s="61" t="s">
        <v>76</v>
      </c>
      <c r="C200" s="16" t="s">
        <v>73</v>
      </c>
      <c r="D200" s="17">
        <v>5.03</v>
      </c>
      <c r="E200" s="17"/>
      <c r="F200" s="6"/>
      <c r="G200" s="93">
        <f>SUM('1:2'!G200)</f>
        <v>0</v>
      </c>
      <c r="H200" s="246">
        <f t="shared" ref="H200:H256" si="71">D200*G200</f>
        <v>0</v>
      </c>
      <c r="I200" s="93">
        <f>SUM('1:2'!I200)</f>
        <v>0</v>
      </c>
      <c r="J200" s="31" t="str">
        <f t="array" ref="J200">IF(ISERROR(G200/I200),"",G200/I200)</f>
        <v/>
      </c>
      <c r="K200" s="35">
        <f t="array" ref="K200">IF(ISERROR(G200/L200),"",G200/L200)</f>
        <v>0</v>
      </c>
      <c r="L200" s="87">
        <v>52</v>
      </c>
      <c r="M200" s="36">
        <f t="shared" ref="M200" si="72">IF(ISERROR(I200-K200),"",I200-K200)</f>
        <v>0</v>
      </c>
      <c r="N200" s="93">
        <f>SUM('1:2'!N200)</f>
        <v>0</v>
      </c>
      <c r="O200" s="93">
        <f>SUM('1:2'!O200)</f>
        <v>0</v>
      </c>
      <c r="P200" s="93">
        <f>SUM('1:2'!P200)</f>
        <v>0</v>
      </c>
      <c r="Q200" s="93">
        <f>SUM('1:2'!Q200)</f>
        <v>0</v>
      </c>
      <c r="R200" s="93">
        <f>SUM('1:2'!R200)</f>
        <v>0</v>
      </c>
      <c r="S200" s="93">
        <f>SUM('1:2'!S200)</f>
        <v>0</v>
      </c>
      <c r="T200" s="93">
        <f>SUM('1:2'!T200)</f>
        <v>0</v>
      </c>
      <c r="U200" s="93">
        <f>SUM('1:2'!U200)</f>
        <v>0</v>
      </c>
      <c r="V200" s="206">
        <f t="shared" ref="V200" si="73">SUM(X200:AA200)</f>
        <v>0</v>
      </c>
      <c r="W200" s="33" t="str">
        <f t="shared" ref="W200" si="74">IF(ISERROR(V200/G200),"",V200/G200)</f>
        <v/>
      </c>
      <c r="X200" s="93">
        <f>SUM('1:2'!X200)</f>
        <v>0</v>
      </c>
      <c r="Y200" s="93">
        <f>SUM('1:2'!Y200)</f>
        <v>0</v>
      </c>
      <c r="Z200" s="93">
        <f>SUM('1:2'!Z200)</f>
        <v>0</v>
      </c>
      <c r="AA200" s="93">
        <f>SUM('1:2'!AA200)</f>
        <v>0</v>
      </c>
      <c r="AB200" s="358">
        <v>0.19</v>
      </c>
      <c r="AC200" s="269">
        <f t="shared" ref="AC200:AC256" si="75">AB200*G200</f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>
      <c r="A201" s="316">
        <v>30100011</v>
      </c>
      <c r="B201" s="190" t="s">
        <v>425</v>
      </c>
      <c r="C201" s="187" t="s">
        <v>427</v>
      </c>
      <c r="D201" s="17">
        <v>5.03</v>
      </c>
      <c r="E201" s="17"/>
      <c r="F201" s="6"/>
      <c r="G201" s="93">
        <f>SUM('1:2'!G201)</f>
        <v>0</v>
      </c>
      <c r="H201" s="246">
        <f t="shared" si="71"/>
        <v>0</v>
      </c>
      <c r="I201" s="93">
        <f>SUM('1:2'!I201)</f>
        <v>0</v>
      </c>
      <c r="J201" s="31"/>
      <c r="K201" s="35"/>
      <c r="L201" s="87">
        <v>52</v>
      </c>
      <c r="M201" s="36"/>
      <c r="N201" s="93"/>
      <c r="O201" s="93"/>
      <c r="P201" s="93"/>
      <c r="Q201" s="93"/>
      <c r="R201" s="93"/>
      <c r="S201" s="93"/>
      <c r="T201" s="93"/>
      <c r="U201" s="93"/>
      <c r="V201" s="206"/>
      <c r="W201" s="33"/>
      <c r="X201" s="93"/>
      <c r="Y201" s="93"/>
      <c r="Z201" s="93"/>
      <c r="AA201" s="93"/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 customHeight="1">
      <c r="A202" s="316">
        <v>30100010</v>
      </c>
      <c r="B202" s="61" t="s">
        <v>76</v>
      </c>
      <c r="C202" s="16" t="s">
        <v>60</v>
      </c>
      <c r="D202" s="17">
        <v>5.03</v>
      </c>
      <c r="E202" s="17"/>
      <c r="F202" s="6"/>
      <c r="G202" s="93">
        <f>SUM('1:2'!G202)</f>
        <v>0</v>
      </c>
      <c r="H202" s="246">
        <f t="shared" si="71"/>
        <v>0</v>
      </c>
      <c r="I202" s="93">
        <f>SUM('1:2'!I202)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 t="shared" ref="M202" si="76">IF(ISERROR(I202-K202),"",I202-K202)</f>
        <v>0</v>
      </c>
      <c r="N202" s="93">
        <f>SUM('1:2'!N202)</f>
        <v>0</v>
      </c>
      <c r="O202" s="93">
        <f>SUM('1:2'!O202)</f>
        <v>0</v>
      </c>
      <c r="P202" s="93">
        <f>SUM('1:2'!P202)</f>
        <v>0</v>
      </c>
      <c r="Q202" s="93">
        <f>SUM('1:2'!Q202)</f>
        <v>0</v>
      </c>
      <c r="R202" s="93">
        <f>SUM('1:2'!R202)</f>
        <v>0</v>
      </c>
      <c r="S202" s="93">
        <f>SUM('1:2'!S202)</f>
        <v>0</v>
      </c>
      <c r="T202" s="93">
        <f>SUM('1:2'!T202)</f>
        <v>0</v>
      </c>
      <c r="U202" s="93">
        <f>SUM('1:2'!U202)</f>
        <v>0</v>
      </c>
      <c r="V202" s="206">
        <f t="shared" ref="V202:V204" si="77">SUM(X202:AA202)</f>
        <v>0</v>
      </c>
      <c r="W202" s="33" t="str">
        <f t="shared" ref="W202:W204" si="78">IF(ISERROR(V202/G202),"",V202/G202)</f>
        <v/>
      </c>
      <c r="X202" s="93">
        <f>SUM('1:2'!X202)</f>
        <v>0</v>
      </c>
      <c r="Y202" s="93">
        <f>SUM('1:2'!Y202)</f>
        <v>0</v>
      </c>
      <c r="Z202" s="93">
        <f>SUM('1:2'!Z202)</f>
        <v>0</v>
      </c>
      <c r="AA202" s="93">
        <f>SUM('1:2'!AA202)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30100014</v>
      </c>
      <c r="B203" s="61" t="s">
        <v>76</v>
      </c>
      <c r="C203" s="16" t="s">
        <v>72</v>
      </c>
      <c r="D203" s="17">
        <v>5.03</v>
      </c>
      <c r="E203" s="17"/>
      <c r="F203" s="6"/>
      <c r="G203" s="93">
        <f>SUM('1:2'!G203)</f>
        <v>0</v>
      </c>
      <c r="H203" s="246">
        <f t="shared" si="71"/>
        <v>0</v>
      </c>
      <c r="I203" s="93">
        <f>SUM('1:2'!I203)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>IF(ISERROR(I203-K203),"",I203-K203)</f>
        <v>0</v>
      </c>
      <c r="N203" s="93">
        <f>SUM('1:2'!N203)</f>
        <v>0</v>
      </c>
      <c r="O203" s="93">
        <f>SUM('1:2'!O203)</f>
        <v>0</v>
      </c>
      <c r="P203" s="93">
        <f>SUM('1:2'!P203)</f>
        <v>0</v>
      </c>
      <c r="Q203" s="93">
        <f>SUM('1:2'!Q203)</f>
        <v>0</v>
      </c>
      <c r="R203" s="93">
        <f>SUM('1:2'!R203)</f>
        <v>0</v>
      </c>
      <c r="S203" s="93">
        <f>SUM('1:2'!S203)</f>
        <v>0</v>
      </c>
      <c r="T203" s="93">
        <f>SUM('1:2'!T203)</f>
        <v>0</v>
      </c>
      <c r="U203" s="93">
        <f>SUM('1:2'!U203)</f>
        <v>0</v>
      </c>
      <c r="V203" s="206">
        <f t="shared" si="77"/>
        <v>0</v>
      </c>
      <c r="W203" s="33" t="str">
        <f t="shared" si="78"/>
        <v/>
      </c>
      <c r="X203" s="93">
        <f>SUM('1:2'!X203)</f>
        <v>0</v>
      </c>
      <c r="Y203" s="93">
        <f>SUM('1:2'!Y203)</f>
        <v>0</v>
      </c>
      <c r="Z203" s="93">
        <f>SUM('1:2'!Z203)</f>
        <v>0</v>
      </c>
      <c r="AA203" s="93">
        <f>SUM('1:2'!AA203)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30100013</v>
      </c>
      <c r="B204" s="61" t="s">
        <v>76</v>
      </c>
      <c r="C204" s="16" t="s">
        <v>77</v>
      </c>
      <c r="D204" s="17">
        <v>5.03</v>
      </c>
      <c r="E204" s="17"/>
      <c r="F204" s="6"/>
      <c r="G204" s="93">
        <f>SUM('1:2'!G204)</f>
        <v>0</v>
      </c>
      <c r="H204" s="296">
        <f t="shared" si="71"/>
        <v>0</v>
      </c>
      <c r="I204" s="93">
        <f>SUM('1:2'!I204)</f>
        <v>0</v>
      </c>
      <c r="J204" s="31" t="str">
        <f t="array" ref="J204">IF(ISERROR(G204/I204),"",G204/I204)</f>
        <v/>
      </c>
      <c r="K204" s="35">
        <f t="array" ref="K204">IF(ISERROR(G204/L204),"",G204/L204)</f>
        <v>0</v>
      </c>
      <c r="L204" s="87">
        <v>52</v>
      </c>
      <c r="M204" s="36">
        <f t="shared" ref="M204" si="79">IF(ISERROR(I204-K204),"",I204-K204)</f>
        <v>0</v>
      </c>
      <c r="N204" s="93">
        <f>SUM('1:2'!N204)</f>
        <v>0</v>
      </c>
      <c r="O204" s="93">
        <f>SUM('1:2'!O204)</f>
        <v>0</v>
      </c>
      <c r="P204" s="93">
        <f>SUM('1:2'!P204)</f>
        <v>0</v>
      </c>
      <c r="Q204" s="93">
        <f>SUM('1:2'!Q204)</f>
        <v>0</v>
      </c>
      <c r="R204" s="93">
        <f>SUM('1:2'!R204)</f>
        <v>0</v>
      </c>
      <c r="S204" s="93">
        <f>SUM('1:2'!S204)</f>
        <v>0</v>
      </c>
      <c r="T204" s="93">
        <f>SUM('1:2'!T204)</f>
        <v>0</v>
      </c>
      <c r="U204" s="93">
        <f>SUM('1:2'!U204)</f>
        <v>0</v>
      </c>
      <c r="V204" s="206">
        <f t="shared" si="77"/>
        <v>0</v>
      </c>
      <c r="W204" s="33" t="str">
        <f t="shared" si="78"/>
        <v/>
      </c>
      <c r="X204" s="93">
        <f>SUM('1:2'!X204)</f>
        <v>0</v>
      </c>
      <c r="Y204" s="93">
        <f>SUM('1:2'!Y204)</f>
        <v>0</v>
      </c>
      <c r="Z204" s="93">
        <f>SUM('1:2'!Z204)</f>
        <v>0</v>
      </c>
      <c r="AA204" s="93">
        <f>SUM('1:2'!AA204)</f>
        <v>0</v>
      </c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30100016</v>
      </c>
      <c r="B205" s="240" t="s">
        <v>414</v>
      </c>
      <c r="C205" s="187" t="s">
        <v>415</v>
      </c>
      <c r="D205" s="17">
        <v>5.03</v>
      </c>
      <c r="E205" s="17"/>
      <c r="F205" s="6"/>
      <c r="G205" s="93">
        <f>SUM('1:2'!G205)</f>
        <v>0</v>
      </c>
      <c r="H205" s="296">
        <f t="shared" si="71"/>
        <v>0</v>
      </c>
      <c r="I205" s="93">
        <f>SUM('1:2'!I205)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30100017</v>
      </c>
      <c r="B206" s="240" t="s">
        <v>414</v>
      </c>
      <c r="C206" s="187" t="s">
        <v>416</v>
      </c>
      <c r="D206" s="17">
        <v>5.03</v>
      </c>
      <c r="E206" s="17"/>
      <c r="F206" s="6"/>
      <c r="G206" s="93">
        <f>SUM('1:2'!G206)</f>
        <v>0</v>
      </c>
      <c r="H206" s="296">
        <f t="shared" si="71"/>
        <v>0</v>
      </c>
      <c r="I206" s="93">
        <f>SUM('1:2'!I206)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30100015</v>
      </c>
      <c r="B207" s="240" t="s">
        <v>414</v>
      </c>
      <c r="C207" s="187" t="s">
        <v>61</v>
      </c>
      <c r="D207" s="17">
        <v>5.03</v>
      </c>
      <c r="E207" s="17"/>
      <c r="F207" s="6"/>
      <c r="G207" s="93">
        <f>SUM('1:2'!G207)</f>
        <v>0</v>
      </c>
      <c r="H207" s="296">
        <f t="shared" si="71"/>
        <v>0</v>
      </c>
      <c r="I207" s="93">
        <f>SUM('1:2'!I207)</f>
        <v>0</v>
      </c>
      <c r="J207" s="31"/>
      <c r="K207" s="35"/>
      <c r="L207" s="87">
        <v>52</v>
      </c>
      <c r="M207" s="36"/>
      <c r="N207" s="93"/>
      <c r="O207" s="93"/>
      <c r="P207" s="93"/>
      <c r="Q207" s="93"/>
      <c r="R207" s="93"/>
      <c r="S207" s="93"/>
      <c r="T207" s="93"/>
      <c r="U207" s="93"/>
      <c r="V207" s="206"/>
      <c r="W207" s="33"/>
      <c r="X207" s="93"/>
      <c r="Y207" s="93"/>
      <c r="Z207" s="93"/>
      <c r="AA207" s="93"/>
      <c r="AB207" s="358">
        <v>0.19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30100027</v>
      </c>
      <c r="B208" s="61" t="s">
        <v>78</v>
      </c>
      <c r="C208" s="16" t="s">
        <v>53</v>
      </c>
      <c r="D208" s="17">
        <v>5.08</v>
      </c>
      <c r="E208" s="17"/>
      <c r="F208" s="6"/>
      <c r="G208" s="93">
        <f>SUM('1:2'!G208)</f>
        <v>477</v>
      </c>
      <c r="H208" s="296">
        <f t="shared" si="71"/>
        <v>2423.16</v>
      </c>
      <c r="I208" s="93">
        <f>SUM('1:2'!I208)</f>
        <v>22.5</v>
      </c>
      <c r="J208" s="31">
        <f t="array" ref="J208">IF(ISERROR(G208/I208),"",G208/I208)</f>
        <v>21.2</v>
      </c>
      <c r="K208" s="35">
        <f t="array" ref="K208">IF(ISERROR(G208/L208),"",G208/L208)</f>
        <v>22.714285714285715</v>
      </c>
      <c r="L208" s="87">
        <v>21</v>
      </c>
      <c r="M208" s="36">
        <f t="shared" ref="M208:M237" si="80">IF(ISERROR(I208-K208),"",I208-K208)</f>
        <v>-0.2142857142857153</v>
      </c>
      <c r="N208" s="93">
        <f>SUM('1:2'!N208)</f>
        <v>0</v>
      </c>
      <c r="O208" s="93">
        <f>SUM('1:2'!O208)</f>
        <v>0</v>
      </c>
      <c r="P208" s="93">
        <f>SUM('1:2'!P208)</f>
        <v>0</v>
      </c>
      <c r="Q208" s="93">
        <f>SUM('1:2'!Q208)</f>
        <v>0</v>
      </c>
      <c r="R208" s="93">
        <f>SUM('1:2'!R208)</f>
        <v>0</v>
      </c>
      <c r="S208" s="93">
        <f>SUM('1:2'!S208)</f>
        <v>0</v>
      </c>
      <c r="T208" s="93">
        <f>SUM('1:2'!T208)</f>
        <v>0</v>
      </c>
      <c r="U208" s="93">
        <f>SUM('1:2'!U208)</f>
        <v>0</v>
      </c>
      <c r="V208" s="206">
        <f t="shared" ref="V208:V219" si="81">SUM(X208:AA208)</f>
        <v>0</v>
      </c>
      <c r="W208" s="33">
        <f t="shared" ref="W208:W219" si="82">IF(ISERROR(V208/G208),"",V208/G208)</f>
        <v>0</v>
      </c>
      <c r="X208" s="93">
        <f>SUM('1:2'!X208)</f>
        <v>0</v>
      </c>
      <c r="Y208" s="93">
        <f>SUM('1:2'!Y208)</f>
        <v>0</v>
      </c>
      <c r="Z208" s="93">
        <f>SUM('1:2'!Z208)</f>
        <v>0</v>
      </c>
      <c r="AA208" s="93">
        <f>SUM('1:2'!AA208)</f>
        <v>0</v>
      </c>
      <c r="AB208" s="358">
        <v>0.49</v>
      </c>
      <c r="AC208" s="269">
        <f t="shared" si="75"/>
        <v>233.73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30100023</v>
      </c>
      <c r="B209" s="61" t="s">
        <v>78</v>
      </c>
      <c r="C209" s="16" t="s">
        <v>74</v>
      </c>
      <c r="D209" s="17">
        <v>5.08</v>
      </c>
      <c r="E209" s="17"/>
      <c r="F209" s="6"/>
      <c r="G209" s="93">
        <f>SUM('1:2'!G209)</f>
        <v>792</v>
      </c>
      <c r="H209" s="296">
        <f t="shared" si="71"/>
        <v>4023.36</v>
      </c>
      <c r="I209" s="93">
        <f>SUM('1:2'!I209)</f>
        <v>56</v>
      </c>
      <c r="J209" s="31">
        <f t="array" ref="J209">IF(ISERROR(G209/I209),"",G209/I209)</f>
        <v>14.142857142857142</v>
      </c>
      <c r="K209" s="35">
        <f t="array" ref="K209">IF(ISERROR(G209/L209),"",G209/L209)</f>
        <v>37.714285714285715</v>
      </c>
      <c r="L209" s="87">
        <v>21</v>
      </c>
      <c r="M209" s="36">
        <f t="shared" si="80"/>
        <v>18.285714285714285</v>
      </c>
      <c r="N209" s="93">
        <f>SUM('1:2'!N209)</f>
        <v>0</v>
      </c>
      <c r="O209" s="93">
        <f>SUM('1:2'!O209)</f>
        <v>0</v>
      </c>
      <c r="P209" s="93">
        <f>SUM('1:2'!P209)</f>
        <v>0</v>
      </c>
      <c r="Q209" s="93">
        <f>SUM('1:2'!Q209)</f>
        <v>0</v>
      </c>
      <c r="R209" s="93">
        <f>SUM('1:2'!R209)</f>
        <v>0</v>
      </c>
      <c r="S209" s="93">
        <f>SUM('1:2'!S209)</f>
        <v>0</v>
      </c>
      <c r="T209" s="93">
        <f>SUM('1:2'!T209)</f>
        <v>0</v>
      </c>
      <c r="U209" s="93">
        <f>SUM('1:2'!U209)</f>
        <v>0</v>
      </c>
      <c r="V209" s="206">
        <f t="shared" si="81"/>
        <v>0</v>
      </c>
      <c r="W209" s="33">
        <f t="shared" si="82"/>
        <v>0</v>
      </c>
      <c r="X209" s="93">
        <f>SUM('1:2'!X209)</f>
        <v>0</v>
      </c>
      <c r="Y209" s="93">
        <f>SUM('1:2'!Y209)</f>
        <v>0</v>
      </c>
      <c r="Z209" s="93">
        <f>SUM('1:2'!Z209)</f>
        <v>0</v>
      </c>
      <c r="AA209" s="93">
        <f>SUM('1:2'!AA209)</f>
        <v>0</v>
      </c>
      <c r="AB209" s="358">
        <v>0.49</v>
      </c>
      <c r="AC209" s="269">
        <f t="shared" si="75"/>
        <v>388.08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30100024</v>
      </c>
      <c r="B210" s="61" t="s">
        <v>78</v>
      </c>
      <c r="C210" s="16" t="s">
        <v>75</v>
      </c>
      <c r="D210" s="17">
        <v>5.08</v>
      </c>
      <c r="E210" s="17"/>
      <c r="F210" s="6"/>
      <c r="G210" s="93">
        <f>SUM('1:2'!G210)</f>
        <v>0</v>
      </c>
      <c r="H210" s="296">
        <f t="shared" si="71"/>
        <v>0</v>
      </c>
      <c r="I210" s="93">
        <f>SUM('1:2'!I210)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SUM('1:2'!N210)</f>
        <v>0</v>
      </c>
      <c r="O210" s="93">
        <f>SUM('1:2'!O210)</f>
        <v>0</v>
      </c>
      <c r="P210" s="93">
        <f>SUM('1:2'!P210)</f>
        <v>0</v>
      </c>
      <c r="Q210" s="93">
        <f>SUM('1:2'!Q210)</f>
        <v>0</v>
      </c>
      <c r="R210" s="93">
        <f>SUM('1:2'!R210)</f>
        <v>0</v>
      </c>
      <c r="S210" s="93">
        <f>SUM('1:2'!S210)</f>
        <v>0</v>
      </c>
      <c r="T210" s="93">
        <f>SUM('1:2'!T210)</f>
        <v>0</v>
      </c>
      <c r="U210" s="93">
        <f>SUM('1:2'!U210)</f>
        <v>0</v>
      </c>
      <c r="V210" s="206">
        <f t="shared" si="81"/>
        <v>0</v>
      </c>
      <c r="W210" s="33" t="str">
        <f t="shared" si="82"/>
        <v/>
      </c>
      <c r="X210" s="93">
        <f>SUM('1:2'!X210)</f>
        <v>0</v>
      </c>
      <c r="Y210" s="93">
        <f>SUM('1:2'!Y210)</f>
        <v>0</v>
      </c>
      <c r="Z210" s="93">
        <f>SUM('1:2'!Z210)</f>
        <v>0</v>
      </c>
      <c r="AA210" s="93">
        <f>SUM('1:2'!AA210)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30100022</v>
      </c>
      <c r="B211" s="61" t="s">
        <v>78</v>
      </c>
      <c r="C211" s="16" t="s">
        <v>60</v>
      </c>
      <c r="D211" s="17">
        <v>5.08</v>
      </c>
      <c r="E211" s="17"/>
      <c r="F211" s="6"/>
      <c r="G211" s="93">
        <f>SUM('1:2'!G211)</f>
        <v>0</v>
      </c>
      <c r="H211" s="246">
        <f t="shared" si="71"/>
        <v>0</v>
      </c>
      <c r="I211" s="93">
        <f>SUM('1:2'!I211)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SUM('1:2'!N211)</f>
        <v>0</v>
      </c>
      <c r="O211" s="93">
        <f>SUM('1:2'!O211)</f>
        <v>0</v>
      </c>
      <c r="P211" s="93">
        <f>SUM('1:2'!P211)</f>
        <v>0</v>
      </c>
      <c r="Q211" s="93">
        <f>SUM('1:2'!Q211)</f>
        <v>0</v>
      </c>
      <c r="R211" s="93">
        <f>SUM('1:2'!R211)</f>
        <v>0</v>
      </c>
      <c r="S211" s="93">
        <f>SUM('1:2'!S211)</f>
        <v>0</v>
      </c>
      <c r="T211" s="93">
        <f>SUM('1:2'!T211)</f>
        <v>0</v>
      </c>
      <c r="U211" s="93">
        <f>SUM('1:2'!U211)</f>
        <v>0</v>
      </c>
      <c r="V211" s="206">
        <f t="shared" si="81"/>
        <v>0</v>
      </c>
      <c r="W211" s="33" t="str">
        <f t="shared" si="82"/>
        <v/>
      </c>
      <c r="X211" s="93">
        <f>SUM('1:2'!X211)</f>
        <v>0</v>
      </c>
      <c r="Y211" s="93">
        <f>SUM('1:2'!Y211)</f>
        <v>0</v>
      </c>
      <c r="Z211" s="93">
        <f>SUM('1:2'!Z211)</f>
        <v>0</v>
      </c>
      <c r="AA211" s="93">
        <f>SUM('1:2'!AA211)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30100029</v>
      </c>
      <c r="B212" s="61" t="s">
        <v>78</v>
      </c>
      <c r="C212" s="16" t="s">
        <v>72</v>
      </c>
      <c r="D212" s="17">
        <v>5.08</v>
      </c>
      <c r="E212" s="17"/>
      <c r="F212" s="6"/>
      <c r="G212" s="93">
        <f>SUM('1:2'!G212)</f>
        <v>0</v>
      </c>
      <c r="H212" s="246">
        <f t="shared" si="71"/>
        <v>0</v>
      </c>
      <c r="I212" s="93">
        <f>SUM('1:2'!I212)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SUM('1:2'!N212)</f>
        <v>0</v>
      </c>
      <c r="O212" s="93">
        <f>SUM('1:2'!O212)</f>
        <v>0</v>
      </c>
      <c r="P212" s="93">
        <f>SUM('1:2'!P212)</f>
        <v>0</v>
      </c>
      <c r="Q212" s="93">
        <f>SUM('1:2'!Q212)</f>
        <v>0</v>
      </c>
      <c r="R212" s="93">
        <f>SUM('1:2'!R212)</f>
        <v>0</v>
      </c>
      <c r="S212" s="93">
        <f>SUM('1:2'!S212)</f>
        <v>0</v>
      </c>
      <c r="T212" s="93">
        <f>SUM('1:2'!T212)</f>
        <v>0</v>
      </c>
      <c r="U212" s="93">
        <f>SUM('1:2'!U212)</f>
        <v>0</v>
      </c>
      <c r="V212" s="206">
        <f t="shared" si="81"/>
        <v>0</v>
      </c>
      <c r="W212" s="33" t="str">
        <f t="shared" si="82"/>
        <v/>
      </c>
      <c r="X212" s="93">
        <f>SUM('1:2'!X212)</f>
        <v>0</v>
      </c>
      <c r="Y212" s="93">
        <f>SUM('1:2'!Y212)</f>
        <v>0</v>
      </c>
      <c r="Z212" s="93">
        <f>SUM('1:2'!Z212)</f>
        <v>0</v>
      </c>
      <c r="AA212" s="93">
        <f>SUM('1:2'!AA212)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30100026</v>
      </c>
      <c r="B213" s="61" t="s">
        <v>78</v>
      </c>
      <c r="C213" s="16" t="s">
        <v>73</v>
      </c>
      <c r="D213" s="17">
        <v>5.08</v>
      </c>
      <c r="E213" s="17"/>
      <c r="F213" s="6"/>
      <c r="G213" s="93">
        <f>SUM('1:2'!G213)</f>
        <v>133</v>
      </c>
      <c r="H213" s="246">
        <f t="shared" si="71"/>
        <v>675.64</v>
      </c>
      <c r="I213" s="93">
        <f>SUM('1:2'!I213)</f>
        <v>44</v>
      </c>
      <c r="J213" s="31">
        <f t="array" ref="J213">IF(ISERROR(G213/I213),"",G213/I213)</f>
        <v>3.0227272727272729</v>
      </c>
      <c r="K213" s="35">
        <f t="array" ref="K213">IF(ISERROR(G213/L213),"",G213/L213)</f>
        <v>6.333333333333333</v>
      </c>
      <c r="L213" s="87">
        <v>21</v>
      </c>
      <c r="M213" s="36">
        <f t="shared" si="80"/>
        <v>37.666666666666664</v>
      </c>
      <c r="N213" s="93">
        <f>SUM('1:2'!N213)</f>
        <v>0</v>
      </c>
      <c r="O213" s="93">
        <f>SUM('1:2'!O213)</f>
        <v>0</v>
      </c>
      <c r="P213" s="93">
        <f>SUM('1:2'!P213)</f>
        <v>0</v>
      </c>
      <c r="Q213" s="93">
        <f>SUM('1:2'!Q213)</f>
        <v>0</v>
      </c>
      <c r="R213" s="93">
        <f>SUM('1:2'!R213)</f>
        <v>0</v>
      </c>
      <c r="S213" s="93">
        <f>SUM('1:2'!S213)</f>
        <v>0</v>
      </c>
      <c r="T213" s="93">
        <f>SUM('1:2'!T213)</f>
        <v>0</v>
      </c>
      <c r="U213" s="93">
        <f>SUM('1:2'!U213)</f>
        <v>0</v>
      </c>
      <c r="V213" s="206">
        <f t="shared" si="81"/>
        <v>0</v>
      </c>
      <c r="W213" s="33">
        <f t="shared" si="82"/>
        <v>0</v>
      </c>
      <c r="X213" s="93">
        <f>SUM('1:2'!X213)</f>
        <v>0</v>
      </c>
      <c r="Y213" s="93">
        <f>SUM('1:2'!Y213)</f>
        <v>0</v>
      </c>
      <c r="Z213" s="93">
        <f>SUM('1:2'!Z213)</f>
        <v>0</v>
      </c>
      <c r="AA213" s="93">
        <f>SUM('1:2'!AA213)</f>
        <v>0</v>
      </c>
      <c r="AB213" s="358">
        <v>0.49</v>
      </c>
      <c r="AC213" s="269">
        <f t="shared" si="75"/>
        <v>65.17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30100025</v>
      </c>
      <c r="B214" s="61" t="s">
        <v>78</v>
      </c>
      <c r="C214" s="16" t="s">
        <v>61</v>
      </c>
      <c r="D214" s="17">
        <v>5.08</v>
      </c>
      <c r="E214" s="17"/>
      <c r="F214" s="6"/>
      <c r="G214" s="93">
        <f>SUM('1:2'!G214)</f>
        <v>0</v>
      </c>
      <c r="H214" s="246">
        <f t="shared" si="71"/>
        <v>0</v>
      </c>
      <c r="I214" s="93">
        <f>SUM('1:2'!I214)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SUM('1:2'!N214)</f>
        <v>0</v>
      </c>
      <c r="O214" s="93">
        <f>SUM('1:2'!O214)</f>
        <v>0</v>
      </c>
      <c r="P214" s="93">
        <f>SUM('1:2'!P214)</f>
        <v>0</v>
      </c>
      <c r="Q214" s="93">
        <f>SUM('1:2'!Q214)</f>
        <v>0</v>
      </c>
      <c r="R214" s="93">
        <f>SUM('1:2'!R214)</f>
        <v>0</v>
      </c>
      <c r="S214" s="93">
        <f>SUM('1:2'!S214)</f>
        <v>0</v>
      </c>
      <c r="T214" s="93">
        <f>SUM('1:2'!T214)</f>
        <v>0</v>
      </c>
      <c r="U214" s="93">
        <f>SUM('1:2'!U214)</f>
        <v>0</v>
      </c>
      <c r="V214" s="206">
        <f t="shared" si="81"/>
        <v>0</v>
      </c>
      <c r="W214" s="33" t="str">
        <f t="shared" si="82"/>
        <v/>
      </c>
      <c r="X214" s="93">
        <f>SUM('1:2'!X214)</f>
        <v>0</v>
      </c>
      <c r="Y214" s="93">
        <f>SUM('1:2'!Y214)</f>
        <v>0</v>
      </c>
      <c r="Z214" s="93">
        <f>SUM('1:2'!Z214)</f>
        <v>0</v>
      </c>
      <c r="AA214" s="93">
        <f>SUM('1:2'!AA214)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30100028</v>
      </c>
      <c r="B215" s="61" t="s">
        <v>78</v>
      </c>
      <c r="C215" s="16" t="s">
        <v>77</v>
      </c>
      <c r="D215" s="17">
        <v>5.08</v>
      </c>
      <c r="E215" s="17"/>
      <c r="F215" s="6"/>
      <c r="G215" s="93">
        <f>SUM('1:2'!G215)</f>
        <v>0</v>
      </c>
      <c r="H215" s="246">
        <f t="shared" si="71"/>
        <v>0</v>
      </c>
      <c r="I215" s="93">
        <f>SUM('1:2'!I215)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21</v>
      </c>
      <c r="M215" s="36">
        <f t="shared" si="80"/>
        <v>0</v>
      </c>
      <c r="N215" s="93">
        <f>SUM('1:2'!N215)</f>
        <v>0</v>
      </c>
      <c r="O215" s="93">
        <f>SUM('1:2'!O215)</f>
        <v>0</v>
      </c>
      <c r="P215" s="93">
        <f>SUM('1:2'!P215)</f>
        <v>0</v>
      </c>
      <c r="Q215" s="93">
        <f>SUM('1:2'!Q215)</f>
        <v>0</v>
      </c>
      <c r="R215" s="93">
        <f>SUM('1:2'!R215)</f>
        <v>0</v>
      </c>
      <c r="S215" s="93">
        <f>SUM('1:2'!S215)</f>
        <v>0</v>
      </c>
      <c r="T215" s="93">
        <f>SUM('1:2'!T215)</f>
        <v>0</v>
      </c>
      <c r="U215" s="93">
        <f>SUM('1:2'!U215)</f>
        <v>0</v>
      </c>
      <c r="V215" s="206">
        <f t="shared" si="81"/>
        <v>0</v>
      </c>
      <c r="W215" s="33" t="str">
        <f t="shared" si="82"/>
        <v/>
      </c>
      <c r="X215" s="93">
        <f>SUM('1:2'!X215)</f>
        <v>0</v>
      </c>
      <c r="Y215" s="93">
        <f>SUM('1:2'!Y215)</f>
        <v>0</v>
      </c>
      <c r="Z215" s="93">
        <f>SUM('1:2'!Z215)</f>
        <v>0</v>
      </c>
      <c r="AA215" s="93">
        <f>SUM('1:2'!AA215)</f>
        <v>0</v>
      </c>
      <c r="AB215" s="358">
        <v>0.49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30100032</v>
      </c>
      <c r="B216" s="61" t="s">
        <v>79</v>
      </c>
      <c r="C216" s="16" t="s">
        <v>65</v>
      </c>
      <c r="D216" s="17">
        <v>5.03</v>
      </c>
      <c r="E216" s="17"/>
      <c r="F216" s="6"/>
      <c r="G216" s="93">
        <f>SUM('1:2'!G216)</f>
        <v>1582</v>
      </c>
      <c r="H216" s="246">
        <f t="shared" si="71"/>
        <v>7957.46</v>
      </c>
      <c r="I216" s="93">
        <f>SUM('1:2'!I216)</f>
        <v>19</v>
      </c>
      <c r="J216" s="31">
        <f t="array" ref="J216">IF(ISERROR(G216/I216),"",G216/I216)</f>
        <v>83.263157894736835</v>
      </c>
      <c r="K216" s="35">
        <f t="array" ref="K216">IF(ISERROR(G216/L216),"",G216/L216)</f>
        <v>28.25</v>
      </c>
      <c r="L216" s="87">
        <v>56</v>
      </c>
      <c r="M216" s="36">
        <f t="shared" si="80"/>
        <v>-9.25</v>
      </c>
      <c r="N216" s="93">
        <f>SUM('1:2'!N216)</f>
        <v>0</v>
      </c>
      <c r="O216" s="93">
        <f>SUM('1:2'!O216)</f>
        <v>0</v>
      </c>
      <c r="P216" s="93">
        <f>SUM('1:2'!P216)</f>
        <v>0</v>
      </c>
      <c r="Q216" s="93">
        <f>SUM('1:2'!Q216)</f>
        <v>0</v>
      </c>
      <c r="R216" s="93">
        <f>SUM('1:2'!R216)</f>
        <v>0</v>
      </c>
      <c r="S216" s="93">
        <f>SUM('1:2'!S216)</f>
        <v>0</v>
      </c>
      <c r="T216" s="93">
        <f>SUM('1:2'!T216)</f>
        <v>0</v>
      </c>
      <c r="U216" s="93">
        <f>SUM('1:2'!U216)</f>
        <v>0</v>
      </c>
      <c r="V216" s="206">
        <f t="shared" si="81"/>
        <v>0</v>
      </c>
      <c r="W216" s="33">
        <f t="shared" si="82"/>
        <v>0</v>
      </c>
      <c r="X216" s="93">
        <f>SUM('1:2'!X216)</f>
        <v>0</v>
      </c>
      <c r="Y216" s="93">
        <f>SUM('1:2'!Y216)</f>
        <v>0</v>
      </c>
      <c r="Z216" s="93">
        <f>SUM('1:2'!Z216)</f>
        <v>0</v>
      </c>
      <c r="AA216" s="93">
        <f>SUM('1:2'!AA216)</f>
        <v>0</v>
      </c>
      <c r="AB216" s="358">
        <v>0.18</v>
      </c>
      <c r="AC216" s="269">
        <f t="shared" si="75"/>
        <v>284.76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30100033</v>
      </c>
      <c r="B217" s="61" t="s">
        <v>79</v>
      </c>
      <c r="C217" s="16" t="s">
        <v>53</v>
      </c>
      <c r="D217" s="17">
        <v>5.03</v>
      </c>
      <c r="E217" s="17"/>
      <c r="F217" s="6"/>
      <c r="G217" s="93">
        <f>SUM('1:2'!G217)</f>
        <v>369</v>
      </c>
      <c r="H217" s="246">
        <f t="shared" si="71"/>
        <v>1856.0700000000002</v>
      </c>
      <c r="I217" s="93">
        <f>SUM('1:2'!I217)</f>
        <v>9</v>
      </c>
      <c r="J217" s="31">
        <f t="array" ref="J217">IF(ISERROR(G217/I217),"",G217/I217)</f>
        <v>41</v>
      </c>
      <c r="K217" s="35">
        <f t="array" ref="K217">IF(ISERROR(G217/L217),"",G217/L217)</f>
        <v>6.5892857142857144</v>
      </c>
      <c r="L217" s="87">
        <v>56</v>
      </c>
      <c r="M217" s="36">
        <f t="shared" si="80"/>
        <v>2.4107142857142856</v>
      </c>
      <c r="N217" s="93">
        <f>SUM('1:2'!N217)</f>
        <v>0</v>
      </c>
      <c r="O217" s="93">
        <f>SUM('1:2'!O217)</f>
        <v>0</v>
      </c>
      <c r="P217" s="93">
        <f>SUM('1:2'!P217)</f>
        <v>0</v>
      </c>
      <c r="Q217" s="93">
        <f>SUM('1:2'!Q217)</f>
        <v>0</v>
      </c>
      <c r="R217" s="93">
        <f>SUM('1:2'!R217)</f>
        <v>0</v>
      </c>
      <c r="S217" s="93">
        <f>SUM('1:2'!S217)</f>
        <v>0</v>
      </c>
      <c r="T217" s="93">
        <f>SUM('1:2'!T217)</f>
        <v>0</v>
      </c>
      <c r="U217" s="93">
        <f>SUM('1:2'!U217)</f>
        <v>0</v>
      </c>
      <c r="V217" s="206">
        <f t="shared" si="81"/>
        <v>0</v>
      </c>
      <c r="W217" s="33">
        <f t="shared" si="82"/>
        <v>0</v>
      </c>
      <c r="X217" s="93">
        <f>SUM('1:2'!X217)</f>
        <v>0</v>
      </c>
      <c r="Y217" s="93">
        <f>SUM('1:2'!Y217)</f>
        <v>0</v>
      </c>
      <c r="Z217" s="93">
        <f>SUM('1:2'!Z217)</f>
        <v>0</v>
      </c>
      <c r="AA217" s="93">
        <f>SUM('1:2'!AA217)</f>
        <v>0</v>
      </c>
      <c r="AB217" s="358">
        <v>0.18</v>
      </c>
      <c r="AC217" s="269">
        <f t="shared" si="75"/>
        <v>66.42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30100062</v>
      </c>
      <c r="B218" s="61" t="s">
        <v>79</v>
      </c>
      <c r="C218" s="16" t="s">
        <v>66</v>
      </c>
      <c r="D218" s="17">
        <v>5.03</v>
      </c>
      <c r="E218" s="17"/>
      <c r="F218" s="6"/>
      <c r="G218" s="93">
        <f>SUM('1:2'!G218)</f>
        <v>864</v>
      </c>
      <c r="H218" s="246">
        <f t="shared" si="71"/>
        <v>4345.92</v>
      </c>
      <c r="I218" s="93">
        <f>SUM('1:2'!I218)</f>
        <v>18</v>
      </c>
      <c r="J218" s="31">
        <f t="array" ref="J218">IF(ISERROR(G218/I218),"",G218/I218)</f>
        <v>48</v>
      </c>
      <c r="K218" s="35">
        <f t="array" ref="K218">IF(ISERROR(G218/L218),"",G218/L218)</f>
        <v>15.428571428571429</v>
      </c>
      <c r="L218" s="87">
        <v>56</v>
      </c>
      <c r="M218" s="36">
        <f t="shared" si="80"/>
        <v>2.5714285714285712</v>
      </c>
      <c r="N218" s="93">
        <f>SUM('1:2'!N218)</f>
        <v>0</v>
      </c>
      <c r="O218" s="93">
        <f>SUM('1:2'!O218)</f>
        <v>0</v>
      </c>
      <c r="P218" s="93">
        <f>SUM('1:2'!P218)</f>
        <v>0</v>
      </c>
      <c r="Q218" s="93">
        <f>SUM('1:2'!Q218)</f>
        <v>0</v>
      </c>
      <c r="R218" s="93">
        <f>SUM('1:2'!R218)</f>
        <v>0</v>
      </c>
      <c r="S218" s="93">
        <f>SUM('1:2'!S218)</f>
        <v>0</v>
      </c>
      <c r="T218" s="93">
        <f>SUM('1:2'!T218)</f>
        <v>0</v>
      </c>
      <c r="U218" s="93">
        <f>SUM('1:2'!U218)</f>
        <v>0</v>
      </c>
      <c r="V218" s="206">
        <f t="shared" si="81"/>
        <v>0</v>
      </c>
      <c r="W218" s="33">
        <f t="shared" si="82"/>
        <v>0</v>
      </c>
      <c r="X218" s="93">
        <f>SUM('1:2'!X218)</f>
        <v>0</v>
      </c>
      <c r="Y218" s="93">
        <f>SUM('1:2'!Y218)</f>
        <v>0</v>
      </c>
      <c r="Z218" s="93">
        <f>SUM('1:2'!Z218)</f>
        <v>0</v>
      </c>
      <c r="AA218" s="93">
        <f>SUM('1:2'!AA218)</f>
        <v>0</v>
      </c>
      <c r="AB218" s="358">
        <v>0.18</v>
      </c>
      <c r="AC218" s="269">
        <f t="shared" si="75"/>
        <v>155.51999999999998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30100031</v>
      </c>
      <c r="B219" s="61" t="s">
        <v>79</v>
      </c>
      <c r="C219" s="16" t="s">
        <v>74</v>
      </c>
      <c r="D219" s="17">
        <v>5.03</v>
      </c>
      <c r="E219" s="17"/>
      <c r="F219" s="6"/>
      <c r="G219" s="93">
        <f>SUM('1:2'!G219)</f>
        <v>0</v>
      </c>
      <c r="H219" s="246">
        <f t="shared" si="71"/>
        <v>0</v>
      </c>
      <c r="I219" s="93">
        <f>SUM('1:2'!I219)</f>
        <v>0</v>
      </c>
      <c r="J219" s="31" t="str">
        <f t="array" ref="J219">IF(ISERROR(G219/I219),"",G219/I219)</f>
        <v/>
      </c>
      <c r="K219" s="35">
        <f t="array" ref="K219">IF(ISERROR(G219/L219),"",G219/L219)</f>
        <v>0</v>
      </c>
      <c r="L219" s="87">
        <v>56</v>
      </c>
      <c r="M219" s="36">
        <f t="shared" si="80"/>
        <v>0</v>
      </c>
      <c r="N219" s="93">
        <f>SUM('1:2'!N219)</f>
        <v>0</v>
      </c>
      <c r="O219" s="93">
        <f>SUM('1:2'!O219)</f>
        <v>0</v>
      </c>
      <c r="P219" s="93">
        <f>SUM('1:2'!P219)</f>
        <v>0</v>
      </c>
      <c r="Q219" s="93">
        <f>SUM('1:2'!Q219)</f>
        <v>0</v>
      </c>
      <c r="R219" s="93">
        <f>SUM('1:2'!R219)</f>
        <v>0</v>
      </c>
      <c r="S219" s="93">
        <f>SUM('1:2'!S219)</f>
        <v>0</v>
      </c>
      <c r="T219" s="93">
        <f>SUM('1:2'!T219)</f>
        <v>0</v>
      </c>
      <c r="U219" s="93">
        <f>SUM('1:2'!U219)</f>
        <v>0</v>
      </c>
      <c r="V219" s="206">
        <f t="shared" si="81"/>
        <v>0</v>
      </c>
      <c r="W219" s="33" t="str">
        <f t="shared" si="82"/>
        <v/>
      </c>
      <c r="X219" s="93">
        <f>SUM('1:2'!X219)</f>
        <v>0</v>
      </c>
      <c r="Y219" s="93">
        <f>SUM('1:2'!Y219)</f>
        <v>0</v>
      </c>
      <c r="Z219" s="93">
        <f>SUM('1:2'!Z219)</f>
        <v>0</v>
      </c>
      <c r="AA219" s="93">
        <f>SUM('1:2'!AA219)</f>
        <v>0</v>
      </c>
      <c r="AB219" s="358">
        <v>0.18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30100019</v>
      </c>
      <c r="B220" s="61" t="s">
        <v>385</v>
      </c>
      <c r="C220" s="16" t="s">
        <v>386</v>
      </c>
      <c r="D220" s="17">
        <v>5.03</v>
      </c>
      <c r="E220" s="17"/>
      <c r="F220" s="6"/>
      <c r="G220" s="93">
        <f>SUM('1:2'!G220)</f>
        <v>0</v>
      </c>
      <c r="H220" s="246">
        <f t="shared" si="71"/>
        <v>0</v>
      </c>
      <c r="I220" s="93">
        <f>SUM('1:2'!I220)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SUM('1:2'!N220)</f>
        <v>0</v>
      </c>
      <c r="O220" s="93">
        <f>SUM('1:2'!O220)</f>
        <v>0</v>
      </c>
      <c r="P220" s="93">
        <f>SUM('1:2'!P220)</f>
        <v>0</v>
      </c>
      <c r="Q220" s="93">
        <f>SUM('1:2'!Q220)</f>
        <v>0</v>
      </c>
      <c r="R220" s="93">
        <f>SUM('1:2'!R220)</f>
        <v>0</v>
      </c>
      <c r="S220" s="93">
        <f>SUM('1:2'!S220)</f>
        <v>0</v>
      </c>
      <c r="T220" s="93">
        <f>SUM('1:2'!T220)</f>
        <v>0</v>
      </c>
      <c r="U220" s="93">
        <f>SUM('1:2'!U220)</f>
        <v>0</v>
      </c>
      <c r="V220" s="206"/>
      <c r="W220" s="33"/>
      <c r="X220" s="93">
        <f>SUM('1:2'!X220)</f>
        <v>0</v>
      </c>
      <c r="Y220" s="93">
        <f>SUM('1:2'!Y220)</f>
        <v>0</v>
      </c>
      <c r="Z220" s="93">
        <f>SUM('1:2'!Z220)</f>
        <v>0</v>
      </c>
      <c r="AA220" s="93">
        <f>SUM('1:2'!AA220)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30100020</v>
      </c>
      <c r="B221" s="61" t="s">
        <v>385</v>
      </c>
      <c r="C221" s="16" t="s">
        <v>387</v>
      </c>
      <c r="D221" s="17">
        <v>5.03</v>
      </c>
      <c r="E221" s="17"/>
      <c r="F221" s="6"/>
      <c r="G221" s="93">
        <f>SUM('1:2'!G221)</f>
        <v>0</v>
      </c>
      <c r="H221" s="246">
        <f t="shared" si="71"/>
        <v>0</v>
      </c>
      <c r="I221" s="93">
        <f>SUM('1:2'!I221)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SUM('1:2'!N221)</f>
        <v>0</v>
      </c>
      <c r="O221" s="93">
        <f>SUM('1:2'!O221)</f>
        <v>0</v>
      </c>
      <c r="P221" s="93">
        <f>SUM('1:2'!P221)</f>
        <v>0</v>
      </c>
      <c r="Q221" s="93">
        <f>SUM('1:2'!Q221)</f>
        <v>0</v>
      </c>
      <c r="R221" s="93">
        <f>SUM('1:2'!R221)</f>
        <v>0</v>
      </c>
      <c r="S221" s="93">
        <f>SUM('1:2'!S221)</f>
        <v>0</v>
      </c>
      <c r="T221" s="93">
        <f>SUM('1:2'!T221)</f>
        <v>0</v>
      </c>
      <c r="U221" s="93">
        <f>SUM('1:2'!U221)</f>
        <v>0</v>
      </c>
      <c r="V221" s="206"/>
      <c r="W221" s="33"/>
      <c r="X221" s="93">
        <f>SUM('1:2'!X221)</f>
        <v>0</v>
      </c>
      <c r="Y221" s="93">
        <f>SUM('1:2'!Y221)</f>
        <v>0</v>
      </c>
      <c r="Z221" s="93">
        <f>SUM('1:2'!Z221)</f>
        <v>0</v>
      </c>
      <c r="AA221" s="93">
        <f>SUM('1:2'!AA221)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30100021</v>
      </c>
      <c r="B222" s="190" t="s">
        <v>382</v>
      </c>
      <c r="C222" s="16" t="s">
        <v>389</v>
      </c>
      <c r="D222" s="17">
        <v>5.03</v>
      </c>
      <c r="E222" s="17"/>
      <c r="F222" s="6"/>
      <c r="G222" s="93">
        <f>SUM('1:2'!G222)</f>
        <v>0</v>
      </c>
      <c r="H222" s="246">
        <f t="shared" si="71"/>
        <v>0</v>
      </c>
      <c r="I222" s="93">
        <f>SUM('1:2'!I222)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SUM('1:2'!N222)</f>
        <v>0</v>
      </c>
      <c r="O222" s="93">
        <f>SUM('1:2'!O222)</f>
        <v>0</v>
      </c>
      <c r="P222" s="93">
        <f>SUM('1:2'!P222)</f>
        <v>0</v>
      </c>
      <c r="Q222" s="93">
        <f>SUM('1:2'!Q222)</f>
        <v>0</v>
      </c>
      <c r="R222" s="93">
        <f>SUM('1:2'!R222)</f>
        <v>0</v>
      </c>
      <c r="S222" s="93">
        <f>SUM('1:2'!S222)</f>
        <v>0</v>
      </c>
      <c r="T222" s="93">
        <f>SUM('1:2'!T222)</f>
        <v>0</v>
      </c>
      <c r="U222" s="93">
        <f>SUM('1:2'!U222)</f>
        <v>0</v>
      </c>
      <c r="V222" s="206"/>
      <c r="W222" s="33"/>
      <c r="X222" s="93">
        <f>SUM('1:2'!X222)</f>
        <v>0</v>
      </c>
      <c r="Y222" s="93">
        <f>SUM('1:2'!Y222)</f>
        <v>0</v>
      </c>
      <c r="Z222" s="93">
        <f>SUM('1:2'!Z222)</f>
        <v>0</v>
      </c>
      <c r="AA222" s="93">
        <f>SUM('1:2'!AA222)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6">
        <v>30100018</v>
      </c>
      <c r="B223" s="190" t="s">
        <v>382</v>
      </c>
      <c r="C223" s="16" t="s">
        <v>391</v>
      </c>
      <c r="D223" s="17">
        <v>5.03</v>
      </c>
      <c r="E223" s="17"/>
      <c r="F223" s="6"/>
      <c r="G223" s="93">
        <f>SUM('1:2'!G223)</f>
        <v>0</v>
      </c>
      <c r="H223" s="246">
        <f t="shared" si="71"/>
        <v>0</v>
      </c>
      <c r="I223" s="93">
        <f>SUM('1:2'!I223)</f>
        <v>0</v>
      </c>
      <c r="J223" s="31"/>
      <c r="K223" s="35">
        <f t="array" ref="K223">IF(ISERROR(G223/L223),"",G223/L223)</f>
        <v>0</v>
      </c>
      <c r="L223" s="87">
        <v>54</v>
      </c>
      <c r="M223" s="36">
        <f t="shared" si="80"/>
        <v>0</v>
      </c>
      <c r="N223" s="93">
        <f>SUM('1:2'!N223)</f>
        <v>0</v>
      </c>
      <c r="O223" s="93">
        <f>SUM('1:2'!O223)</f>
        <v>0</v>
      </c>
      <c r="P223" s="93">
        <f>SUM('1:2'!P223)</f>
        <v>0</v>
      </c>
      <c r="Q223" s="93">
        <f>SUM('1:2'!Q223)</f>
        <v>0</v>
      </c>
      <c r="R223" s="93">
        <f>SUM('1:2'!R223)</f>
        <v>0</v>
      </c>
      <c r="S223" s="93">
        <f>SUM('1:2'!S223)</f>
        <v>0</v>
      </c>
      <c r="T223" s="93">
        <f>SUM('1:2'!T223)</f>
        <v>0</v>
      </c>
      <c r="U223" s="93">
        <f>SUM('1:2'!U223)</f>
        <v>0</v>
      </c>
      <c r="V223" s="206"/>
      <c r="W223" s="33"/>
      <c r="X223" s="93">
        <f>SUM('1:2'!X223)</f>
        <v>0</v>
      </c>
      <c r="Y223" s="93">
        <f>SUM('1:2'!Y223)</f>
        <v>0</v>
      </c>
      <c r="Z223" s="93">
        <f>SUM('1:2'!Z223)</f>
        <v>0</v>
      </c>
      <c r="AA223" s="93">
        <f>SUM('1:2'!AA223)</f>
        <v>0</v>
      </c>
      <c r="AB223" s="358">
        <v>0.19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30700007</v>
      </c>
      <c r="B224" s="190" t="s">
        <v>418</v>
      </c>
      <c r="C224" s="187" t="s">
        <v>364</v>
      </c>
      <c r="D224" s="17">
        <v>5.03</v>
      </c>
      <c r="E224" s="17"/>
      <c r="F224" s="6"/>
      <c r="G224" s="93">
        <f>SUM('1:2'!G224)</f>
        <v>0</v>
      </c>
      <c r="H224" s="296">
        <f t="shared" si="71"/>
        <v>0</v>
      </c>
      <c r="I224" s="93">
        <f>SUM('1:2'!I224)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SUM('1:2'!N224)</f>
        <v>0</v>
      </c>
      <c r="O224" s="93">
        <f>SUM('1:2'!O224)</f>
        <v>0</v>
      </c>
      <c r="P224" s="93">
        <f>SUM('1:2'!P224)</f>
        <v>0</v>
      </c>
      <c r="Q224" s="93">
        <f>SUM('1:2'!Q224)</f>
        <v>0</v>
      </c>
      <c r="R224" s="93">
        <f>SUM('1:2'!R224)</f>
        <v>0</v>
      </c>
      <c r="S224" s="93">
        <f>SUM('1:2'!S224)</f>
        <v>0</v>
      </c>
      <c r="T224" s="93">
        <f>SUM('1:2'!T224)</f>
        <v>0</v>
      </c>
      <c r="U224" s="93">
        <f>SUM('1:2'!U224)</f>
        <v>0</v>
      </c>
      <c r="V224" s="206"/>
      <c r="W224" s="33"/>
      <c r="X224" s="93">
        <f>SUM('1:2'!X224)</f>
        <v>0</v>
      </c>
      <c r="Y224" s="93">
        <f>SUM('1:2'!Y224)</f>
        <v>0</v>
      </c>
      <c r="Z224" s="93">
        <f>SUM('1:2'!Z224)</f>
        <v>0</v>
      </c>
      <c r="AA224" s="93">
        <f>SUM('1:2'!AA224)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30700006</v>
      </c>
      <c r="B225" s="190" t="s">
        <v>418</v>
      </c>
      <c r="C225" s="187" t="s">
        <v>365</v>
      </c>
      <c r="D225" s="17">
        <v>5.03</v>
      </c>
      <c r="E225" s="17"/>
      <c r="F225" s="6"/>
      <c r="G225" s="93">
        <f>SUM('1:2'!G225)</f>
        <v>0</v>
      </c>
      <c r="H225" s="296">
        <f t="shared" si="71"/>
        <v>0</v>
      </c>
      <c r="I225" s="93">
        <f>SUM('1:2'!I225)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SUM('1:2'!N225)</f>
        <v>0</v>
      </c>
      <c r="O225" s="93">
        <f>SUM('1:2'!O225)</f>
        <v>0</v>
      </c>
      <c r="P225" s="93">
        <f>SUM('1:2'!P225)</f>
        <v>0</v>
      </c>
      <c r="Q225" s="93">
        <f>SUM('1:2'!Q225)</f>
        <v>0</v>
      </c>
      <c r="R225" s="93">
        <f>SUM('1:2'!R225)</f>
        <v>0</v>
      </c>
      <c r="S225" s="93">
        <f>SUM('1:2'!S225)</f>
        <v>0</v>
      </c>
      <c r="T225" s="93">
        <f>SUM('1:2'!T225)</f>
        <v>0</v>
      </c>
      <c r="U225" s="93">
        <f>SUM('1:2'!U225)</f>
        <v>0</v>
      </c>
      <c r="V225" s="206"/>
      <c r="W225" s="33"/>
      <c r="X225" s="93">
        <f>SUM('1:2'!X225)</f>
        <v>0</v>
      </c>
      <c r="Y225" s="93">
        <f>SUM('1:2'!Y225)</f>
        <v>0</v>
      </c>
      <c r="Z225" s="93">
        <f>SUM('1:2'!Z225)</f>
        <v>0</v>
      </c>
      <c r="AA225" s="93">
        <f>SUM('1:2'!AA225)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30700008</v>
      </c>
      <c r="B226" s="190" t="s">
        <v>418</v>
      </c>
      <c r="C226" s="187" t="s">
        <v>366</v>
      </c>
      <c r="D226" s="17">
        <v>5.03</v>
      </c>
      <c r="E226" s="17"/>
      <c r="F226" s="6"/>
      <c r="G226" s="93">
        <f>SUM('1:2'!G226)</f>
        <v>0</v>
      </c>
      <c r="H226" s="296">
        <f t="shared" si="71"/>
        <v>0</v>
      </c>
      <c r="I226" s="93">
        <f>SUM('1:2'!I226)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SUM('1:2'!N226)</f>
        <v>0</v>
      </c>
      <c r="O226" s="93">
        <f>SUM('1:2'!O226)</f>
        <v>0</v>
      </c>
      <c r="P226" s="93">
        <f>SUM('1:2'!P226)</f>
        <v>0</v>
      </c>
      <c r="Q226" s="93">
        <f>SUM('1:2'!Q226)</f>
        <v>0</v>
      </c>
      <c r="R226" s="93">
        <f>SUM('1:2'!R226)</f>
        <v>0</v>
      </c>
      <c r="S226" s="93">
        <f>SUM('1:2'!S226)</f>
        <v>0</v>
      </c>
      <c r="T226" s="93">
        <f>SUM('1:2'!T226)</f>
        <v>0</v>
      </c>
      <c r="U226" s="93">
        <f>SUM('1:2'!U226)</f>
        <v>0</v>
      </c>
      <c r="V226" s="206"/>
      <c r="W226" s="33"/>
      <c r="X226" s="93">
        <f>SUM('1:2'!X226)</f>
        <v>0</v>
      </c>
      <c r="Y226" s="93">
        <f>SUM('1:2'!Y226)</f>
        <v>0</v>
      </c>
      <c r="Z226" s="93">
        <f>SUM('1:2'!Z226)</f>
        <v>0</v>
      </c>
      <c r="AA226" s="93">
        <f>SUM('1:2'!AA226)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9">
        <v>30700009</v>
      </c>
      <c r="B227" s="190" t="s">
        <v>418</v>
      </c>
      <c r="C227" s="187" t="s">
        <v>367</v>
      </c>
      <c r="D227" s="17">
        <v>5.03</v>
      </c>
      <c r="E227" s="17"/>
      <c r="F227" s="6"/>
      <c r="G227" s="93">
        <f>SUM('1:2'!G227)</f>
        <v>0</v>
      </c>
      <c r="H227" s="296">
        <f t="shared" si="71"/>
        <v>0</v>
      </c>
      <c r="I227" s="93">
        <f>SUM('1:2'!I227)</f>
        <v>0</v>
      </c>
      <c r="J227" s="31"/>
      <c r="K227" s="35">
        <f t="array" ref="K227">IF(ISERROR(G227/L227),"",G227/L227)</f>
        <v>0</v>
      </c>
      <c r="L227" s="87">
        <v>3</v>
      </c>
      <c r="M227" s="36">
        <f t="shared" si="80"/>
        <v>0</v>
      </c>
      <c r="N227" s="93">
        <f>SUM('1:2'!N227)</f>
        <v>0</v>
      </c>
      <c r="O227" s="93">
        <f>SUM('1:2'!O227)</f>
        <v>0</v>
      </c>
      <c r="P227" s="93">
        <f>SUM('1:2'!P227)</f>
        <v>0</v>
      </c>
      <c r="Q227" s="93">
        <f>SUM('1:2'!Q227)</f>
        <v>0</v>
      </c>
      <c r="R227" s="93">
        <f>SUM('1:2'!R227)</f>
        <v>0</v>
      </c>
      <c r="S227" s="93">
        <f>SUM('1:2'!S227)</f>
        <v>0</v>
      </c>
      <c r="T227" s="93">
        <f>SUM('1:2'!T227)</f>
        <v>0</v>
      </c>
      <c r="U227" s="93">
        <f>SUM('1:2'!U227)</f>
        <v>0</v>
      </c>
      <c r="V227" s="206"/>
      <c r="W227" s="33"/>
      <c r="X227" s="93">
        <f>SUM('1:2'!X227)</f>
        <v>0</v>
      </c>
      <c r="Y227" s="93">
        <f>SUM('1:2'!Y227)</f>
        <v>0</v>
      </c>
      <c r="Z227" s="93">
        <f>SUM('1:2'!Z227)</f>
        <v>0</v>
      </c>
      <c r="AA227" s="93">
        <f>SUM('1:2'!AA227)</f>
        <v>0</v>
      </c>
      <c r="AB227" s="361">
        <v>0.94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30100036</v>
      </c>
      <c r="B228" s="62" t="s">
        <v>80</v>
      </c>
      <c r="C228" s="16" t="s">
        <v>61</v>
      </c>
      <c r="D228" s="17">
        <v>5.03</v>
      </c>
      <c r="E228" s="17"/>
      <c r="F228" s="6"/>
      <c r="G228" s="93">
        <f>SUM('1:2'!G228)</f>
        <v>0</v>
      </c>
      <c r="H228" s="296">
        <f t="shared" si="71"/>
        <v>0</v>
      </c>
      <c r="I228" s="93">
        <f>SUM('1:2'!I228)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SUM('1:2'!N228)</f>
        <v>0</v>
      </c>
      <c r="O228" s="93">
        <f>SUM('1:2'!O228)</f>
        <v>0</v>
      </c>
      <c r="P228" s="93">
        <f>SUM('1:2'!P228)</f>
        <v>0</v>
      </c>
      <c r="Q228" s="93">
        <f>SUM('1:2'!Q228)</f>
        <v>0</v>
      </c>
      <c r="R228" s="93">
        <f>SUM('1:2'!R228)</f>
        <v>0</v>
      </c>
      <c r="S228" s="93">
        <f>SUM('1:2'!S228)</f>
        <v>0</v>
      </c>
      <c r="T228" s="93">
        <f>SUM('1:2'!T228)</f>
        <v>0</v>
      </c>
      <c r="U228" s="93">
        <f>SUM('1:2'!U228)</f>
        <v>0</v>
      </c>
      <c r="V228" s="206">
        <f t="shared" ref="V228:V237" si="83">SUM(X228:AA228)</f>
        <v>0</v>
      </c>
      <c r="W228" s="33" t="str">
        <f t="shared" ref="W228:W237" si="84">IF(ISERROR(V228/G228),"",V228/G228)</f>
        <v/>
      </c>
      <c r="X228" s="93">
        <f>SUM('1:2'!X228)</f>
        <v>0</v>
      </c>
      <c r="Y228" s="93">
        <f>SUM('1:2'!Y228)</f>
        <v>0</v>
      </c>
      <c r="Z228" s="93">
        <f>SUM('1:2'!Z228)</f>
        <v>0</v>
      </c>
      <c r="AA228" s="93">
        <f>SUM('1:2'!AA228)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30100034</v>
      </c>
      <c r="B229" s="62" t="s">
        <v>80</v>
      </c>
      <c r="C229" s="16" t="s">
        <v>60</v>
      </c>
      <c r="D229" s="17">
        <v>5.03</v>
      </c>
      <c r="E229" s="17"/>
      <c r="F229" s="6"/>
      <c r="G229" s="93">
        <f>SUM('1:2'!G229)</f>
        <v>0</v>
      </c>
      <c r="H229" s="296">
        <f t="shared" si="71"/>
        <v>0</v>
      </c>
      <c r="I229" s="93">
        <f>SUM('1:2'!I229)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SUM('1:2'!N229)</f>
        <v>0</v>
      </c>
      <c r="O229" s="93">
        <f>SUM('1:2'!O229)</f>
        <v>0</v>
      </c>
      <c r="P229" s="93">
        <f>SUM('1:2'!P229)</f>
        <v>0</v>
      </c>
      <c r="Q229" s="93">
        <f>SUM('1:2'!Q229)</f>
        <v>0</v>
      </c>
      <c r="R229" s="93">
        <f>SUM('1:2'!R229)</f>
        <v>0</v>
      </c>
      <c r="S229" s="93">
        <f>SUM('1:2'!S229)</f>
        <v>0</v>
      </c>
      <c r="T229" s="93">
        <f>SUM('1:2'!T229)</f>
        <v>0</v>
      </c>
      <c r="U229" s="93">
        <f>SUM('1:2'!U229)</f>
        <v>0</v>
      </c>
      <c r="V229" s="206">
        <f t="shared" si="83"/>
        <v>0</v>
      </c>
      <c r="W229" s="33" t="str">
        <f t="shared" si="84"/>
        <v/>
      </c>
      <c r="X229" s="93">
        <f>SUM('1:2'!X229)</f>
        <v>0</v>
      </c>
      <c r="Y229" s="93">
        <f>SUM('1:2'!Y229)</f>
        <v>0</v>
      </c>
      <c r="Z229" s="93">
        <f>SUM('1:2'!Z229)</f>
        <v>0</v>
      </c>
      <c r="AA229" s="93">
        <f>SUM('1:2'!AA229)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30100035</v>
      </c>
      <c r="B230" s="62" t="s">
        <v>80</v>
      </c>
      <c r="C230" s="16" t="s">
        <v>65</v>
      </c>
      <c r="D230" s="17">
        <v>5.03</v>
      </c>
      <c r="E230" s="17"/>
      <c r="F230" s="6"/>
      <c r="G230" s="93">
        <f>SUM('1:2'!G230)</f>
        <v>0</v>
      </c>
      <c r="H230" s="246">
        <f t="shared" si="71"/>
        <v>0</v>
      </c>
      <c r="I230" s="93">
        <f>SUM('1:2'!I230)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40</v>
      </c>
      <c r="M230" s="36">
        <f t="shared" si="80"/>
        <v>0</v>
      </c>
      <c r="N230" s="93">
        <f>SUM('1:2'!N230)</f>
        <v>0</v>
      </c>
      <c r="O230" s="93">
        <f>SUM('1:2'!O230)</f>
        <v>0</v>
      </c>
      <c r="P230" s="93">
        <f>SUM('1:2'!P230)</f>
        <v>0</v>
      </c>
      <c r="Q230" s="93">
        <f>SUM('1:2'!Q230)</f>
        <v>0</v>
      </c>
      <c r="R230" s="93">
        <f>SUM('1:2'!R230)</f>
        <v>0</v>
      </c>
      <c r="S230" s="93">
        <f>SUM('1:2'!S230)</f>
        <v>0</v>
      </c>
      <c r="T230" s="93">
        <f>SUM('1:2'!T230)</f>
        <v>0</v>
      </c>
      <c r="U230" s="93">
        <f>SUM('1:2'!U230)</f>
        <v>0</v>
      </c>
      <c r="V230" s="206">
        <f t="shared" si="83"/>
        <v>0</v>
      </c>
      <c r="W230" s="33" t="str">
        <f t="shared" si="84"/>
        <v/>
      </c>
      <c r="X230" s="93">
        <f>SUM('1:2'!X230)</f>
        <v>0</v>
      </c>
      <c r="Y230" s="93">
        <f>SUM('1:2'!Y230)</f>
        <v>0</v>
      </c>
      <c r="Z230" s="93">
        <f>SUM('1:2'!Z230)</f>
        <v>0</v>
      </c>
      <c r="AA230" s="93">
        <f>SUM('1:2'!AA230)</f>
        <v>0</v>
      </c>
      <c r="AB230" s="358">
        <v>0.19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30100040</v>
      </c>
      <c r="B231" s="62" t="s">
        <v>81</v>
      </c>
      <c r="C231" s="16" t="s">
        <v>82</v>
      </c>
      <c r="D231" s="17">
        <v>5.03</v>
      </c>
      <c r="E231" s="17"/>
      <c r="F231" s="6"/>
      <c r="G231" s="93">
        <f>SUM('1:2'!G231)</f>
        <v>0</v>
      </c>
      <c r="H231" s="246">
        <f t="shared" si="71"/>
        <v>0</v>
      </c>
      <c r="I231" s="93">
        <f>SUM('1:2'!I231)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SUM('1:2'!N231)</f>
        <v>0</v>
      </c>
      <c r="O231" s="93">
        <f>SUM('1:2'!O231)</f>
        <v>0</v>
      </c>
      <c r="P231" s="93">
        <f>SUM('1:2'!P231)</f>
        <v>0</v>
      </c>
      <c r="Q231" s="93">
        <f>SUM('1:2'!Q231)</f>
        <v>0</v>
      </c>
      <c r="R231" s="93">
        <f>SUM('1:2'!R231)</f>
        <v>0</v>
      </c>
      <c r="S231" s="93">
        <f>SUM('1:2'!S231)</f>
        <v>0</v>
      </c>
      <c r="T231" s="93">
        <f>SUM('1:2'!T231)</f>
        <v>0</v>
      </c>
      <c r="U231" s="93">
        <f>SUM('1:2'!U231)</f>
        <v>0</v>
      </c>
      <c r="V231" s="206">
        <f t="shared" si="83"/>
        <v>0</v>
      </c>
      <c r="W231" s="33" t="str">
        <f t="shared" si="84"/>
        <v/>
      </c>
      <c r="X231" s="93">
        <f>SUM('1:2'!X231)</f>
        <v>0</v>
      </c>
      <c r="Y231" s="93">
        <f>SUM('1:2'!Y231)</f>
        <v>0</v>
      </c>
      <c r="Z231" s="93">
        <f>SUM('1:2'!Z231)</f>
        <v>0</v>
      </c>
      <c r="AA231" s="93">
        <f>SUM('1:2'!AA231)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30100039</v>
      </c>
      <c r="B232" s="62" t="s">
        <v>81</v>
      </c>
      <c r="C232" s="16" t="s">
        <v>60</v>
      </c>
      <c r="D232" s="17">
        <v>5.03</v>
      </c>
      <c r="E232" s="17"/>
      <c r="F232" s="6"/>
      <c r="G232" s="93">
        <f>SUM('1:2'!G232)</f>
        <v>0</v>
      </c>
      <c r="H232" s="246">
        <f t="shared" si="71"/>
        <v>0</v>
      </c>
      <c r="I232" s="93">
        <f>SUM('1:2'!I232)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SUM('1:2'!N232)</f>
        <v>0</v>
      </c>
      <c r="O232" s="93">
        <f>SUM('1:2'!O232)</f>
        <v>0</v>
      </c>
      <c r="P232" s="93">
        <f>SUM('1:2'!P232)</f>
        <v>0</v>
      </c>
      <c r="Q232" s="93">
        <f>SUM('1:2'!Q232)</f>
        <v>0</v>
      </c>
      <c r="R232" s="93">
        <f>SUM('1:2'!R232)</f>
        <v>0</v>
      </c>
      <c r="S232" s="93">
        <f>SUM('1:2'!S232)</f>
        <v>0</v>
      </c>
      <c r="T232" s="93">
        <f>SUM('1:2'!T232)</f>
        <v>0</v>
      </c>
      <c r="U232" s="93">
        <f>SUM('1:2'!U232)</f>
        <v>0</v>
      </c>
      <c r="V232" s="206">
        <f t="shared" si="83"/>
        <v>0</v>
      </c>
      <c r="W232" s="33" t="str">
        <f t="shared" si="84"/>
        <v/>
      </c>
      <c r="X232" s="93">
        <f>SUM('1:2'!X232)</f>
        <v>0</v>
      </c>
      <c r="Y232" s="93">
        <f>SUM('1:2'!Y232)</f>
        <v>0</v>
      </c>
      <c r="Z232" s="93">
        <f>SUM('1:2'!Z232)</f>
        <v>0</v>
      </c>
      <c r="AA232" s="93">
        <f>SUM('1:2'!AA232)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30100042</v>
      </c>
      <c r="B233" s="62" t="s">
        <v>81</v>
      </c>
      <c r="C233" s="16" t="s">
        <v>61</v>
      </c>
      <c r="D233" s="17">
        <v>5.03</v>
      </c>
      <c r="E233" s="17"/>
      <c r="F233" s="6"/>
      <c r="G233" s="93">
        <f>SUM('1:2'!G233)</f>
        <v>0</v>
      </c>
      <c r="H233" s="246">
        <f t="shared" si="71"/>
        <v>0</v>
      </c>
      <c r="I233" s="93">
        <f>SUM('1:2'!I233)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SUM('1:2'!N233)</f>
        <v>0</v>
      </c>
      <c r="O233" s="93">
        <f>SUM('1:2'!O233)</f>
        <v>0</v>
      </c>
      <c r="P233" s="93">
        <f>SUM('1:2'!P233)</f>
        <v>0</v>
      </c>
      <c r="Q233" s="93">
        <f>SUM('1:2'!Q233)</f>
        <v>0</v>
      </c>
      <c r="R233" s="93">
        <f>SUM('1:2'!R233)</f>
        <v>0</v>
      </c>
      <c r="S233" s="93">
        <f>SUM('1:2'!S233)</f>
        <v>0</v>
      </c>
      <c r="T233" s="93">
        <f>SUM('1:2'!T233)</f>
        <v>0</v>
      </c>
      <c r="U233" s="93">
        <f>SUM('1:2'!U233)</f>
        <v>0</v>
      </c>
      <c r="V233" s="206">
        <f t="shared" si="83"/>
        <v>0</v>
      </c>
      <c r="W233" s="33" t="str">
        <f t="shared" si="84"/>
        <v/>
      </c>
      <c r="X233" s="93">
        <f>SUM('1:2'!X233)</f>
        <v>0</v>
      </c>
      <c r="Y233" s="93">
        <f>SUM('1:2'!Y233)</f>
        <v>0</v>
      </c>
      <c r="Z233" s="93">
        <f>SUM('1:2'!Z233)</f>
        <v>0</v>
      </c>
      <c r="AA233" s="93">
        <f>SUM('1:2'!AA233)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30100041</v>
      </c>
      <c r="B234" s="62" t="s">
        <v>81</v>
      </c>
      <c r="C234" s="16" t="s">
        <v>65</v>
      </c>
      <c r="D234" s="17">
        <v>5.03</v>
      </c>
      <c r="E234" s="17"/>
      <c r="F234" s="6"/>
      <c r="G234" s="93">
        <f>SUM('1:2'!G234)</f>
        <v>0</v>
      </c>
      <c r="H234" s="246">
        <f t="shared" si="71"/>
        <v>0</v>
      </c>
      <c r="I234" s="93">
        <f>SUM('1:2'!I234)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SUM('1:2'!N234)</f>
        <v>0</v>
      </c>
      <c r="O234" s="93">
        <f>SUM('1:2'!O234)</f>
        <v>0</v>
      </c>
      <c r="P234" s="93">
        <f>SUM('1:2'!P234)</f>
        <v>0</v>
      </c>
      <c r="Q234" s="93">
        <f>SUM('1:2'!Q234)</f>
        <v>0</v>
      </c>
      <c r="R234" s="93">
        <f>SUM('1:2'!R234)</f>
        <v>0</v>
      </c>
      <c r="S234" s="93">
        <f>SUM('1:2'!S234)</f>
        <v>0</v>
      </c>
      <c r="T234" s="93">
        <f>SUM('1:2'!T234)</f>
        <v>0</v>
      </c>
      <c r="U234" s="93">
        <f>SUM('1:2'!U234)</f>
        <v>0</v>
      </c>
      <c r="V234" s="206">
        <f t="shared" si="83"/>
        <v>0</v>
      </c>
      <c r="W234" s="33" t="str">
        <f t="shared" si="84"/>
        <v/>
      </c>
      <c r="X234" s="93">
        <f>SUM('1:2'!X234)</f>
        <v>0</v>
      </c>
      <c r="Y234" s="93">
        <f>SUM('1:2'!Y234)</f>
        <v>0</v>
      </c>
      <c r="Z234" s="93">
        <f>SUM('1:2'!Z234)</f>
        <v>0</v>
      </c>
      <c r="AA234" s="93">
        <f>SUM('1:2'!AA234)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30100045</v>
      </c>
      <c r="B235" s="62" t="s">
        <v>83</v>
      </c>
      <c r="C235" s="16" t="s">
        <v>73</v>
      </c>
      <c r="D235" s="17">
        <v>5.03</v>
      </c>
      <c r="E235" s="17"/>
      <c r="F235" s="6"/>
      <c r="G235" s="93">
        <f>SUM('1:2'!G235)</f>
        <v>0</v>
      </c>
      <c r="H235" s="246">
        <f t="shared" si="71"/>
        <v>0</v>
      </c>
      <c r="I235" s="93">
        <f>SUM('1:2'!I235)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SUM('1:2'!N235)</f>
        <v>0</v>
      </c>
      <c r="O235" s="93">
        <f>SUM('1:2'!O235)</f>
        <v>0</v>
      </c>
      <c r="P235" s="93">
        <f>SUM('1:2'!P235)</f>
        <v>0</v>
      </c>
      <c r="Q235" s="93">
        <f>SUM('1:2'!Q235)</f>
        <v>0</v>
      </c>
      <c r="R235" s="93">
        <f>SUM('1:2'!R235)</f>
        <v>0</v>
      </c>
      <c r="S235" s="93">
        <f>SUM('1:2'!S235)</f>
        <v>0</v>
      </c>
      <c r="T235" s="93">
        <f>SUM('1:2'!T235)</f>
        <v>0</v>
      </c>
      <c r="U235" s="93">
        <f>SUM('1:2'!U235)</f>
        <v>0</v>
      </c>
      <c r="V235" s="206">
        <f t="shared" si="83"/>
        <v>0</v>
      </c>
      <c r="W235" s="33" t="str">
        <f t="shared" si="84"/>
        <v/>
      </c>
      <c r="X235" s="93">
        <f>SUM('1:2'!X235)</f>
        <v>0</v>
      </c>
      <c r="Y235" s="93">
        <f>SUM('1:2'!Y235)</f>
        <v>0</v>
      </c>
      <c r="Z235" s="93">
        <f>SUM('1:2'!Z235)</f>
        <v>0</v>
      </c>
      <c r="AA235" s="93">
        <f>SUM('1:2'!AA235)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30100044</v>
      </c>
      <c r="B236" s="62" t="s">
        <v>83</v>
      </c>
      <c r="C236" s="16" t="s">
        <v>61</v>
      </c>
      <c r="D236" s="17">
        <v>5.03</v>
      </c>
      <c r="E236" s="17"/>
      <c r="F236" s="6"/>
      <c r="G236" s="93">
        <f>SUM('1:2'!G236)</f>
        <v>0</v>
      </c>
      <c r="H236" s="246">
        <f t="shared" si="71"/>
        <v>0</v>
      </c>
      <c r="I236" s="93">
        <f>SUM('1:2'!I236)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SUM('1:2'!N236)</f>
        <v>0</v>
      </c>
      <c r="O236" s="93">
        <f>SUM('1:2'!O236)</f>
        <v>0</v>
      </c>
      <c r="P236" s="93">
        <f>SUM('1:2'!P236)</f>
        <v>0</v>
      </c>
      <c r="Q236" s="93">
        <f>SUM('1:2'!Q236)</f>
        <v>0</v>
      </c>
      <c r="R236" s="93">
        <f>SUM('1:2'!R236)</f>
        <v>0</v>
      </c>
      <c r="S236" s="93">
        <f>SUM('1:2'!S236)</f>
        <v>0</v>
      </c>
      <c r="T236" s="93">
        <f>SUM('1:2'!T236)</f>
        <v>0</v>
      </c>
      <c r="U236" s="93">
        <f>SUM('1:2'!U236)</f>
        <v>0</v>
      </c>
      <c r="V236" s="206">
        <f t="shared" si="83"/>
        <v>0</v>
      </c>
      <c r="W236" s="33" t="str">
        <f t="shared" si="84"/>
        <v/>
      </c>
      <c r="X236" s="93">
        <f>SUM('1:2'!X236)</f>
        <v>0</v>
      </c>
      <c r="Y236" s="93">
        <f>SUM('1:2'!Y236)</f>
        <v>0</v>
      </c>
      <c r="Z236" s="93">
        <f>SUM('1:2'!Z236)</f>
        <v>0</v>
      </c>
      <c r="AA236" s="93">
        <f>SUM('1:2'!AA236)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30100046</v>
      </c>
      <c r="B237" s="62" t="s">
        <v>83</v>
      </c>
      <c r="C237" s="16" t="s">
        <v>77</v>
      </c>
      <c r="D237" s="17">
        <v>5.03</v>
      </c>
      <c r="E237" s="17"/>
      <c r="F237" s="6"/>
      <c r="G237" s="93">
        <f>SUM('1:2'!G237)</f>
        <v>0</v>
      </c>
      <c r="H237" s="246">
        <f t="shared" si="71"/>
        <v>0</v>
      </c>
      <c r="I237" s="93">
        <f>SUM('1:2'!I237)</f>
        <v>0</v>
      </c>
      <c r="J237" s="31" t="str">
        <f t="array" ref="J237">IF(ISERROR(G237/I237),"",G237/I237)</f>
        <v/>
      </c>
      <c r="K237" s="35">
        <f t="array" ref="K237">IF(ISERROR(G237/L237),"",G237/L237)</f>
        <v>0</v>
      </c>
      <c r="L237" s="87">
        <v>50</v>
      </c>
      <c r="M237" s="36">
        <f t="shared" si="80"/>
        <v>0</v>
      </c>
      <c r="N237" s="93">
        <f>SUM('1:2'!N237)</f>
        <v>0</v>
      </c>
      <c r="O237" s="93">
        <f>SUM('1:2'!O237)</f>
        <v>0</v>
      </c>
      <c r="P237" s="93">
        <f>SUM('1:2'!P237)</f>
        <v>0</v>
      </c>
      <c r="Q237" s="93">
        <f>SUM('1:2'!Q237)</f>
        <v>0</v>
      </c>
      <c r="R237" s="93">
        <f>SUM('1:2'!R237)</f>
        <v>0</v>
      </c>
      <c r="S237" s="93">
        <f>SUM('1:2'!S237)</f>
        <v>0</v>
      </c>
      <c r="T237" s="93">
        <f>SUM('1:2'!T237)</f>
        <v>0</v>
      </c>
      <c r="U237" s="93">
        <f>SUM('1:2'!U237)</f>
        <v>0</v>
      </c>
      <c r="V237" s="206">
        <f t="shared" si="83"/>
        <v>0</v>
      </c>
      <c r="W237" s="33" t="str">
        <f t="shared" si="84"/>
        <v/>
      </c>
      <c r="X237" s="93">
        <f>SUM('1:2'!X237)</f>
        <v>0</v>
      </c>
      <c r="Y237" s="93">
        <f>SUM('1:2'!Y237)</f>
        <v>0</v>
      </c>
      <c r="Z237" s="93">
        <f>SUM('1:2'!Z237)</f>
        <v>0</v>
      </c>
      <c r="AA237" s="93">
        <f>SUM('1:2'!AA237)</f>
        <v>0</v>
      </c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30100043</v>
      </c>
      <c r="B238" s="192" t="s">
        <v>429</v>
      </c>
      <c r="C238" s="187" t="s">
        <v>427</v>
      </c>
      <c r="D238" s="17">
        <v>5.03</v>
      </c>
      <c r="E238" s="17"/>
      <c r="F238" s="6"/>
      <c r="G238" s="93">
        <f>SUM('1:2'!G238)</f>
        <v>0</v>
      </c>
      <c r="H238" s="246">
        <f t="shared" si="71"/>
        <v>0</v>
      </c>
      <c r="I238" s="93">
        <f>SUM('1:2'!I238)</f>
        <v>0</v>
      </c>
      <c r="J238" s="31"/>
      <c r="K238" s="35"/>
      <c r="L238" s="87">
        <v>50</v>
      </c>
      <c r="M238" s="36"/>
      <c r="N238" s="93"/>
      <c r="O238" s="93"/>
      <c r="P238" s="93"/>
      <c r="Q238" s="93"/>
      <c r="R238" s="93"/>
      <c r="S238" s="93"/>
      <c r="T238" s="93"/>
      <c r="U238" s="93"/>
      <c r="V238" s="206"/>
      <c r="W238" s="33"/>
      <c r="X238" s="93"/>
      <c r="Y238" s="93"/>
      <c r="Z238" s="93"/>
      <c r="AA238" s="93"/>
      <c r="AB238" s="358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30100064</v>
      </c>
      <c r="B239" s="192" t="s">
        <v>400</v>
      </c>
      <c r="C239" s="187" t="s">
        <v>398</v>
      </c>
      <c r="D239" s="17">
        <v>5</v>
      </c>
      <c r="E239" s="17"/>
      <c r="F239" s="6"/>
      <c r="G239" s="93">
        <f>SUM('1:2'!G239)</f>
        <v>0</v>
      </c>
      <c r="H239" s="246">
        <f t="shared" si="71"/>
        <v>0</v>
      </c>
      <c r="I239" s="93">
        <f>SUM('1:2'!I239)</f>
        <v>0</v>
      </c>
      <c r="J239" s="31"/>
      <c r="K239" s="35">
        <f t="array" ref="K239">IF(ISERROR(G239/L239),"",G239/L239)</f>
        <v>0</v>
      </c>
      <c r="L239" s="87">
        <v>50</v>
      </c>
      <c r="M239" s="36">
        <f t="shared" ref="M239:M250" si="85">IF(ISERROR(I239-K239),"",I239-K239)</f>
        <v>0</v>
      </c>
      <c r="N239" s="93">
        <f>SUM('1:2'!N239)</f>
        <v>0</v>
      </c>
      <c r="O239" s="93">
        <f>SUM('1:2'!O239)</f>
        <v>0</v>
      </c>
      <c r="P239" s="93">
        <f>SUM('1:2'!P239)</f>
        <v>0</v>
      </c>
      <c r="Q239" s="93">
        <f>SUM('1:2'!Q239)</f>
        <v>0</v>
      </c>
      <c r="R239" s="93">
        <f>SUM('1:2'!R239)</f>
        <v>0</v>
      </c>
      <c r="S239" s="93">
        <f>SUM('1:2'!S239)</f>
        <v>0</v>
      </c>
      <c r="T239" s="93">
        <f>SUM('1:2'!T239)</f>
        <v>0</v>
      </c>
      <c r="U239" s="93">
        <f>SUM('1:2'!U239)</f>
        <v>0</v>
      </c>
      <c r="V239" s="206"/>
      <c r="W239" s="33"/>
      <c r="X239" s="93">
        <f>SUM('1:2'!X239)</f>
        <v>0</v>
      </c>
      <c r="Y239" s="93">
        <f>SUM('1:2'!Y239)</f>
        <v>0</v>
      </c>
      <c r="Z239" s="93">
        <f>SUM('1:2'!Z239)</f>
        <v>0</v>
      </c>
      <c r="AA239" s="93">
        <f>SUM('1:2'!AA239)</f>
        <v>0</v>
      </c>
      <c r="AB239" s="361">
        <v>0.21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30100049</v>
      </c>
      <c r="B240" s="62" t="s">
        <v>84</v>
      </c>
      <c r="C240" s="16" t="s">
        <v>64</v>
      </c>
      <c r="D240" s="17">
        <v>5.03</v>
      </c>
      <c r="E240" s="17"/>
      <c r="F240" s="6"/>
      <c r="G240" s="93">
        <f>SUM('1:2'!G240)</f>
        <v>340</v>
      </c>
      <c r="H240" s="296">
        <f t="shared" si="71"/>
        <v>1710.2</v>
      </c>
      <c r="I240" s="93">
        <f>SUM('1:2'!I240)</f>
        <v>22.5</v>
      </c>
      <c r="J240" s="31">
        <f t="array" ref="J240">IF(ISERROR(G240/I240),"",G240/I240)</f>
        <v>15.111111111111111</v>
      </c>
      <c r="K240" s="35">
        <f t="array" ref="K240">IF(ISERROR(G240/L240),"",G240/L240)</f>
        <v>15.813953488372093</v>
      </c>
      <c r="L240" s="87">
        <v>21.5</v>
      </c>
      <c r="M240" s="36">
        <f t="shared" si="85"/>
        <v>6.6860465116279073</v>
      </c>
      <c r="N240" s="93">
        <f>SUM('1:2'!N240)</f>
        <v>0</v>
      </c>
      <c r="O240" s="93">
        <f>SUM('1:2'!O240)</f>
        <v>0</v>
      </c>
      <c r="P240" s="93">
        <f>SUM('1:2'!P240)</f>
        <v>0</v>
      </c>
      <c r="Q240" s="93">
        <f>SUM('1:2'!Q240)</f>
        <v>0</v>
      </c>
      <c r="R240" s="93">
        <f>SUM('1:2'!R240)</f>
        <v>0</v>
      </c>
      <c r="S240" s="93">
        <f>SUM('1:2'!S240)</f>
        <v>0</v>
      </c>
      <c r="T240" s="93">
        <f>SUM('1:2'!T240)</f>
        <v>0</v>
      </c>
      <c r="U240" s="93">
        <f>SUM('1:2'!U240)</f>
        <v>0</v>
      </c>
      <c r="V240" s="206">
        <f t="shared" ref="V240:V241" si="86">SUM(X240:AA240)</f>
        <v>0</v>
      </c>
      <c r="W240" s="33">
        <f t="shared" ref="W240:W241" si="87">IF(ISERROR(V240/G240),"",V240/G240)</f>
        <v>0</v>
      </c>
      <c r="X240" s="93">
        <f>SUM('1:2'!X240)</f>
        <v>0</v>
      </c>
      <c r="Y240" s="93">
        <f>SUM('1:2'!Y240)</f>
        <v>0</v>
      </c>
      <c r="Z240" s="93">
        <f>SUM('1:2'!Z240)</f>
        <v>0</v>
      </c>
      <c r="AA240" s="93">
        <f>SUM('1:2'!AA240)</f>
        <v>0</v>
      </c>
      <c r="AB240" s="358">
        <v>0.49</v>
      </c>
      <c r="AC240" s="269">
        <f t="shared" si="75"/>
        <v>166.6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>
        <v>30100050</v>
      </c>
      <c r="B241" s="62" t="s">
        <v>84</v>
      </c>
      <c r="C241" s="16" t="s">
        <v>65</v>
      </c>
      <c r="D241" s="17">
        <v>5.03</v>
      </c>
      <c r="E241" s="17"/>
      <c r="F241" s="6"/>
      <c r="G241" s="93">
        <f>SUM('1:2'!G241)</f>
        <v>0</v>
      </c>
      <c r="H241" s="296">
        <f t="shared" si="71"/>
        <v>0</v>
      </c>
      <c r="I241" s="93">
        <f>SUM('1:2'!I241)</f>
        <v>0</v>
      </c>
      <c r="J241" s="31" t="str">
        <f t="array" ref="J241">IF(ISERROR(G241/I241),"",G241/I241)</f>
        <v/>
      </c>
      <c r="K241" s="35">
        <f t="array" ref="K241">IF(ISERROR(G241/L241),"",G241/L241)</f>
        <v>0</v>
      </c>
      <c r="L241" s="87">
        <v>21.5</v>
      </c>
      <c r="M241" s="36">
        <f t="shared" si="85"/>
        <v>0</v>
      </c>
      <c r="N241" s="93">
        <f>SUM('1:2'!N241)</f>
        <v>0</v>
      </c>
      <c r="O241" s="93">
        <f>SUM('1:2'!O241)</f>
        <v>0</v>
      </c>
      <c r="P241" s="93">
        <f>SUM('1:2'!P241)</f>
        <v>0</v>
      </c>
      <c r="Q241" s="93">
        <f>SUM('1:2'!Q241)</f>
        <v>0</v>
      </c>
      <c r="R241" s="93">
        <f>SUM('1:2'!R241)</f>
        <v>0</v>
      </c>
      <c r="S241" s="93">
        <f>SUM('1:2'!S241)</f>
        <v>0</v>
      </c>
      <c r="T241" s="93">
        <f>SUM('1:2'!T241)</f>
        <v>0</v>
      </c>
      <c r="U241" s="93">
        <f>SUM('1:2'!U241)</f>
        <v>0</v>
      </c>
      <c r="V241" s="206">
        <f t="shared" si="86"/>
        <v>0</v>
      </c>
      <c r="W241" s="33" t="str">
        <f t="shared" si="87"/>
        <v/>
      </c>
      <c r="X241" s="93">
        <f>SUM('1:2'!X241)</f>
        <v>0</v>
      </c>
      <c r="Y241" s="93">
        <f>SUM('1:2'!Y241)</f>
        <v>0</v>
      </c>
      <c r="Z241" s="93">
        <f>SUM('1:2'!Z241)</f>
        <v>0</v>
      </c>
      <c r="AA241" s="93">
        <f>SUM('1:2'!AA241)</f>
        <v>0</v>
      </c>
      <c r="AB241" s="358">
        <v>0.49</v>
      </c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/>
      <c r="B242" s="192" t="s">
        <v>360</v>
      </c>
      <c r="C242" s="187" t="s">
        <v>361</v>
      </c>
      <c r="D242" s="17"/>
      <c r="E242" s="17"/>
      <c r="F242" s="6"/>
      <c r="G242" s="93">
        <f>SUM('1:2'!G242)</f>
        <v>0</v>
      </c>
      <c r="H242" s="296">
        <f t="shared" si="71"/>
        <v>0</v>
      </c>
      <c r="I242" s="93">
        <f>SUM('1:2'!I242)</f>
        <v>0</v>
      </c>
      <c r="J242" s="31"/>
      <c r="K242" s="35"/>
      <c r="L242" s="87"/>
      <c r="M242" s="36">
        <f t="shared" si="85"/>
        <v>0</v>
      </c>
      <c r="N242" s="93">
        <f>SUM('1:2'!N242)</f>
        <v>0</v>
      </c>
      <c r="O242" s="93">
        <f>SUM('1:2'!O242)</f>
        <v>0</v>
      </c>
      <c r="P242" s="93">
        <f>SUM('1:2'!P242)</f>
        <v>0</v>
      </c>
      <c r="Q242" s="93">
        <f>SUM('1:2'!Q242)</f>
        <v>0</v>
      </c>
      <c r="R242" s="93">
        <f>SUM('1:2'!R242)</f>
        <v>0</v>
      </c>
      <c r="S242" s="93">
        <f>SUM('1:2'!S242)</f>
        <v>0</v>
      </c>
      <c r="T242" s="93">
        <f>SUM('1:2'!T242)</f>
        <v>0</v>
      </c>
      <c r="U242" s="93">
        <f>SUM('1:2'!U242)</f>
        <v>0</v>
      </c>
      <c r="V242" s="206"/>
      <c r="W242" s="33"/>
      <c r="X242" s="93">
        <f>SUM('1:2'!X242)</f>
        <v>0</v>
      </c>
      <c r="Y242" s="93">
        <f>SUM('1:2'!Y242)</f>
        <v>0</v>
      </c>
      <c r="Z242" s="93">
        <f>SUM('1:2'!Z242)</f>
        <v>0</v>
      </c>
      <c r="AA242" s="93">
        <f>SUM('1:2'!AA242)</f>
        <v>0</v>
      </c>
      <c r="AB242" s="358"/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30100055</v>
      </c>
      <c r="B243" s="63" t="s">
        <v>85</v>
      </c>
      <c r="C243" s="16" t="s">
        <v>60</v>
      </c>
      <c r="D243" s="17">
        <v>5.0599999999999996</v>
      </c>
      <c r="E243" s="17"/>
      <c r="F243" s="6"/>
      <c r="G243" s="93">
        <f>SUM('1:2'!G243)</f>
        <v>0</v>
      </c>
      <c r="H243" s="296">
        <f t="shared" si="71"/>
        <v>0</v>
      </c>
      <c r="I243" s="93">
        <f>SUM('1:2'!I243)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SUM('1:2'!N243)</f>
        <v>0</v>
      </c>
      <c r="O243" s="93">
        <f>SUM('1:2'!O243)</f>
        <v>0</v>
      </c>
      <c r="P243" s="93">
        <f>SUM('1:2'!P243)</f>
        <v>0</v>
      </c>
      <c r="Q243" s="93">
        <f>SUM('1:2'!Q243)</f>
        <v>0</v>
      </c>
      <c r="R243" s="93">
        <f>SUM('1:2'!R243)</f>
        <v>0</v>
      </c>
      <c r="S243" s="93">
        <f>SUM('1:2'!S243)</f>
        <v>0</v>
      </c>
      <c r="T243" s="93">
        <f>SUM('1:2'!T243)</f>
        <v>0</v>
      </c>
      <c r="U243" s="93">
        <f>SUM('1:2'!U243)</f>
        <v>0</v>
      </c>
      <c r="V243" s="206">
        <f t="shared" ref="V243:V246" si="88">SUM(X243:AA243)</f>
        <v>0</v>
      </c>
      <c r="W243" s="33" t="str">
        <f t="shared" ref="W243:W246" si="89">IF(ISERROR(V243/G243),"",V243/G243)</f>
        <v/>
      </c>
      <c r="X243" s="93">
        <f>SUM('1:2'!X243)</f>
        <v>0</v>
      </c>
      <c r="Y243" s="93">
        <f>SUM('1:2'!Y243)</f>
        <v>0</v>
      </c>
      <c r="Z243" s="93">
        <f>SUM('1:2'!Z243)</f>
        <v>0</v>
      </c>
      <c r="AA243" s="93">
        <f>SUM('1:2'!AA243)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30100056</v>
      </c>
      <c r="B244" s="63" t="s">
        <v>85</v>
      </c>
      <c r="C244" s="16" t="s">
        <v>74</v>
      </c>
      <c r="D244" s="17">
        <v>5.0599999999999996</v>
      </c>
      <c r="E244" s="17"/>
      <c r="F244" s="6"/>
      <c r="G244" s="93">
        <f>SUM('1:2'!G244)</f>
        <v>0</v>
      </c>
      <c r="H244" s="296">
        <f t="shared" si="71"/>
        <v>0</v>
      </c>
      <c r="I244" s="93">
        <f>SUM('1:2'!I244)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SUM('1:2'!N244)</f>
        <v>0</v>
      </c>
      <c r="O244" s="93">
        <f>SUM('1:2'!O244)</f>
        <v>0</v>
      </c>
      <c r="P244" s="93">
        <f>SUM('1:2'!P244)</f>
        <v>0</v>
      </c>
      <c r="Q244" s="93">
        <f>SUM('1:2'!Q244)</f>
        <v>0</v>
      </c>
      <c r="R244" s="93">
        <f>SUM('1:2'!R244)</f>
        <v>0</v>
      </c>
      <c r="S244" s="93">
        <f>SUM('1:2'!S244)</f>
        <v>0</v>
      </c>
      <c r="T244" s="93">
        <f>SUM('1:2'!T244)</f>
        <v>0</v>
      </c>
      <c r="U244" s="93">
        <f>SUM('1:2'!U244)</f>
        <v>0</v>
      </c>
      <c r="V244" s="206">
        <f t="shared" si="88"/>
        <v>0</v>
      </c>
      <c r="W244" s="33" t="str">
        <f t="shared" si="89"/>
        <v/>
      </c>
      <c r="X244" s="93">
        <f>SUM('1:2'!X244)</f>
        <v>0</v>
      </c>
      <c r="Y244" s="93">
        <f>SUM('1:2'!Y244)</f>
        <v>0</v>
      </c>
      <c r="Z244" s="93">
        <f>SUM('1:2'!Z244)</f>
        <v>0</v>
      </c>
      <c r="AA244" s="93">
        <f>SUM('1:2'!AA244)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7.25">
      <c r="A245" s="316">
        <v>30100057</v>
      </c>
      <c r="B245" s="63" t="s">
        <v>85</v>
      </c>
      <c r="C245" s="16" t="s">
        <v>65</v>
      </c>
      <c r="D245" s="17">
        <v>5.0599999999999996</v>
      </c>
      <c r="E245" s="17"/>
      <c r="F245" s="6"/>
      <c r="G245" s="93">
        <f>SUM('1:2'!G245)</f>
        <v>0</v>
      </c>
      <c r="H245" s="296">
        <f t="shared" si="71"/>
        <v>0</v>
      </c>
      <c r="I245" s="93">
        <f>SUM('1:2'!I245)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SUM('1:2'!N245)</f>
        <v>0</v>
      </c>
      <c r="O245" s="93">
        <f>SUM('1:2'!O245)</f>
        <v>0</v>
      </c>
      <c r="P245" s="93">
        <f>SUM('1:2'!P245)</f>
        <v>0</v>
      </c>
      <c r="Q245" s="93">
        <f>SUM('1:2'!Q245)</f>
        <v>0</v>
      </c>
      <c r="R245" s="93">
        <f>SUM('1:2'!R245)</f>
        <v>0</v>
      </c>
      <c r="S245" s="93">
        <f>SUM('1:2'!S245)</f>
        <v>0</v>
      </c>
      <c r="T245" s="93">
        <f>SUM('1:2'!T245)</f>
        <v>0</v>
      </c>
      <c r="U245" s="93">
        <f>SUM('1:2'!U245)</f>
        <v>0</v>
      </c>
      <c r="V245" s="206">
        <f t="shared" si="88"/>
        <v>0</v>
      </c>
      <c r="W245" s="33" t="str">
        <f t="shared" si="89"/>
        <v/>
      </c>
      <c r="X245" s="93">
        <f>SUM('1:2'!X245)</f>
        <v>0</v>
      </c>
      <c r="Y245" s="93">
        <f>SUM('1:2'!Y245)</f>
        <v>0</v>
      </c>
      <c r="Z245" s="93">
        <f>SUM('1:2'!Z245)</f>
        <v>0</v>
      </c>
      <c r="AA245" s="93">
        <f>SUM('1:2'!AA245)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5" customHeight="1">
      <c r="A246" s="316">
        <v>30100058</v>
      </c>
      <c r="B246" s="63" t="s">
        <v>85</v>
      </c>
      <c r="C246" s="16" t="s">
        <v>61</v>
      </c>
      <c r="D246" s="17">
        <v>5.0599999999999996</v>
      </c>
      <c r="E246" s="17"/>
      <c r="F246" s="6"/>
      <c r="G246" s="93">
        <f>SUM('1:2'!G246)</f>
        <v>0</v>
      </c>
      <c r="H246" s="296">
        <f t="shared" si="71"/>
        <v>0</v>
      </c>
      <c r="I246" s="93">
        <f>SUM('1:2'!I246)</f>
        <v>0</v>
      </c>
      <c r="J246" s="31" t="str">
        <f t="array" ref="J246">IF(ISERROR(G246/I246),"",G246/I246)</f>
        <v/>
      </c>
      <c r="K246" s="35" t="str">
        <f t="array" ref="K246">IF(ISERROR(G246/L246),"",G246/L246)</f>
        <v/>
      </c>
      <c r="L246" s="87"/>
      <c r="M246" s="36" t="str">
        <f t="shared" si="85"/>
        <v/>
      </c>
      <c r="N246" s="93">
        <f>SUM('1:2'!N246)</f>
        <v>0</v>
      </c>
      <c r="O246" s="93">
        <f>SUM('1:2'!O246)</f>
        <v>0</v>
      </c>
      <c r="P246" s="93">
        <f>SUM('1:2'!P246)</f>
        <v>0</v>
      </c>
      <c r="Q246" s="93">
        <f>SUM('1:2'!Q246)</f>
        <v>0</v>
      </c>
      <c r="R246" s="93">
        <f>SUM('1:2'!R246)</f>
        <v>0</v>
      </c>
      <c r="S246" s="93">
        <f>SUM('1:2'!S246)</f>
        <v>0</v>
      </c>
      <c r="T246" s="93">
        <f>SUM('1:2'!T246)</f>
        <v>0</v>
      </c>
      <c r="U246" s="93">
        <f>SUM('1:2'!U246)</f>
        <v>0</v>
      </c>
      <c r="V246" s="206">
        <f t="shared" si="88"/>
        <v>0</v>
      </c>
      <c r="W246" s="33" t="str">
        <f t="shared" si="89"/>
        <v/>
      </c>
      <c r="X246" s="93">
        <f>SUM('1:2'!X246)</f>
        <v>0</v>
      </c>
      <c r="Y246" s="93">
        <f>SUM('1:2'!Y246)</f>
        <v>0</v>
      </c>
      <c r="Z246" s="93">
        <f>SUM('1:2'!Z246)</f>
        <v>0</v>
      </c>
      <c r="AA246" s="93">
        <f>SUM('1:2'!AA246)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30600013</v>
      </c>
      <c r="B247" s="197" t="s">
        <v>377</v>
      </c>
      <c r="C247" s="187" t="s">
        <v>374</v>
      </c>
      <c r="D247" s="17"/>
      <c r="E247" s="17"/>
      <c r="F247" s="6"/>
      <c r="G247" s="93">
        <f>SUM('1:2'!G247)</f>
        <v>0</v>
      </c>
      <c r="H247" s="296">
        <f t="shared" si="71"/>
        <v>0</v>
      </c>
      <c r="I247" s="93">
        <f>SUM('1:2'!I247)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SUM('1:2'!N247)</f>
        <v>0</v>
      </c>
      <c r="O247" s="93">
        <f>SUM('1:2'!O247)</f>
        <v>0</v>
      </c>
      <c r="P247" s="93">
        <f>SUM('1:2'!P247)</f>
        <v>0</v>
      </c>
      <c r="Q247" s="93">
        <f>SUM('1:2'!Q247)</f>
        <v>0</v>
      </c>
      <c r="R247" s="93">
        <f>SUM('1:2'!R247)</f>
        <v>0</v>
      </c>
      <c r="S247" s="93">
        <f>SUM('1:2'!S247)</f>
        <v>0</v>
      </c>
      <c r="T247" s="93">
        <f>SUM('1:2'!T247)</f>
        <v>0</v>
      </c>
      <c r="U247" s="93">
        <f>SUM('1:2'!U247)</f>
        <v>0</v>
      </c>
      <c r="V247" s="206"/>
      <c r="W247" s="33"/>
      <c r="X247" s="93">
        <f>SUM('1:2'!X247)</f>
        <v>0</v>
      </c>
      <c r="Y247" s="93">
        <f>SUM('1:2'!Y247)</f>
        <v>0</v>
      </c>
      <c r="Z247" s="93">
        <f>SUM('1:2'!Z247)</f>
        <v>0</v>
      </c>
      <c r="AA247" s="93">
        <f>SUM('1:2'!AA247)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30600014</v>
      </c>
      <c r="B248" s="197" t="s">
        <v>377</v>
      </c>
      <c r="C248" s="187" t="s">
        <v>369</v>
      </c>
      <c r="D248" s="17"/>
      <c r="E248" s="17"/>
      <c r="F248" s="6"/>
      <c r="G248" s="93">
        <f>SUM('1:2'!G248)</f>
        <v>0</v>
      </c>
      <c r="H248" s="296">
        <f t="shared" si="71"/>
        <v>0</v>
      </c>
      <c r="I248" s="93">
        <f>SUM('1:2'!I248)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SUM('1:2'!N248)</f>
        <v>0</v>
      </c>
      <c r="O248" s="93">
        <f>SUM('1:2'!O248)</f>
        <v>0</v>
      </c>
      <c r="P248" s="93">
        <f>SUM('1:2'!P248)</f>
        <v>0</v>
      </c>
      <c r="Q248" s="93">
        <f>SUM('1:2'!Q248)</f>
        <v>0</v>
      </c>
      <c r="R248" s="93">
        <f>SUM('1:2'!R248)</f>
        <v>0</v>
      </c>
      <c r="S248" s="93">
        <f>SUM('1:2'!S248)</f>
        <v>0</v>
      </c>
      <c r="T248" s="93">
        <f>SUM('1:2'!T248)</f>
        <v>0</v>
      </c>
      <c r="U248" s="93">
        <f>SUM('1:2'!U248)</f>
        <v>0</v>
      </c>
      <c r="V248" s="206"/>
      <c r="W248" s="33"/>
      <c r="X248" s="93">
        <f>SUM('1:2'!X248)</f>
        <v>0</v>
      </c>
      <c r="Y248" s="93">
        <f>SUM('1:2'!Y248)</f>
        <v>0</v>
      </c>
      <c r="Z248" s="93">
        <f>SUM('1:2'!Z248)</f>
        <v>0</v>
      </c>
      <c r="AA248" s="93">
        <f>SUM('1:2'!AA248)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30600012</v>
      </c>
      <c r="B249" s="197" t="s">
        <v>377</v>
      </c>
      <c r="C249" s="187" t="s">
        <v>370</v>
      </c>
      <c r="D249" s="17"/>
      <c r="E249" s="17"/>
      <c r="F249" s="6"/>
      <c r="G249" s="93">
        <f>SUM('1:2'!G249)</f>
        <v>0</v>
      </c>
      <c r="H249" s="296">
        <f t="shared" si="71"/>
        <v>0</v>
      </c>
      <c r="I249" s="93">
        <f>SUM('1:2'!I249)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SUM('1:2'!N249)</f>
        <v>0</v>
      </c>
      <c r="O249" s="93">
        <f>SUM('1:2'!O249)</f>
        <v>0</v>
      </c>
      <c r="P249" s="93">
        <f>SUM('1:2'!P249)</f>
        <v>0</v>
      </c>
      <c r="Q249" s="93">
        <f>SUM('1:2'!Q249)</f>
        <v>0</v>
      </c>
      <c r="R249" s="93">
        <f>SUM('1:2'!R249)</f>
        <v>0</v>
      </c>
      <c r="S249" s="93">
        <f>SUM('1:2'!S249)</f>
        <v>0</v>
      </c>
      <c r="T249" s="93">
        <f>SUM('1:2'!T249)</f>
        <v>0</v>
      </c>
      <c r="U249" s="93">
        <f>SUM('1:2'!U249)</f>
        <v>0</v>
      </c>
      <c r="V249" s="206"/>
      <c r="W249" s="33"/>
      <c r="X249" s="93">
        <f>SUM('1:2'!X249)</f>
        <v>0</v>
      </c>
      <c r="Y249" s="93">
        <f>SUM('1:2'!Y249)</f>
        <v>0</v>
      </c>
      <c r="Z249" s="93">
        <f>SUM('1:2'!Z249)</f>
        <v>0</v>
      </c>
      <c r="AA249" s="93">
        <f>SUM('1:2'!AA249)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30600011</v>
      </c>
      <c r="B250" s="197" t="s">
        <v>377</v>
      </c>
      <c r="C250" s="187" t="s">
        <v>371</v>
      </c>
      <c r="D250" s="17"/>
      <c r="E250" s="17"/>
      <c r="F250" s="6"/>
      <c r="G250" s="93">
        <f>SUM('1:2'!G250)</f>
        <v>0</v>
      </c>
      <c r="H250" s="296">
        <f t="shared" si="71"/>
        <v>0</v>
      </c>
      <c r="I250" s="93">
        <f>SUM('1:2'!I250)</f>
        <v>0</v>
      </c>
      <c r="J250" s="31"/>
      <c r="K250" s="35">
        <f t="array" ref="K250">IF(ISERROR(G250/L250),"",G250/L250)</f>
        <v>0</v>
      </c>
      <c r="L250" s="87">
        <v>24</v>
      </c>
      <c r="M250" s="36">
        <f t="shared" si="85"/>
        <v>0</v>
      </c>
      <c r="N250" s="93">
        <f>SUM('1:2'!N250)</f>
        <v>0</v>
      </c>
      <c r="O250" s="93">
        <f>SUM('1:2'!O250)</f>
        <v>0</v>
      </c>
      <c r="P250" s="93">
        <f>SUM('1:2'!P250)</f>
        <v>0</v>
      </c>
      <c r="Q250" s="93">
        <f>SUM('1:2'!Q250)</f>
        <v>0</v>
      </c>
      <c r="R250" s="93">
        <f>SUM('1:2'!R250)</f>
        <v>0</v>
      </c>
      <c r="S250" s="93">
        <f>SUM('1:2'!S250)</f>
        <v>0</v>
      </c>
      <c r="T250" s="93">
        <f>SUM('1:2'!T250)</f>
        <v>0</v>
      </c>
      <c r="U250" s="93">
        <f>SUM('1:2'!U250)</f>
        <v>0</v>
      </c>
      <c r="V250" s="206"/>
      <c r="W250" s="33"/>
      <c r="X250" s="93">
        <f>SUM('1:2'!X250)</f>
        <v>0</v>
      </c>
      <c r="Y250" s="93">
        <f>SUM('1:2'!Y250)</f>
        <v>0</v>
      </c>
      <c r="Z250" s="93">
        <f>SUM('1:2'!Z250)</f>
        <v>0</v>
      </c>
      <c r="AA250" s="93">
        <f>SUM('1:2'!AA250)</f>
        <v>0</v>
      </c>
      <c r="AB250" s="358">
        <v>0.43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30300002</v>
      </c>
      <c r="B251" s="197" t="s">
        <v>407</v>
      </c>
      <c r="C251" s="187" t="s">
        <v>408</v>
      </c>
      <c r="D251" s="17"/>
      <c r="E251" s="17"/>
      <c r="F251" s="6"/>
      <c r="G251" s="93">
        <f>SUM('1:2'!G251)</f>
        <v>0</v>
      </c>
      <c r="H251" s="296">
        <f t="shared" si="71"/>
        <v>0</v>
      </c>
      <c r="I251" s="93">
        <f>SUM('1:2'!I251)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30300001</v>
      </c>
      <c r="B252" s="197" t="s">
        <v>407</v>
      </c>
      <c r="C252" s="187" t="s">
        <v>409</v>
      </c>
      <c r="D252" s="17"/>
      <c r="E252" s="17"/>
      <c r="F252" s="6"/>
      <c r="G252" s="93">
        <f>SUM('1:2'!G252)</f>
        <v>0</v>
      </c>
      <c r="H252" s="296">
        <f t="shared" si="71"/>
        <v>0</v>
      </c>
      <c r="I252" s="93">
        <f>SUM('1:2'!I252)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30300003</v>
      </c>
      <c r="B253" s="197" t="s">
        <v>407</v>
      </c>
      <c r="C253" s="187" t="s">
        <v>410</v>
      </c>
      <c r="D253" s="17"/>
      <c r="E253" s="17"/>
      <c r="F253" s="6"/>
      <c r="G253" s="93">
        <f>SUM('1:2'!G253)</f>
        <v>0</v>
      </c>
      <c r="H253" s="296">
        <f t="shared" si="71"/>
        <v>0</v>
      </c>
      <c r="I253" s="93">
        <f>SUM('1:2'!I253)</f>
        <v>0</v>
      </c>
      <c r="J253" s="31"/>
      <c r="K253" s="35"/>
      <c r="L253" s="87">
        <v>4</v>
      </c>
      <c r="M253" s="36"/>
      <c r="N253" s="31"/>
      <c r="O253" s="93"/>
      <c r="P253" s="93"/>
      <c r="Q253" s="93"/>
      <c r="R253" s="93"/>
      <c r="S253" s="93"/>
      <c r="T253" s="93"/>
      <c r="U253" s="93"/>
      <c r="V253" s="206"/>
      <c r="W253" s="33"/>
      <c r="X253" s="93"/>
      <c r="Y253" s="93"/>
      <c r="Z253" s="93"/>
      <c r="AA253" s="93"/>
      <c r="AB253" s="361">
        <v>0.69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30300005</v>
      </c>
      <c r="B254" s="189" t="s">
        <v>363</v>
      </c>
      <c r="C254" s="16" t="s">
        <v>337</v>
      </c>
      <c r="D254" s="17"/>
      <c r="E254" s="17"/>
      <c r="F254" s="6"/>
      <c r="G254" s="93">
        <f>SUM('1:2'!G254)</f>
        <v>0</v>
      </c>
      <c r="H254" s="296">
        <f t="shared" si="71"/>
        <v>0</v>
      </c>
      <c r="I254" s="93">
        <f>SUM('1:2'!I254)</f>
        <v>0</v>
      </c>
      <c r="J254" s="31"/>
      <c r="K254" s="35"/>
      <c r="L254" s="87">
        <v>4</v>
      </c>
      <c r="M254" s="36"/>
      <c r="N254" s="31"/>
      <c r="O254" s="93">
        <f>SUM('1:2'!O254)</f>
        <v>0</v>
      </c>
      <c r="P254" s="93">
        <f>SUM('1:2'!P254)</f>
        <v>0</v>
      </c>
      <c r="Q254" s="93">
        <f>SUM('1:2'!Q254)</f>
        <v>0</v>
      </c>
      <c r="R254" s="93">
        <f>SUM('1:2'!R254)</f>
        <v>0</v>
      </c>
      <c r="S254" s="93">
        <f>SUM('1:2'!S254)</f>
        <v>0</v>
      </c>
      <c r="T254" s="93">
        <f>SUM('1:2'!T254)</f>
        <v>0</v>
      </c>
      <c r="U254" s="93">
        <f>SUM('1:2'!U254)</f>
        <v>0</v>
      </c>
      <c r="V254" s="206"/>
      <c r="W254" s="33"/>
      <c r="X254" s="93">
        <f>SUM('1:2'!X254)</f>
        <v>0</v>
      </c>
      <c r="Y254" s="93">
        <f>SUM('1:2'!Y254)</f>
        <v>0</v>
      </c>
      <c r="Z254" s="93">
        <f>SUM('1:2'!Z254)</f>
        <v>0</v>
      </c>
      <c r="AA254" s="93">
        <f>SUM('1:2'!AA254)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30300004</v>
      </c>
      <c r="B255" s="189" t="s">
        <v>363</v>
      </c>
      <c r="C255" s="16" t="s">
        <v>339</v>
      </c>
      <c r="D255" s="17"/>
      <c r="E255" s="17"/>
      <c r="F255" s="6"/>
      <c r="G255" s="93">
        <f>SUM('1:2'!G255)</f>
        <v>0</v>
      </c>
      <c r="H255" s="296">
        <f t="shared" si="71"/>
        <v>0</v>
      </c>
      <c r="I255" s="93">
        <f>SUM('1:2'!I255)</f>
        <v>0</v>
      </c>
      <c r="J255" s="31"/>
      <c r="K255" s="35"/>
      <c r="L255" s="87">
        <v>4</v>
      </c>
      <c r="M255" s="36"/>
      <c r="N255" s="31"/>
      <c r="O255" s="93">
        <f>SUM('1:2'!O255)</f>
        <v>0</v>
      </c>
      <c r="P255" s="93">
        <f>SUM('1:2'!P255)</f>
        <v>0</v>
      </c>
      <c r="Q255" s="93">
        <f>SUM('1:2'!Q255)</f>
        <v>0</v>
      </c>
      <c r="R255" s="93">
        <f>SUM('1:2'!R255)</f>
        <v>0</v>
      </c>
      <c r="S255" s="93">
        <f>SUM('1:2'!S255)</f>
        <v>0</v>
      </c>
      <c r="T255" s="93">
        <f>SUM('1:2'!T255)</f>
        <v>0</v>
      </c>
      <c r="U255" s="93">
        <f>SUM('1:2'!U255)</f>
        <v>0</v>
      </c>
      <c r="V255" s="206"/>
      <c r="W255" s="33"/>
      <c r="X255" s="93">
        <f>SUM('1:2'!X255)</f>
        <v>0</v>
      </c>
      <c r="Y255" s="93">
        <f>SUM('1:2'!Y255)</f>
        <v>0</v>
      </c>
      <c r="Z255" s="93">
        <f>SUM('1:2'!Z255)</f>
        <v>0</v>
      </c>
      <c r="AA255" s="93">
        <f>SUM('1:2'!AA255)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7.25">
      <c r="A256" s="318">
        <v>30300006</v>
      </c>
      <c r="B256" s="189" t="s">
        <v>363</v>
      </c>
      <c r="C256" s="16" t="s">
        <v>341</v>
      </c>
      <c r="D256" s="17"/>
      <c r="E256" s="17"/>
      <c r="F256" s="6"/>
      <c r="G256" s="93">
        <f>SUM('1:2'!G256)</f>
        <v>0</v>
      </c>
      <c r="H256" s="296">
        <f t="shared" si="71"/>
        <v>0</v>
      </c>
      <c r="I256" s="93">
        <f>SUM('1:2'!I256)</f>
        <v>0</v>
      </c>
      <c r="J256" s="31"/>
      <c r="K256" s="35"/>
      <c r="L256" s="87">
        <v>4</v>
      </c>
      <c r="M256" s="36"/>
      <c r="N256" s="31"/>
      <c r="O256" s="93">
        <f>SUM('1:2'!O256)</f>
        <v>0</v>
      </c>
      <c r="P256" s="93">
        <f>SUM('1:2'!P256)</f>
        <v>0</v>
      </c>
      <c r="Q256" s="93">
        <f>SUM('1:2'!Q256)</f>
        <v>0</v>
      </c>
      <c r="R256" s="93">
        <f>SUM('1:2'!R256)</f>
        <v>0</v>
      </c>
      <c r="S256" s="93">
        <f>SUM('1:2'!S256)</f>
        <v>0</v>
      </c>
      <c r="T256" s="93">
        <f>SUM('1:2'!T256)</f>
        <v>0</v>
      </c>
      <c r="U256" s="93">
        <f>SUM('1:2'!U256)</f>
        <v>0</v>
      </c>
      <c r="V256" s="206"/>
      <c r="W256" s="33"/>
      <c r="X256" s="93">
        <f>SUM('1:2'!X256)</f>
        <v>0</v>
      </c>
      <c r="Y256" s="93">
        <f>SUM('1:2'!Y256)</f>
        <v>0</v>
      </c>
      <c r="Z256" s="93">
        <f>SUM('1:2'!Z256)</f>
        <v>0</v>
      </c>
      <c r="AA256" s="93">
        <f>SUM('1:2'!AA256)</f>
        <v>0</v>
      </c>
      <c r="AB256" s="358">
        <v>0.95</v>
      </c>
      <c r="AC256" s="269">
        <f t="shared" si="75"/>
        <v>0</v>
      </c>
      <c r="AD256" s="251"/>
      <c r="AE256" s="54"/>
      <c r="AF256" s="54"/>
      <c r="AG256" s="54"/>
      <c r="AH256" s="5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5.75">
      <c r="A257" s="739" t="s">
        <v>86</v>
      </c>
      <c r="B257" s="739"/>
      <c r="C257" s="243" t="s">
        <v>71</v>
      </c>
      <c r="D257" s="20"/>
      <c r="E257" s="20"/>
      <c r="F257" s="32"/>
      <c r="G257" s="94">
        <f>SUM(G200:G256)</f>
        <v>4557</v>
      </c>
      <c r="H257" s="30">
        <f>SUM(H200:H256)</f>
        <v>22991.81</v>
      </c>
      <c r="I257" s="30">
        <f>SUM(I200:I256)</f>
        <v>191</v>
      </c>
      <c r="J257" s="31">
        <f t="array" ref="J257">IF(ISERROR(G257/I257),"",G257/I257)</f>
        <v>23.858638743455497</v>
      </c>
      <c r="K257" s="30">
        <f>SUM(K200:K256)</f>
        <v>132.843715393134</v>
      </c>
      <c r="L257" s="98"/>
      <c r="M257" s="89">
        <f t="shared" ref="M257:V257" si="90">SUM(M200:M256)</f>
        <v>58.156284606865995</v>
      </c>
      <c r="N257" s="30">
        <f t="shared" si="90"/>
        <v>0</v>
      </c>
      <c r="O257" s="91">
        <f t="shared" si="90"/>
        <v>0</v>
      </c>
      <c r="P257" s="91">
        <f t="shared" si="90"/>
        <v>0</v>
      </c>
      <c r="Q257" s="91">
        <f t="shared" si="90"/>
        <v>0</v>
      </c>
      <c r="R257" s="91">
        <f t="shared" si="90"/>
        <v>0</v>
      </c>
      <c r="S257" s="92">
        <f t="shared" si="90"/>
        <v>0</v>
      </c>
      <c r="T257" s="91">
        <f t="shared" si="90"/>
        <v>0</v>
      </c>
      <c r="U257" s="91">
        <f t="shared" si="90"/>
        <v>0</v>
      </c>
      <c r="V257" s="206">
        <f t="shared" si="90"/>
        <v>0</v>
      </c>
      <c r="W257" s="33">
        <f t="shared" ref="W257:W264" si="91">IF(ISERROR(V257/G257),"",V257/G257)</f>
        <v>0</v>
      </c>
      <c r="X257" s="92">
        <f>SUM(X200:X256)</f>
        <v>0</v>
      </c>
      <c r="Y257" s="92">
        <f>SUM(Y200:Y256)</f>
        <v>0</v>
      </c>
      <c r="Z257" s="92">
        <f>SUM(Z200:Z256)</f>
        <v>0</v>
      </c>
      <c r="AA257" s="92">
        <f>SUM(AA200:AA256)</f>
        <v>0</v>
      </c>
      <c r="AB257" s="358"/>
      <c r="AC257" s="91">
        <f>SUM(AC200:AC256)</f>
        <v>1360.2799999999997</v>
      </c>
      <c r="AD257" s="251"/>
      <c r="AE257" s="74"/>
      <c r="AF257" s="74"/>
      <c r="AG257" s="74"/>
      <c r="AH257" s="7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30400012</v>
      </c>
      <c r="B258" s="61" t="s">
        <v>87</v>
      </c>
      <c r="C258" s="16" t="s">
        <v>53</v>
      </c>
      <c r="D258" s="17">
        <v>5.03</v>
      </c>
      <c r="E258" s="17"/>
      <c r="F258" s="6"/>
      <c r="G258" s="93">
        <f>SUM('1:2'!G258)</f>
        <v>0</v>
      </c>
      <c r="H258" s="246">
        <f>D258*G258</f>
        <v>0</v>
      </c>
      <c r="I258" s="93">
        <f>SUM('1:2'!I258)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ref="M258:M265" si="92">IF(ISERROR(I258-K258),"",I258-K258)</f>
        <v>0</v>
      </c>
      <c r="N258" s="31">
        <f t="shared" ref="N258:N265" si="93">SUM(O258:U258)</f>
        <v>0</v>
      </c>
      <c r="O258" s="93">
        <f>SUM('1:2'!O258)</f>
        <v>0</v>
      </c>
      <c r="P258" s="93">
        <f>SUM('1:2'!P258)</f>
        <v>0</v>
      </c>
      <c r="Q258" s="93">
        <f>SUM('1:2'!Q258)</f>
        <v>0</v>
      </c>
      <c r="R258" s="93">
        <f>SUM('1:2'!R258)</f>
        <v>0</v>
      </c>
      <c r="S258" s="93">
        <f>SUM('1:2'!S258)</f>
        <v>0</v>
      </c>
      <c r="T258" s="93">
        <f>SUM('1:2'!T258)</f>
        <v>0</v>
      </c>
      <c r="U258" s="93">
        <f>SUM('1:2'!U258)</f>
        <v>0</v>
      </c>
      <c r="V258" s="206">
        <f t="shared" ref="V258:V264" si="94">SUM(X258:AA258)</f>
        <v>0</v>
      </c>
      <c r="W258" s="33" t="str">
        <f t="shared" si="91"/>
        <v/>
      </c>
      <c r="X258" s="93">
        <f>SUM('1:2'!X258)</f>
        <v>0</v>
      </c>
      <c r="Y258" s="93">
        <f>SUM('1:2'!Y258)</f>
        <v>0</v>
      </c>
      <c r="Z258" s="93">
        <f>SUM('1:2'!Z258)</f>
        <v>0</v>
      </c>
      <c r="AA258" s="93">
        <f>SUM('1:2'!AA258)</f>
        <v>0</v>
      </c>
      <c r="AB258" s="358">
        <v>1.18</v>
      </c>
      <c r="AC258" s="269">
        <f t="shared" ref="AC258:AC291" si="95">AB258*G258</f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30400010</v>
      </c>
      <c r="B259" s="61" t="s">
        <v>87</v>
      </c>
      <c r="C259" s="16" t="s">
        <v>60</v>
      </c>
      <c r="D259" s="17">
        <v>5.03</v>
      </c>
      <c r="E259" s="17"/>
      <c r="F259" s="6"/>
      <c r="G259" s="93">
        <f>SUM('1:2'!G259)</f>
        <v>0</v>
      </c>
      <c r="H259" s="246">
        <f t="shared" ref="H259:H291" si="96">D259*G259</f>
        <v>0</v>
      </c>
      <c r="I259" s="93">
        <f>SUM('1:2'!I259)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SUM('1:2'!O259)</f>
        <v>0</v>
      </c>
      <c r="P259" s="93">
        <f>SUM('1:2'!P259)</f>
        <v>0</v>
      </c>
      <c r="Q259" s="93">
        <f>SUM('1:2'!Q259)</f>
        <v>0</v>
      </c>
      <c r="R259" s="93">
        <f>SUM('1:2'!R259)</f>
        <v>0</v>
      </c>
      <c r="S259" s="93">
        <f>SUM('1:2'!S259)</f>
        <v>0</v>
      </c>
      <c r="T259" s="93">
        <f>SUM('1:2'!T259)</f>
        <v>0</v>
      </c>
      <c r="U259" s="93">
        <f>SUM('1:2'!U259)</f>
        <v>0</v>
      </c>
      <c r="V259" s="206">
        <f t="shared" si="94"/>
        <v>0</v>
      </c>
      <c r="W259" s="33" t="str">
        <f t="shared" si="91"/>
        <v/>
      </c>
      <c r="X259" s="93">
        <f>SUM('1:2'!X259)</f>
        <v>0</v>
      </c>
      <c r="Y259" s="93">
        <f>SUM('1:2'!Y259)</f>
        <v>0</v>
      </c>
      <c r="Z259" s="93">
        <f>SUM('1:2'!Z259)</f>
        <v>0</v>
      </c>
      <c r="AA259" s="93">
        <f>SUM('1:2'!AA259)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30400011</v>
      </c>
      <c r="B260" s="61" t="s">
        <v>87</v>
      </c>
      <c r="C260" s="16" t="s">
        <v>74</v>
      </c>
      <c r="D260" s="17">
        <v>5.03</v>
      </c>
      <c r="E260" s="17"/>
      <c r="F260" s="6"/>
      <c r="G260" s="93">
        <f>SUM('1:2'!G260)</f>
        <v>0</v>
      </c>
      <c r="H260" s="246">
        <f t="shared" si="96"/>
        <v>0</v>
      </c>
      <c r="I260" s="93">
        <f>SUM('1:2'!I260)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8.8000000000000007</v>
      </c>
      <c r="M260" s="36">
        <f t="shared" si="92"/>
        <v>0</v>
      </c>
      <c r="N260" s="31">
        <f t="shared" si="93"/>
        <v>0</v>
      </c>
      <c r="O260" s="93">
        <f>SUM('1:2'!O260)</f>
        <v>0</v>
      </c>
      <c r="P260" s="93">
        <f>SUM('1:2'!P260)</f>
        <v>0</v>
      </c>
      <c r="Q260" s="93">
        <f>SUM('1:2'!Q260)</f>
        <v>0</v>
      </c>
      <c r="R260" s="93">
        <f>SUM('1:2'!R260)</f>
        <v>0</v>
      </c>
      <c r="S260" s="93">
        <f>SUM('1:2'!S260)</f>
        <v>0</v>
      </c>
      <c r="T260" s="93">
        <f>SUM('1:2'!T260)</f>
        <v>0</v>
      </c>
      <c r="U260" s="93">
        <f>SUM('1:2'!U260)</f>
        <v>0</v>
      </c>
      <c r="V260" s="206">
        <f t="shared" si="94"/>
        <v>0</v>
      </c>
      <c r="W260" s="33" t="str">
        <f t="shared" si="91"/>
        <v/>
      </c>
      <c r="X260" s="93">
        <f>SUM('1:2'!X260)</f>
        <v>0</v>
      </c>
      <c r="Y260" s="93">
        <f>SUM('1:2'!Y260)</f>
        <v>0</v>
      </c>
      <c r="Z260" s="93">
        <f>SUM('1:2'!Z260)</f>
        <v>0</v>
      </c>
      <c r="AA260" s="93">
        <f>SUM('1:2'!AA260)</f>
        <v>0</v>
      </c>
      <c r="AB260" s="358">
        <v>1.18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30400014</v>
      </c>
      <c r="B261" s="215" t="s">
        <v>513</v>
      </c>
      <c r="C261" s="16" t="s">
        <v>53</v>
      </c>
      <c r="D261" s="17">
        <v>5.03</v>
      </c>
      <c r="E261" s="17"/>
      <c r="F261" s="6"/>
      <c r="G261" s="93">
        <f>SUM('1:2'!G261)</f>
        <v>0</v>
      </c>
      <c r="H261" s="246">
        <f t="shared" si="96"/>
        <v>0</v>
      </c>
      <c r="I261" s="93">
        <f>SUM('1:2'!I261)</f>
        <v>0</v>
      </c>
      <c r="J261" s="31" t="str">
        <f t="array" ref="J261">IF(ISERROR(G261/I261),"",G261/I261)</f>
        <v/>
      </c>
      <c r="K261" s="35">
        <f t="array" ref="K261">IF(ISERROR(G261/L261),"",G261/L261)</f>
        <v>0</v>
      </c>
      <c r="L261" s="87">
        <v>9.3000000000000007</v>
      </c>
      <c r="M261" s="36">
        <f t="shared" si="92"/>
        <v>0</v>
      </c>
      <c r="N261" s="31">
        <f t="shared" si="93"/>
        <v>0</v>
      </c>
      <c r="O261" s="93">
        <f>SUM('1:2'!O261)</f>
        <v>0</v>
      </c>
      <c r="P261" s="93">
        <f>SUM('1:2'!P261)</f>
        <v>0</v>
      </c>
      <c r="Q261" s="93">
        <f>SUM('1:2'!Q261)</f>
        <v>0</v>
      </c>
      <c r="R261" s="93">
        <f>SUM('1:2'!R261)</f>
        <v>0</v>
      </c>
      <c r="S261" s="93">
        <f>SUM('1:2'!S261)</f>
        <v>0</v>
      </c>
      <c r="T261" s="93">
        <f>SUM('1:2'!T261)</f>
        <v>0</v>
      </c>
      <c r="U261" s="93">
        <f>SUM('1:2'!U261)</f>
        <v>0</v>
      </c>
      <c r="V261" s="206">
        <f t="shared" si="94"/>
        <v>0</v>
      </c>
      <c r="W261" s="33" t="str">
        <f t="shared" si="91"/>
        <v/>
      </c>
      <c r="X261" s="93">
        <f>SUM('1:2'!X261)</f>
        <v>0</v>
      </c>
      <c r="Y261" s="93">
        <f>SUM('1:2'!Y261)</f>
        <v>0</v>
      </c>
      <c r="Z261" s="93">
        <f>SUM('1:2'!Z261)</f>
        <v>0</v>
      </c>
      <c r="AA261" s="93">
        <f>SUM('1:2'!AA261)</f>
        <v>0</v>
      </c>
      <c r="AB261" s="358">
        <v>1.1100000000000001</v>
      </c>
      <c r="AC261" s="269">
        <f t="shared" si="95"/>
        <v>0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30400013</v>
      </c>
      <c r="B262" s="215" t="s">
        <v>473</v>
      </c>
      <c r="C262" s="16" t="s">
        <v>72</v>
      </c>
      <c r="D262" s="17">
        <v>5.03</v>
      </c>
      <c r="E262" s="17"/>
      <c r="F262" s="6"/>
      <c r="G262" s="93">
        <f>SUM('1:2'!G262)</f>
        <v>0</v>
      </c>
      <c r="H262" s="246">
        <f t="shared" si="96"/>
        <v>0</v>
      </c>
      <c r="I262" s="93">
        <f>SUM('1:2'!I262)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SUM('1:2'!O262)</f>
        <v>0</v>
      </c>
      <c r="P262" s="93">
        <f>SUM('1:2'!P262)</f>
        <v>0</v>
      </c>
      <c r="Q262" s="93">
        <f>SUM('1:2'!Q262)</f>
        <v>0</v>
      </c>
      <c r="R262" s="93">
        <f>SUM('1:2'!R262)</f>
        <v>0</v>
      </c>
      <c r="S262" s="93">
        <f>SUM('1:2'!S262)</f>
        <v>0</v>
      </c>
      <c r="T262" s="93">
        <f>SUM('1:2'!T262)</f>
        <v>0</v>
      </c>
      <c r="U262" s="93">
        <f>SUM('1:2'!U262)</f>
        <v>0</v>
      </c>
      <c r="V262" s="206">
        <f t="shared" si="94"/>
        <v>0</v>
      </c>
      <c r="W262" s="33" t="str">
        <f t="shared" si="91"/>
        <v/>
      </c>
      <c r="X262" s="93">
        <f>SUM('1:2'!X262)</f>
        <v>0</v>
      </c>
      <c r="Y262" s="93">
        <f>SUM('1:2'!Y262)</f>
        <v>0</v>
      </c>
      <c r="Z262" s="93">
        <f>SUM('1:2'!Z262)</f>
        <v>0</v>
      </c>
      <c r="AA262" s="93">
        <f>SUM('1:2'!AA262)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30400016</v>
      </c>
      <c r="B263" s="215" t="s">
        <v>513</v>
      </c>
      <c r="C263" s="16" t="s">
        <v>60</v>
      </c>
      <c r="D263" s="17">
        <v>5.03</v>
      </c>
      <c r="E263" s="17"/>
      <c r="F263" s="6"/>
      <c r="G263" s="93">
        <f>SUM('1:2'!G263)</f>
        <v>146</v>
      </c>
      <c r="H263" s="246">
        <f t="shared" si="96"/>
        <v>734.38</v>
      </c>
      <c r="I263" s="93">
        <f>SUM('1:2'!I263)</f>
        <v>28</v>
      </c>
      <c r="J263" s="31">
        <f t="array" ref="J263">IF(ISERROR(G263/I263),"",G263/I263)</f>
        <v>5.2142857142857144</v>
      </c>
      <c r="K263" s="35">
        <f t="array" ref="K263">IF(ISERROR(G263/L263),"",G263/L263)</f>
        <v>15.698924731182794</v>
      </c>
      <c r="L263" s="87">
        <v>9.3000000000000007</v>
      </c>
      <c r="M263" s="36">
        <f t="shared" si="92"/>
        <v>12.301075268817206</v>
      </c>
      <c r="N263" s="31">
        <f t="shared" si="93"/>
        <v>0</v>
      </c>
      <c r="O263" s="93">
        <f>SUM('1:2'!O263)</f>
        <v>0</v>
      </c>
      <c r="P263" s="93">
        <f>SUM('1:2'!P263)</f>
        <v>0</v>
      </c>
      <c r="Q263" s="93">
        <f>SUM('1:2'!Q263)</f>
        <v>0</v>
      </c>
      <c r="R263" s="93">
        <f>SUM('1:2'!R263)</f>
        <v>0</v>
      </c>
      <c r="S263" s="93">
        <f>SUM('1:2'!S263)</f>
        <v>0</v>
      </c>
      <c r="T263" s="93">
        <f>SUM('1:2'!T263)</f>
        <v>0</v>
      </c>
      <c r="U263" s="93">
        <f>SUM('1:2'!U263)</f>
        <v>0</v>
      </c>
      <c r="V263" s="206">
        <f t="shared" si="94"/>
        <v>0</v>
      </c>
      <c r="W263" s="33">
        <f t="shared" si="91"/>
        <v>0</v>
      </c>
      <c r="X263" s="93">
        <f>SUM('1:2'!X263)</f>
        <v>0</v>
      </c>
      <c r="Y263" s="93">
        <f>SUM('1:2'!Y263)</f>
        <v>0</v>
      </c>
      <c r="Z263" s="93">
        <f>SUM('1:2'!Z263)</f>
        <v>0</v>
      </c>
      <c r="AA263" s="93">
        <f>SUM('1:2'!AA263)</f>
        <v>0</v>
      </c>
      <c r="AB263" s="358">
        <v>1.1100000000000001</v>
      </c>
      <c r="AC263" s="269">
        <f t="shared" si="95"/>
        <v>162.06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30400017</v>
      </c>
      <c r="B264" s="215" t="s">
        <v>513</v>
      </c>
      <c r="C264" s="16" t="s">
        <v>66</v>
      </c>
      <c r="D264" s="17">
        <v>5.03</v>
      </c>
      <c r="E264" s="17"/>
      <c r="F264" s="6"/>
      <c r="G264" s="93">
        <f>SUM('1:2'!G264)</f>
        <v>0</v>
      </c>
      <c r="H264" s="246">
        <f t="shared" si="96"/>
        <v>0</v>
      </c>
      <c r="I264" s="93">
        <f>SUM('1:2'!I264)</f>
        <v>0</v>
      </c>
      <c r="J264" s="31" t="str">
        <f t="array" ref="J264">IF(ISERROR(G264/I264),"",G264/I264)</f>
        <v/>
      </c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SUM('1:2'!O264)</f>
        <v>0</v>
      </c>
      <c r="P264" s="93">
        <f>SUM('1:2'!P264)</f>
        <v>0</v>
      </c>
      <c r="Q264" s="93">
        <f>SUM('1:2'!Q264)</f>
        <v>0</v>
      </c>
      <c r="R264" s="93">
        <f>SUM('1:2'!R264)</f>
        <v>0</v>
      </c>
      <c r="S264" s="93">
        <f>SUM('1:2'!S264)</f>
        <v>0</v>
      </c>
      <c r="T264" s="93">
        <f>SUM('1:2'!T264)</f>
        <v>0</v>
      </c>
      <c r="U264" s="93">
        <f>SUM('1:2'!U264)</f>
        <v>0</v>
      </c>
      <c r="V264" s="206">
        <f t="shared" si="94"/>
        <v>0</v>
      </c>
      <c r="W264" s="33" t="str">
        <f t="shared" si="91"/>
        <v/>
      </c>
      <c r="X264" s="93">
        <f>SUM('1:2'!X264)</f>
        <v>0</v>
      </c>
      <c r="Y264" s="93">
        <f>SUM('1:2'!Y264)</f>
        <v>0</v>
      </c>
      <c r="Z264" s="93">
        <f>SUM('1:2'!Z264)</f>
        <v>0</v>
      </c>
      <c r="AA264" s="93">
        <f>SUM('1:2'!AA264)</f>
        <v>0</v>
      </c>
      <c r="AB264" s="358">
        <v>1.1100000000000001</v>
      </c>
      <c r="AC264" s="269">
        <f t="shared" si="95"/>
        <v>0</v>
      </c>
      <c r="AD264" s="251"/>
      <c r="AE264" s="54"/>
      <c r="AF264" s="54"/>
      <c r="AG264" s="54"/>
      <c r="AH264" s="54"/>
      <c r="AI264" s="57"/>
      <c r="AJ264" s="57"/>
      <c r="AK264" s="57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</row>
    <row r="265" spans="1:53" ht="17.25">
      <c r="A265" s="320">
        <v>30400015</v>
      </c>
      <c r="B265" s="65" t="s">
        <v>512</v>
      </c>
      <c r="C265" s="16" t="s">
        <v>177</v>
      </c>
      <c r="D265" s="17">
        <v>5.03</v>
      </c>
      <c r="E265" s="17"/>
      <c r="F265" s="6"/>
      <c r="G265" s="93">
        <f>SUM('1:2'!G265)</f>
        <v>96</v>
      </c>
      <c r="H265" s="246">
        <f t="shared" si="96"/>
        <v>482.88</v>
      </c>
      <c r="I265" s="93">
        <f>SUM('1:2'!I265)</f>
        <v>11</v>
      </c>
      <c r="J265" s="31"/>
      <c r="K265" s="35">
        <f t="array" ref="K265">IF(ISERROR(G265/L265),"",G265/L265)</f>
        <v>10.32258064516129</v>
      </c>
      <c r="L265" s="87">
        <v>9.3000000000000007</v>
      </c>
      <c r="M265" s="36">
        <f t="shared" si="92"/>
        <v>0.67741935483870996</v>
      </c>
      <c r="N265" s="31">
        <f t="shared" si="93"/>
        <v>0</v>
      </c>
      <c r="O265" s="93">
        <f>SUM('1:2'!O265)</f>
        <v>0</v>
      </c>
      <c r="P265" s="93">
        <f>SUM('1:2'!P265)</f>
        <v>0</v>
      </c>
      <c r="Q265" s="93">
        <f>SUM('1:2'!Q265)</f>
        <v>0</v>
      </c>
      <c r="R265" s="93">
        <f>SUM('1:2'!R265)</f>
        <v>0</v>
      </c>
      <c r="S265" s="93">
        <f>SUM('1:2'!S265)</f>
        <v>0</v>
      </c>
      <c r="T265" s="93">
        <f>SUM('1:2'!T265)</f>
        <v>0</v>
      </c>
      <c r="U265" s="93">
        <f>SUM('1:2'!U265)</f>
        <v>0</v>
      </c>
      <c r="V265" s="207"/>
      <c r="W265" s="33"/>
      <c r="X265" s="93">
        <f>SUM('1:2'!X265)</f>
        <v>0</v>
      </c>
      <c r="Y265" s="93">
        <f>SUM('1:2'!Y265)</f>
        <v>0</v>
      </c>
      <c r="Z265" s="93">
        <f>SUM('1:2'!Z265)</f>
        <v>0</v>
      </c>
      <c r="AA265" s="93">
        <f>SUM('1:2'!AA265)</f>
        <v>0</v>
      </c>
      <c r="AB265" s="358">
        <v>0.84</v>
      </c>
      <c r="AC265" s="269">
        <f t="shared" si="95"/>
        <v>80.64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30600004</v>
      </c>
      <c r="B266" s="65" t="s">
        <v>162</v>
      </c>
      <c r="C266" s="16" t="s">
        <v>53</v>
      </c>
      <c r="D266" s="17">
        <v>5.03</v>
      </c>
      <c r="E266" s="17"/>
      <c r="F266" s="6"/>
      <c r="G266" s="93">
        <f>SUM('1:2'!G266)</f>
        <v>0</v>
      </c>
      <c r="H266" s="246">
        <f t="shared" si="96"/>
        <v>0</v>
      </c>
      <c r="I266" s="93">
        <f>SUM('1:2'!I266)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SUM('1:2'!O266)</f>
        <v>0</v>
      </c>
      <c r="P266" s="93">
        <f>SUM('1:2'!P266)</f>
        <v>0</v>
      </c>
      <c r="Q266" s="93">
        <f>SUM('1:2'!Q266)</f>
        <v>0</v>
      </c>
      <c r="R266" s="93">
        <f>SUM('1:2'!R266)</f>
        <v>0</v>
      </c>
      <c r="S266" s="93">
        <f>SUM('1:2'!S266)</f>
        <v>0</v>
      </c>
      <c r="T266" s="93">
        <f>SUM('1:2'!T266)</f>
        <v>0</v>
      </c>
      <c r="U266" s="93">
        <f>SUM('1:2'!U266)</f>
        <v>0</v>
      </c>
      <c r="V266" s="207">
        <f>SUM(X266:AA266)</f>
        <v>0</v>
      </c>
      <c r="W266" s="33" t="str">
        <f>IF(ISERROR(V266/G266),"",V266/G266)</f>
        <v/>
      </c>
      <c r="X266" s="93">
        <f>SUM('1:2'!X266)</f>
        <v>0</v>
      </c>
      <c r="Y266" s="93">
        <f>SUM('1:2'!Y266)</f>
        <v>0</v>
      </c>
      <c r="Z266" s="93">
        <f>SUM('1:2'!Z266)</f>
        <v>0</v>
      </c>
      <c r="AA266" s="93">
        <f>SUM('1:2'!AA266)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30600001</v>
      </c>
      <c r="B267" s="65" t="s">
        <v>162</v>
      </c>
      <c r="C267" s="16" t="s">
        <v>55</v>
      </c>
      <c r="D267" s="17">
        <v>5.03</v>
      </c>
      <c r="E267" s="17"/>
      <c r="F267" s="6"/>
      <c r="G267" s="93">
        <f>SUM('1:2'!G267)</f>
        <v>0</v>
      </c>
      <c r="H267" s="246">
        <f t="shared" si="96"/>
        <v>0</v>
      </c>
      <c r="I267" s="93">
        <f>SUM('1:2'!I267)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SUM('1:2'!O267)</f>
        <v>0</v>
      </c>
      <c r="P267" s="93">
        <f>SUM('1:2'!P267)</f>
        <v>0</v>
      </c>
      <c r="Q267" s="93">
        <f>SUM('1:2'!Q267)</f>
        <v>0</v>
      </c>
      <c r="R267" s="93">
        <f>SUM('1:2'!R267)</f>
        <v>0</v>
      </c>
      <c r="S267" s="93">
        <f>SUM('1:2'!S267)</f>
        <v>0</v>
      </c>
      <c r="T267" s="93">
        <f>SUM('1:2'!T267)</f>
        <v>0</v>
      </c>
      <c r="U267" s="93">
        <f>SUM('1:2'!U267)</f>
        <v>0</v>
      </c>
      <c r="V267" s="207">
        <f>SUM(X267:AA267)</f>
        <v>0</v>
      </c>
      <c r="W267" s="33" t="str">
        <f>IF(ISERROR(V267/G267),"",V267/G267)</f>
        <v/>
      </c>
      <c r="X267" s="93">
        <f>SUM('1:2'!X267)</f>
        <v>0</v>
      </c>
      <c r="Y267" s="93">
        <f>SUM('1:2'!Y267)</f>
        <v>0</v>
      </c>
      <c r="Z267" s="93">
        <f>SUM('1:2'!Z267)</f>
        <v>0</v>
      </c>
      <c r="AA267" s="93">
        <f>SUM('1:2'!AA267)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30600002</v>
      </c>
      <c r="B268" s="65" t="s">
        <v>162</v>
      </c>
      <c r="C268" s="16" t="s">
        <v>60</v>
      </c>
      <c r="D268" s="17">
        <v>5.03</v>
      </c>
      <c r="E268" s="17"/>
      <c r="F268" s="6"/>
      <c r="G268" s="93">
        <f>SUM('1:2'!G268)</f>
        <v>0</v>
      </c>
      <c r="H268" s="246">
        <f t="shared" si="96"/>
        <v>0</v>
      </c>
      <c r="I268" s="93">
        <f>SUM('1:2'!I268)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SUM('1:2'!O268)</f>
        <v>0</v>
      </c>
      <c r="P268" s="93">
        <f>SUM('1:2'!P268)</f>
        <v>0</v>
      </c>
      <c r="Q268" s="93">
        <f>SUM('1:2'!Q268)</f>
        <v>0</v>
      </c>
      <c r="R268" s="93">
        <f>SUM('1:2'!R268)</f>
        <v>0</v>
      </c>
      <c r="S268" s="93">
        <f>SUM('1:2'!S268)</f>
        <v>0</v>
      </c>
      <c r="T268" s="93">
        <f>SUM('1:2'!T268)</f>
        <v>0</v>
      </c>
      <c r="U268" s="93">
        <f>SUM('1:2'!U268)</f>
        <v>0</v>
      </c>
      <c r="V268" s="207">
        <f>SUM(X268:AA268)</f>
        <v>0</v>
      </c>
      <c r="W268" s="33" t="str">
        <f>IF(ISERROR(V268/G268),"",V268/G268)</f>
        <v/>
      </c>
      <c r="X268" s="93">
        <f>SUM('1:2'!X268)</f>
        <v>0</v>
      </c>
      <c r="Y268" s="93">
        <f>SUM('1:2'!Y268)</f>
        <v>0</v>
      </c>
      <c r="Z268" s="93">
        <f>SUM('1:2'!Z268)</f>
        <v>0</v>
      </c>
      <c r="AA268" s="93">
        <f>SUM('1:2'!AA268)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30600003</v>
      </c>
      <c r="B269" s="65" t="s">
        <v>162</v>
      </c>
      <c r="C269" s="195" t="s">
        <v>89</v>
      </c>
      <c r="D269" s="17">
        <v>5.03</v>
      </c>
      <c r="E269" s="17"/>
      <c r="F269" s="6"/>
      <c r="G269" s="93">
        <f>SUM('1:2'!G269)</f>
        <v>0</v>
      </c>
      <c r="H269" s="246">
        <f t="shared" si="96"/>
        <v>0</v>
      </c>
      <c r="I269" s="93">
        <f>SUM('1:2'!I269)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8</v>
      </c>
      <c r="M269" s="36">
        <f>IF(ISERROR(I269-K269),"",I269-K269)</f>
        <v>0</v>
      </c>
      <c r="N269" s="31">
        <f>SUM(O269:U269)</f>
        <v>0</v>
      </c>
      <c r="O269" s="93">
        <f>SUM('1:2'!O269)</f>
        <v>0</v>
      </c>
      <c r="P269" s="93">
        <f>SUM('1:2'!P269)</f>
        <v>0</v>
      </c>
      <c r="Q269" s="93">
        <f>SUM('1:2'!Q269)</f>
        <v>0</v>
      </c>
      <c r="R269" s="93">
        <f>SUM('1:2'!R269)</f>
        <v>0</v>
      </c>
      <c r="S269" s="93">
        <f>SUM('1:2'!S269)</f>
        <v>0</v>
      </c>
      <c r="T269" s="93">
        <f>SUM('1:2'!T269)</f>
        <v>0</v>
      </c>
      <c r="U269" s="93">
        <f>SUM('1:2'!U269)</f>
        <v>0</v>
      </c>
      <c r="V269" s="207">
        <f>SUM(X269:AA269)</f>
        <v>0</v>
      </c>
      <c r="W269" s="33" t="str">
        <f>IF(ISERROR(V269/G269),"",V269/G269)</f>
        <v/>
      </c>
      <c r="X269" s="93">
        <f>SUM('1:2'!X269)</f>
        <v>0</v>
      </c>
      <c r="Y269" s="93">
        <f>SUM('1:2'!Y269)</f>
        <v>0</v>
      </c>
      <c r="Z269" s="93">
        <f>SUM('1:2'!Z269)</f>
        <v>0</v>
      </c>
      <c r="AA269" s="93">
        <f>SUM('1:2'!AA269)</f>
        <v>0</v>
      </c>
      <c r="AB269" s="358">
        <v>1.06</v>
      </c>
      <c r="AC269" s="269">
        <f t="shared" si="95"/>
        <v>0</v>
      </c>
      <c r="AD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</row>
    <row r="270" spans="1:53" ht="17.25">
      <c r="A270" s="321">
        <v>30400030</v>
      </c>
      <c r="B270" s="65" t="s">
        <v>88</v>
      </c>
      <c r="C270" s="16" t="s">
        <v>53</v>
      </c>
      <c r="D270" s="17">
        <v>5.03</v>
      </c>
      <c r="E270" s="17"/>
      <c r="F270" s="6"/>
      <c r="G270" s="93">
        <f>SUM('1:2'!G270)</f>
        <v>0</v>
      </c>
      <c r="H270" s="246">
        <f t="shared" si="96"/>
        <v>0</v>
      </c>
      <c r="I270" s="93">
        <f>SUM('1:2'!I270)</f>
        <v>0</v>
      </c>
      <c r="J270" s="31" t="str">
        <f t="array" ref="J270">IF(ISERROR(G270/I270),"",G270/I270)</f>
        <v/>
      </c>
      <c r="K270" s="35">
        <f t="array" ref="K270">IF(ISERROR(G270/L270),"",G270/L270)</f>
        <v>0</v>
      </c>
      <c r="L270" s="87">
        <v>10</v>
      </c>
      <c r="M270" s="36">
        <f t="shared" ref="M270:M285" si="97">IF(ISERROR(I270-K270),"",I270-K270)</f>
        <v>0</v>
      </c>
      <c r="N270" s="31">
        <f t="shared" ref="N270:N285" si="98">SUM(O270:U270)</f>
        <v>0</v>
      </c>
      <c r="O270" s="93">
        <f>SUM('1:2'!O270)</f>
        <v>0</v>
      </c>
      <c r="P270" s="93">
        <f>SUM('1:2'!P270)</f>
        <v>0</v>
      </c>
      <c r="Q270" s="93">
        <f>SUM('1:2'!Q270)</f>
        <v>0</v>
      </c>
      <c r="R270" s="93">
        <f>SUM('1:2'!R270)</f>
        <v>0</v>
      </c>
      <c r="S270" s="93">
        <f>SUM('1:2'!S270)</f>
        <v>0</v>
      </c>
      <c r="T270" s="93">
        <f>SUM('1:2'!T270)</f>
        <v>0</v>
      </c>
      <c r="U270" s="93">
        <f>SUM('1:2'!U270)</f>
        <v>0</v>
      </c>
      <c r="V270" s="206">
        <f t="shared" ref="V270:V277" si="99">SUM(X270:AA270)</f>
        <v>0</v>
      </c>
      <c r="W270" s="33" t="str">
        <f t="shared" ref="W270:W277" si="100">IF(ISERROR(V270/G270),"",V270/G270)</f>
        <v/>
      </c>
      <c r="X270" s="93">
        <f>SUM('1:2'!X270)</f>
        <v>0</v>
      </c>
      <c r="Y270" s="93">
        <f>SUM('1:2'!Y270)</f>
        <v>0</v>
      </c>
      <c r="Z270" s="93">
        <f>SUM('1:2'!Z270)</f>
        <v>0</v>
      </c>
      <c r="AA270" s="93">
        <f>SUM('1:2'!AA270)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72</v>
      </c>
      <c r="D271" s="17">
        <v>5.03</v>
      </c>
      <c r="E271" s="17"/>
      <c r="F271" s="6"/>
      <c r="G271" s="93">
        <f>SUM('1:2'!G271)</f>
        <v>0</v>
      </c>
      <c r="H271" s="246">
        <f t="shared" si="96"/>
        <v>0</v>
      </c>
      <c r="I271" s="93">
        <f>SUM('1:2'!I271)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SUM('1:2'!O271)</f>
        <v>0</v>
      </c>
      <c r="P271" s="93">
        <f>SUM('1:2'!P271)</f>
        <v>0</v>
      </c>
      <c r="Q271" s="93">
        <f>SUM('1:2'!Q271)</f>
        <v>0</v>
      </c>
      <c r="R271" s="93">
        <f>SUM('1:2'!R271)</f>
        <v>0</v>
      </c>
      <c r="S271" s="93">
        <f>SUM('1:2'!S271)</f>
        <v>0</v>
      </c>
      <c r="T271" s="93">
        <f>SUM('1:2'!T271)</f>
        <v>0</v>
      </c>
      <c r="U271" s="93">
        <f>SUM('1:2'!U271)</f>
        <v>0</v>
      </c>
      <c r="V271" s="206">
        <f t="shared" si="99"/>
        <v>0</v>
      </c>
      <c r="W271" s="33" t="str">
        <f t="shared" si="100"/>
        <v/>
      </c>
      <c r="X271" s="93">
        <f>SUM('1:2'!X271)</f>
        <v>0</v>
      </c>
      <c r="Y271" s="93">
        <f>SUM('1:2'!Y271)</f>
        <v>0</v>
      </c>
      <c r="Z271" s="93">
        <f>SUM('1:2'!Z271)</f>
        <v>0</v>
      </c>
      <c r="AA271" s="93">
        <f>SUM('1:2'!AA271)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/>
      <c r="B272" s="65" t="s">
        <v>88</v>
      </c>
      <c r="C272" s="16" t="s">
        <v>60</v>
      </c>
      <c r="D272" s="17">
        <v>5.03</v>
      </c>
      <c r="E272" s="17"/>
      <c r="F272" s="6"/>
      <c r="G272" s="93">
        <f>SUM('1:2'!G272)</f>
        <v>0</v>
      </c>
      <c r="H272" s="246">
        <f t="shared" si="96"/>
        <v>0</v>
      </c>
      <c r="I272" s="93">
        <f>SUM('1:2'!I272)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SUM('1:2'!O272)</f>
        <v>0</v>
      </c>
      <c r="P272" s="93">
        <f>SUM('1:2'!P272)</f>
        <v>0</v>
      </c>
      <c r="Q272" s="93">
        <f>SUM('1:2'!Q272)</f>
        <v>0</v>
      </c>
      <c r="R272" s="93">
        <f>SUM('1:2'!R272)</f>
        <v>0</v>
      </c>
      <c r="S272" s="93">
        <f>SUM('1:2'!S272)</f>
        <v>0</v>
      </c>
      <c r="T272" s="93">
        <f>SUM('1:2'!T272)</f>
        <v>0</v>
      </c>
      <c r="U272" s="93">
        <f>SUM('1:2'!U272)</f>
        <v>0</v>
      </c>
      <c r="V272" s="206">
        <f t="shared" si="99"/>
        <v>0</v>
      </c>
      <c r="W272" s="33" t="str">
        <f t="shared" si="100"/>
        <v/>
      </c>
      <c r="X272" s="93">
        <f>SUM('1:2'!X272)</f>
        <v>0</v>
      </c>
      <c r="Y272" s="93">
        <f>SUM('1:2'!Y272)</f>
        <v>0</v>
      </c>
      <c r="Z272" s="93">
        <f>SUM('1:2'!Z272)</f>
        <v>0</v>
      </c>
      <c r="AA272" s="93">
        <f>SUM('1:2'!AA272)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30401031</v>
      </c>
      <c r="B273" s="65" t="s">
        <v>88</v>
      </c>
      <c r="C273" s="16" t="s">
        <v>66</v>
      </c>
      <c r="D273" s="17">
        <v>5.03</v>
      </c>
      <c r="E273" s="17"/>
      <c r="F273" s="6"/>
      <c r="G273" s="93">
        <f>SUM('1:2'!G273)</f>
        <v>0</v>
      </c>
      <c r="H273" s="246">
        <f t="shared" si="96"/>
        <v>0</v>
      </c>
      <c r="I273" s="93">
        <f>SUM('1:2'!I273)</f>
        <v>0</v>
      </c>
      <c r="J273" s="31" t="str">
        <f t="array" ref="J273">IF(ISERROR(G273/I273),"",G273/I273)</f>
        <v/>
      </c>
      <c r="K273" s="35" t="str">
        <f t="array" ref="K273">IF(ISERROR(G273/L273),"",G273/L273)</f>
        <v/>
      </c>
      <c r="L273" s="87"/>
      <c r="M273" s="36" t="str">
        <f t="shared" si="97"/>
        <v/>
      </c>
      <c r="N273" s="31">
        <f t="shared" si="98"/>
        <v>0</v>
      </c>
      <c r="O273" s="93">
        <f>SUM('1:2'!O273)</f>
        <v>0</v>
      </c>
      <c r="P273" s="93">
        <f>SUM('1:2'!P273)</f>
        <v>0</v>
      </c>
      <c r="Q273" s="93">
        <f>SUM('1:2'!Q273)</f>
        <v>0</v>
      </c>
      <c r="R273" s="93">
        <f>SUM('1:2'!R273)</f>
        <v>0</v>
      </c>
      <c r="S273" s="93">
        <f>SUM('1:2'!S273)</f>
        <v>0</v>
      </c>
      <c r="T273" s="93">
        <f>SUM('1:2'!T273)</f>
        <v>0</v>
      </c>
      <c r="U273" s="93">
        <f>SUM('1:2'!U273)</f>
        <v>0</v>
      </c>
      <c r="V273" s="206">
        <f t="shared" si="99"/>
        <v>0</v>
      </c>
      <c r="W273" s="33" t="str">
        <f t="shared" si="100"/>
        <v/>
      </c>
      <c r="X273" s="93">
        <f>SUM('1:2'!X273)</f>
        <v>0</v>
      </c>
      <c r="Y273" s="93">
        <f>SUM('1:2'!Y273)</f>
        <v>0</v>
      </c>
      <c r="Z273" s="93">
        <f>SUM('1:2'!Z273)</f>
        <v>0</v>
      </c>
      <c r="AA273" s="93">
        <f>SUM('1:2'!AA273)</f>
        <v>0</v>
      </c>
      <c r="AB273" s="358">
        <v>1.04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30600005</v>
      </c>
      <c r="B274" s="61" t="s">
        <v>90</v>
      </c>
      <c r="C274" s="16" t="s">
        <v>55</v>
      </c>
      <c r="D274" s="17">
        <v>9.36</v>
      </c>
      <c r="E274" s="17"/>
      <c r="F274" s="6"/>
      <c r="G274" s="93">
        <f>SUM('1:2'!G274)</f>
        <v>0</v>
      </c>
      <c r="H274" s="246">
        <f t="shared" si="96"/>
        <v>0</v>
      </c>
      <c r="I274" s="93">
        <f>SUM('1:2'!I274)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SUM('1:2'!O274)</f>
        <v>0</v>
      </c>
      <c r="P274" s="93">
        <f>SUM('1:2'!P274)</f>
        <v>0</v>
      </c>
      <c r="Q274" s="93">
        <f>SUM('1:2'!Q274)</f>
        <v>0</v>
      </c>
      <c r="R274" s="93">
        <f>SUM('1:2'!R274)</f>
        <v>0</v>
      </c>
      <c r="S274" s="93">
        <f>SUM('1:2'!S274)</f>
        <v>0</v>
      </c>
      <c r="T274" s="93">
        <f>SUM('1:2'!T274)</f>
        <v>0</v>
      </c>
      <c r="U274" s="93">
        <f>SUM('1:2'!U274)</f>
        <v>0</v>
      </c>
      <c r="V274" s="206">
        <f t="shared" si="99"/>
        <v>0</v>
      </c>
      <c r="W274" s="33" t="str">
        <f t="shared" si="100"/>
        <v/>
      </c>
      <c r="X274" s="93">
        <f>SUM('1:2'!X274)</f>
        <v>0</v>
      </c>
      <c r="Y274" s="93">
        <f>SUM('1:2'!Y274)</f>
        <v>0</v>
      </c>
      <c r="Z274" s="93">
        <f>SUM('1:2'!Z274)</f>
        <v>0</v>
      </c>
      <c r="AA274" s="93">
        <f>SUM('1:2'!AA274)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30600008</v>
      </c>
      <c r="B275" s="61" t="s">
        <v>90</v>
      </c>
      <c r="C275" s="16" t="s">
        <v>53</v>
      </c>
      <c r="D275" s="17">
        <v>9.36</v>
      </c>
      <c r="E275" s="17"/>
      <c r="F275" s="6"/>
      <c r="G275" s="93">
        <f>SUM('1:2'!G275)</f>
        <v>0</v>
      </c>
      <c r="H275" s="246">
        <f t="shared" si="96"/>
        <v>0</v>
      </c>
      <c r="I275" s="93">
        <f>SUM('1:2'!I275)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SUM('1:2'!O275)</f>
        <v>0</v>
      </c>
      <c r="P275" s="93">
        <f>SUM('1:2'!P275)</f>
        <v>0</v>
      </c>
      <c r="Q275" s="93">
        <f>SUM('1:2'!Q275)</f>
        <v>0</v>
      </c>
      <c r="R275" s="93">
        <f>SUM('1:2'!R275)</f>
        <v>0</v>
      </c>
      <c r="S275" s="93">
        <f>SUM('1:2'!S275)</f>
        <v>0</v>
      </c>
      <c r="T275" s="93">
        <f>SUM('1:2'!T275)</f>
        <v>0</v>
      </c>
      <c r="U275" s="93">
        <f>SUM('1:2'!U275)</f>
        <v>0</v>
      </c>
      <c r="V275" s="206">
        <f t="shared" si="99"/>
        <v>0</v>
      </c>
      <c r="W275" s="33" t="str">
        <f t="shared" si="100"/>
        <v/>
      </c>
      <c r="X275" s="93">
        <f>SUM('1:2'!X275)</f>
        <v>0</v>
      </c>
      <c r="Y275" s="93">
        <f>SUM('1:2'!Y275)</f>
        <v>0</v>
      </c>
      <c r="Z275" s="93">
        <f>SUM('1:2'!Z275)</f>
        <v>0</v>
      </c>
      <c r="AA275" s="93">
        <f>SUM('1:2'!AA275)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30600007</v>
      </c>
      <c r="B276" s="61" t="s">
        <v>90</v>
      </c>
      <c r="C276" s="16" t="s">
        <v>89</v>
      </c>
      <c r="D276" s="17">
        <v>9.36</v>
      </c>
      <c r="E276" s="17"/>
      <c r="F276" s="6"/>
      <c r="G276" s="93">
        <f>SUM('1:2'!G276)</f>
        <v>0</v>
      </c>
      <c r="H276" s="246">
        <f t="shared" si="96"/>
        <v>0</v>
      </c>
      <c r="I276" s="93">
        <f>SUM('1:2'!I276)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SUM('1:2'!O276)</f>
        <v>0</v>
      </c>
      <c r="P276" s="93">
        <f>SUM('1:2'!P276)</f>
        <v>0</v>
      </c>
      <c r="Q276" s="93">
        <f>SUM('1:2'!Q276)</f>
        <v>0</v>
      </c>
      <c r="R276" s="93">
        <f>SUM('1:2'!R276)</f>
        <v>0</v>
      </c>
      <c r="S276" s="93">
        <f>SUM('1:2'!S276)</f>
        <v>0</v>
      </c>
      <c r="T276" s="93">
        <f>SUM('1:2'!T276)</f>
        <v>0</v>
      </c>
      <c r="U276" s="93">
        <f>SUM('1:2'!U276)</f>
        <v>0</v>
      </c>
      <c r="V276" s="206">
        <f t="shared" si="99"/>
        <v>0</v>
      </c>
      <c r="W276" s="33" t="str">
        <f t="shared" si="100"/>
        <v/>
      </c>
      <c r="X276" s="93">
        <f>SUM('1:2'!X276)</f>
        <v>0</v>
      </c>
      <c r="Y276" s="93">
        <f>SUM('1:2'!Y276)</f>
        <v>0</v>
      </c>
      <c r="Z276" s="93">
        <f>SUM('1:2'!Z276)</f>
        <v>0</v>
      </c>
      <c r="AA276" s="93">
        <f>SUM('1:2'!AA276)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1">
        <v>30600006</v>
      </c>
      <c r="B277" s="61" t="s">
        <v>90</v>
      </c>
      <c r="C277" s="16" t="s">
        <v>60</v>
      </c>
      <c r="D277" s="17">
        <v>9.36</v>
      </c>
      <c r="E277" s="17"/>
      <c r="F277" s="6"/>
      <c r="G277" s="93">
        <f>SUM('1:2'!G277)</f>
        <v>0</v>
      </c>
      <c r="H277" s="246">
        <f t="shared" si="96"/>
        <v>0</v>
      </c>
      <c r="I277" s="93">
        <f>SUM('1:2'!I277)</f>
        <v>0</v>
      </c>
      <c r="J277" s="31" t="str">
        <f t="array" ref="J277">IF(ISERROR(G277/I277),"",G277/I277)</f>
        <v/>
      </c>
      <c r="K277" s="35">
        <f t="array" ref="K277">IF(ISERROR(G277/L277),"",G277/L277)</f>
        <v>0</v>
      </c>
      <c r="L277" s="87">
        <v>6</v>
      </c>
      <c r="M277" s="36">
        <f t="shared" si="97"/>
        <v>0</v>
      </c>
      <c r="N277" s="31">
        <f t="shared" si="98"/>
        <v>0</v>
      </c>
      <c r="O277" s="93">
        <f>SUM('1:2'!O277)</f>
        <v>0</v>
      </c>
      <c r="P277" s="93">
        <f>SUM('1:2'!P277)</f>
        <v>0</v>
      </c>
      <c r="Q277" s="93">
        <f>SUM('1:2'!Q277)</f>
        <v>0</v>
      </c>
      <c r="R277" s="93">
        <f>SUM('1:2'!R277)</f>
        <v>0</v>
      </c>
      <c r="S277" s="93">
        <f>SUM('1:2'!S277)</f>
        <v>0</v>
      </c>
      <c r="T277" s="93">
        <f>SUM('1:2'!T277)</f>
        <v>0</v>
      </c>
      <c r="U277" s="93">
        <f>SUM('1:2'!U277)</f>
        <v>0</v>
      </c>
      <c r="V277" s="206">
        <f t="shared" si="99"/>
        <v>0</v>
      </c>
      <c r="W277" s="33" t="str">
        <f t="shared" si="100"/>
        <v/>
      </c>
      <c r="X277" s="93">
        <f>SUM('1:2'!X277)</f>
        <v>0</v>
      </c>
      <c r="Y277" s="93">
        <f>SUM('1:2'!Y277)</f>
        <v>0</v>
      </c>
      <c r="Z277" s="93">
        <f>SUM('1:2'!Z277)</f>
        <v>0</v>
      </c>
      <c r="AA277" s="93">
        <f>SUM('1:2'!AA277)</f>
        <v>0</v>
      </c>
      <c r="AB277" s="358">
        <v>1.29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30400026</v>
      </c>
      <c r="B278" s="190" t="s">
        <v>393</v>
      </c>
      <c r="C278" s="187" t="s">
        <v>395</v>
      </c>
      <c r="D278" s="17">
        <v>5</v>
      </c>
      <c r="E278" s="17"/>
      <c r="F278" s="6"/>
      <c r="G278" s="93">
        <f>SUM('1:2'!G278)</f>
        <v>0</v>
      </c>
      <c r="H278" s="246">
        <f t="shared" si="96"/>
        <v>0</v>
      </c>
      <c r="I278" s="93">
        <f>SUM('1:2'!I278)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SUM('1:2'!O278)</f>
        <v>0</v>
      </c>
      <c r="P278" s="93">
        <f>SUM('1:2'!P278)</f>
        <v>0</v>
      </c>
      <c r="Q278" s="93">
        <f>SUM('1:2'!Q278)</f>
        <v>0</v>
      </c>
      <c r="R278" s="93">
        <f>SUM('1:2'!R278)</f>
        <v>0</v>
      </c>
      <c r="S278" s="93">
        <f>SUM('1:2'!S278)</f>
        <v>0</v>
      </c>
      <c r="T278" s="93">
        <f>SUM('1:2'!T278)</f>
        <v>0</v>
      </c>
      <c r="U278" s="93">
        <f>SUM('1:2'!U278)</f>
        <v>0</v>
      </c>
      <c r="V278" s="206"/>
      <c r="W278" s="33"/>
      <c r="X278" s="93">
        <f>SUM('1:2'!X278)</f>
        <v>0</v>
      </c>
      <c r="Y278" s="93">
        <f>SUM('1:2'!Y278)</f>
        <v>0</v>
      </c>
      <c r="Z278" s="93">
        <f>SUM('1:2'!Z278)</f>
        <v>0</v>
      </c>
      <c r="AA278" s="93">
        <f>SUM('1:2'!AA278)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30400028</v>
      </c>
      <c r="B279" s="190" t="s">
        <v>393</v>
      </c>
      <c r="C279" s="187" t="s">
        <v>402</v>
      </c>
      <c r="D279" s="17">
        <v>5</v>
      </c>
      <c r="E279" s="17"/>
      <c r="F279" s="6"/>
      <c r="G279" s="93">
        <f>SUM('1:2'!G279)</f>
        <v>0</v>
      </c>
      <c r="H279" s="246">
        <f t="shared" si="96"/>
        <v>0</v>
      </c>
      <c r="I279" s="93">
        <f>SUM('1:2'!I279)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SUM('1:2'!O279)</f>
        <v>0</v>
      </c>
      <c r="P279" s="93">
        <f>SUM('1:2'!P279)</f>
        <v>0</v>
      </c>
      <c r="Q279" s="93">
        <f>SUM('1:2'!Q279)</f>
        <v>0</v>
      </c>
      <c r="R279" s="93">
        <f>SUM('1:2'!R279)</f>
        <v>0</v>
      </c>
      <c r="S279" s="93">
        <f>SUM('1:2'!S279)</f>
        <v>0</v>
      </c>
      <c r="T279" s="93">
        <f>SUM('1:2'!T279)</f>
        <v>0</v>
      </c>
      <c r="U279" s="93">
        <f>SUM('1:2'!U279)</f>
        <v>0</v>
      </c>
      <c r="V279" s="206"/>
      <c r="W279" s="33"/>
      <c r="X279" s="93">
        <f>SUM('1:2'!X279)</f>
        <v>0</v>
      </c>
      <c r="Y279" s="93">
        <f>SUM('1:2'!Y279)</f>
        <v>0</v>
      </c>
      <c r="Z279" s="93">
        <f>SUM('1:2'!Z279)</f>
        <v>0</v>
      </c>
      <c r="AA279" s="93">
        <f>SUM('1:2'!AA279)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>
        <v>30400027</v>
      </c>
      <c r="B280" s="190" t="s">
        <v>404</v>
      </c>
      <c r="C280" s="187" t="s">
        <v>405</v>
      </c>
      <c r="D280" s="17">
        <v>5</v>
      </c>
      <c r="E280" s="17"/>
      <c r="F280" s="6"/>
      <c r="G280" s="93">
        <f>SUM('1:2'!G280)</f>
        <v>0</v>
      </c>
      <c r="H280" s="246">
        <f t="shared" si="96"/>
        <v>0</v>
      </c>
      <c r="I280" s="93">
        <f>SUM('1:2'!I280)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SUM('1:2'!O280)</f>
        <v>0</v>
      </c>
      <c r="P280" s="93">
        <f>SUM('1:2'!P280)</f>
        <v>0</v>
      </c>
      <c r="Q280" s="93">
        <f>SUM('1:2'!Q280)</f>
        <v>0</v>
      </c>
      <c r="R280" s="93">
        <f>SUM('1:2'!R280)</f>
        <v>0</v>
      </c>
      <c r="S280" s="93">
        <f>SUM('1:2'!S280)</f>
        <v>0</v>
      </c>
      <c r="T280" s="93">
        <f>SUM('1:2'!T280)</f>
        <v>0</v>
      </c>
      <c r="U280" s="93">
        <f>SUM('1:2'!U280)</f>
        <v>0</v>
      </c>
      <c r="V280" s="206"/>
      <c r="W280" s="33"/>
      <c r="X280" s="93">
        <f>SUM('1:2'!X280)</f>
        <v>0</v>
      </c>
      <c r="Y280" s="93">
        <f>SUM('1:2'!Y280)</f>
        <v>0</v>
      </c>
      <c r="Z280" s="93">
        <f>SUM('1:2'!Z280)</f>
        <v>0</v>
      </c>
      <c r="AA280" s="93">
        <f>SUM('1:2'!AA280)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/>
      <c r="B281" s="61" t="s">
        <v>342</v>
      </c>
      <c r="C281" s="187" t="s">
        <v>372</v>
      </c>
      <c r="D281" s="17">
        <v>5</v>
      </c>
      <c r="E281" s="17"/>
      <c r="F281" s="6"/>
      <c r="G281" s="93">
        <f>SUM('1:2'!G281)</f>
        <v>0</v>
      </c>
      <c r="H281" s="246">
        <f t="shared" si="96"/>
        <v>0</v>
      </c>
      <c r="I281" s="93">
        <f>SUM('1:2'!I281)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SUM('1:2'!O281)</f>
        <v>0</v>
      </c>
      <c r="P281" s="93">
        <f>SUM('1:2'!P281)</f>
        <v>0</v>
      </c>
      <c r="Q281" s="93">
        <f>SUM('1:2'!Q281)</f>
        <v>0</v>
      </c>
      <c r="R281" s="93">
        <f>SUM('1:2'!R281)</f>
        <v>0</v>
      </c>
      <c r="S281" s="93">
        <f>SUM('1:2'!S281)</f>
        <v>0</v>
      </c>
      <c r="T281" s="93">
        <f>SUM('1:2'!T281)</f>
        <v>0</v>
      </c>
      <c r="U281" s="93">
        <f>SUM('1:2'!U281)</f>
        <v>0</v>
      </c>
      <c r="V281" s="206"/>
      <c r="W281" s="33"/>
      <c r="X281" s="93">
        <f>SUM('1:2'!X281)</f>
        <v>0</v>
      </c>
      <c r="Y281" s="93">
        <f>SUM('1:2'!Y281)</f>
        <v>0</v>
      </c>
      <c r="Z281" s="93">
        <f>SUM('1:2'!Z281)</f>
        <v>0</v>
      </c>
      <c r="AA281" s="93">
        <f>SUM('1:2'!AA281)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30600009</v>
      </c>
      <c r="B282" s="61" t="s">
        <v>343</v>
      </c>
      <c r="C282" s="16" t="s">
        <v>345</v>
      </c>
      <c r="D282" s="17">
        <v>5</v>
      </c>
      <c r="E282" s="17"/>
      <c r="F282" s="6"/>
      <c r="G282" s="93">
        <f>SUM('1:2'!G282)</f>
        <v>0</v>
      </c>
      <c r="H282" s="246">
        <f t="shared" si="96"/>
        <v>0</v>
      </c>
      <c r="I282" s="93">
        <f>SUM('1:2'!I282)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SUM('1:2'!O282)</f>
        <v>0</v>
      </c>
      <c r="P282" s="93">
        <f>SUM('1:2'!P282)</f>
        <v>0</v>
      </c>
      <c r="Q282" s="93">
        <f>SUM('1:2'!Q282)</f>
        <v>0</v>
      </c>
      <c r="R282" s="93">
        <f>SUM('1:2'!R282)</f>
        <v>0</v>
      </c>
      <c r="S282" s="93">
        <f>SUM('1:2'!S282)</f>
        <v>0</v>
      </c>
      <c r="T282" s="93">
        <f>SUM('1:2'!T282)</f>
        <v>0</v>
      </c>
      <c r="U282" s="93">
        <f>SUM('1:2'!U282)</f>
        <v>0</v>
      </c>
      <c r="V282" s="206"/>
      <c r="W282" s="33"/>
      <c r="X282" s="93">
        <f>SUM('1:2'!X282)</f>
        <v>0</v>
      </c>
      <c r="Y282" s="93">
        <f>SUM('1:2'!Y282)</f>
        <v>0</v>
      </c>
      <c r="Z282" s="93">
        <f>SUM('1:2'!Z282)</f>
        <v>0</v>
      </c>
      <c r="AA282" s="93">
        <f>SUM('1:2'!AA282)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30600010</v>
      </c>
      <c r="B283" s="61" t="s">
        <v>343</v>
      </c>
      <c r="C283" s="16" t="s">
        <v>347</v>
      </c>
      <c r="D283" s="17">
        <v>5</v>
      </c>
      <c r="E283" s="17"/>
      <c r="F283" s="6"/>
      <c r="G283" s="93">
        <f>SUM('1:2'!G283)</f>
        <v>0</v>
      </c>
      <c r="H283" s="246">
        <f t="shared" si="96"/>
        <v>0</v>
      </c>
      <c r="I283" s="93">
        <f>SUM('1:2'!I283)</f>
        <v>0</v>
      </c>
      <c r="J283" s="31"/>
      <c r="K283" s="35">
        <f t="array" ref="K283">IF(ISERROR(G283/L283),"",G283/L283)</f>
        <v>0</v>
      </c>
      <c r="L283" s="87">
        <v>5</v>
      </c>
      <c r="M283" s="36">
        <f t="shared" si="97"/>
        <v>0</v>
      </c>
      <c r="N283" s="31">
        <f t="shared" si="98"/>
        <v>0</v>
      </c>
      <c r="O283" s="93">
        <f>SUM('1:2'!O283)</f>
        <v>0</v>
      </c>
      <c r="P283" s="93">
        <f>SUM('1:2'!P283)</f>
        <v>0</v>
      </c>
      <c r="Q283" s="93">
        <f>SUM('1:2'!Q283)</f>
        <v>0</v>
      </c>
      <c r="R283" s="93">
        <f>SUM('1:2'!R283)</f>
        <v>0</v>
      </c>
      <c r="S283" s="93">
        <f>SUM('1:2'!S283)</f>
        <v>0</v>
      </c>
      <c r="T283" s="93">
        <f>SUM('1:2'!T283)</f>
        <v>0</v>
      </c>
      <c r="U283" s="93">
        <f>SUM('1:2'!U283)</f>
        <v>0</v>
      </c>
      <c r="V283" s="206"/>
      <c r="W283" s="33"/>
      <c r="X283" s="93">
        <f>SUM('1:2'!X283)</f>
        <v>0</v>
      </c>
      <c r="Y283" s="93">
        <f>SUM('1:2'!Y283)</f>
        <v>0</v>
      </c>
      <c r="Z283" s="93">
        <f>SUM('1:2'!Z283)</f>
        <v>0</v>
      </c>
      <c r="AA283" s="93">
        <f>SUM('1:2'!AA283)</f>
        <v>0</v>
      </c>
      <c r="AB283" s="358">
        <v>2.0699999999999998</v>
      </c>
      <c r="AC283" s="269">
        <f t="shared" si="95"/>
        <v>0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30400001</v>
      </c>
      <c r="B284" s="65" t="s">
        <v>514</v>
      </c>
      <c r="C284" s="16" t="s">
        <v>61</v>
      </c>
      <c r="D284" s="17">
        <v>5.0599999999999996</v>
      </c>
      <c r="E284" s="17"/>
      <c r="F284" s="6"/>
      <c r="G284" s="93">
        <f>SUM('1:2'!G284)</f>
        <v>0</v>
      </c>
      <c r="H284" s="246">
        <f t="shared" si="96"/>
        <v>0</v>
      </c>
      <c r="I284" s="93">
        <f>SUM('1:2'!I284)</f>
        <v>0</v>
      </c>
      <c r="J284" s="31" t="str">
        <f t="array" ref="J284">IF(ISERROR(G284/I284),"",G284/I284)</f>
        <v/>
      </c>
      <c r="K284" s="35">
        <f t="array" ref="K284">IF(ISERROR(G284/L284),"",G284/L284)</f>
        <v>0</v>
      </c>
      <c r="L284" s="87">
        <v>15.5</v>
      </c>
      <c r="M284" s="36">
        <f t="shared" si="97"/>
        <v>0</v>
      </c>
      <c r="N284" s="31">
        <f t="shared" si="98"/>
        <v>0</v>
      </c>
      <c r="O284" s="93">
        <f>SUM('1:2'!O284)</f>
        <v>0</v>
      </c>
      <c r="P284" s="93">
        <f>SUM('1:2'!P284)</f>
        <v>0</v>
      </c>
      <c r="Q284" s="93">
        <f>SUM('1:2'!Q284)</f>
        <v>0</v>
      </c>
      <c r="R284" s="93">
        <f>SUM('1:2'!R284)</f>
        <v>0</v>
      </c>
      <c r="S284" s="93">
        <f>SUM('1:2'!S284)</f>
        <v>0</v>
      </c>
      <c r="T284" s="93">
        <f>SUM('1:2'!T284)</f>
        <v>0</v>
      </c>
      <c r="U284" s="93">
        <f>SUM('1:2'!U284)</f>
        <v>0</v>
      </c>
      <c r="V284" s="206">
        <f t="shared" ref="V284:V285" si="101">SUM(X284:AA284)</f>
        <v>0</v>
      </c>
      <c r="W284" s="33" t="str">
        <f t="shared" ref="W284:W285" si="102">IF(ISERROR(V284/G284),"",V284/G284)</f>
        <v/>
      </c>
      <c r="X284" s="93">
        <f>SUM('1:2'!X284)</f>
        <v>0</v>
      </c>
      <c r="Y284" s="93">
        <f>SUM('1:2'!Y284)</f>
        <v>0</v>
      </c>
      <c r="Z284" s="93">
        <f>SUM('1:2'!Z284)</f>
        <v>0</v>
      </c>
      <c r="AA284" s="93">
        <f>SUM('1:2'!AA284)</f>
        <v>0</v>
      </c>
      <c r="AB284" s="358">
        <v>0.67</v>
      </c>
      <c r="AC284" s="269">
        <f t="shared" si="95"/>
        <v>0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30400002</v>
      </c>
      <c r="B285" s="65" t="s">
        <v>514</v>
      </c>
      <c r="C285" s="16" t="s">
        <v>72</v>
      </c>
      <c r="D285" s="17">
        <v>5.0599999999999996</v>
      </c>
      <c r="E285" s="17"/>
      <c r="F285" s="6"/>
      <c r="G285" s="93">
        <f>SUM('1:2'!G285)</f>
        <v>0</v>
      </c>
      <c r="H285" s="246">
        <f t="shared" si="96"/>
        <v>0</v>
      </c>
      <c r="I285" s="93">
        <f>SUM('1:2'!I285)</f>
        <v>0</v>
      </c>
      <c r="J285" s="31" t="str">
        <f t="array" ref="J285">IF(ISERROR(G285/I285),"",G285/I285)</f>
        <v/>
      </c>
      <c r="K285" s="35">
        <f t="array" ref="K285">IF(ISERROR(G285/L285),"",G285/L285)</f>
        <v>0</v>
      </c>
      <c r="L285" s="87">
        <v>15.5</v>
      </c>
      <c r="M285" s="36">
        <f t="shared" si="97"/>
        <v>0</v>
      </c>
      <c r="N285" s="31">
        <f t="shared" si="98"/>
        <v>0</v>
      </c>
      <c r="O285" s="93">
        <f>SUM('1:2'!O285)</f>
        <v>0</v>
      </c>
      <c r="P285" s="93">
        <f>SUM('1:2'!P285)</f>
        <v>0</v>
      </c>
      <c r="Q285" s="93">
        <f>SUM('1:2'!Q285)</f>
        <v>0</v>
      </c>
      <c r="R285" s="93">
        <f>SUM('1:2'!R285)</f>
        <v>0</v>
      </c>
      <c r="S285" s="93">
        <f>SUM('1:2'!S285)</f>
        <v>0</v>
      </c>
      <c r="T285" s="93">
        <f>SUM('1:2'!T285)</f>
        <v>0</v>
      </c>
      <c r="U285" s="93">
        <f>SUM('1:2'!U285)</f>
        <v>0</v>
      </c>
      <c r="V285" s="206">
        <f t="shared" si="101"/>
        <v>0</v>
      </c>
      <c r="W285" s="33" t="str">
        <f t="shared" si="102"/>
        <v/>
      </c>
      <c r="X285" s="93">
        <f>SUM('1:2'!X285)</f>
        <v>0</v>
      </c>
      <c r="Y285" s="93">
        <f>SUM('1:2'!Y285)</f>
        <v>0</v>
      </c>
      <c r="Z285" s="93">
        <f>SUM('1:2'!Z285)</f>
        <v>0</v>
      </c>
      <c r="AA285" s="93">
        <f>SUM('1:2'!AA285)</f>
        <v>0</v>
      </c>
      <c r="AB285" s="358">
        <v>0.67</v>
      </c>
      <c r="AC285" s="269">
        <f t="shared" si="95"/>
        <v>0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30400004</v>
      </c>
      <c r="B286" s="215" t="s">
        <v>419</v>
      </c>
      <c r="C286" s="187" t="s">
        <v>73</v>
      </c>
      <c r="D286" s="17"/>
      <c r="E286" s="17"/>
      <c r="F286" s="6"/>
      <c r="G286" s="93">
        <f>SUM('1:2'!G286)</f>
        <v>132</v>
      </c>
      <c r="H286" s="246">
        <f t="shared" si="96"/>
        <v>0</v>
      </c>
      <c r="I286" s="93">
        <f>SUM('1:2'!I286)</f>
        <v>48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228.35999999999999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30400003</v>
      </c>
      <c r="B287" s="215" t="s">
        <v>419</v>
      </c>
      <c r="C287" s="187" t="s">
        <v>60</v>
      </c>
      <c r="D287" s="17"/>
      <c r="E287" s="17"/>
      <c r="F287" s="6"/>
      <c r="G287" s="93">
        <f>SUM('1:2'!G287)</f>
        <v>0</v>
      </c>
      <c r="H287" s="246">
        <f t="shared" si="96"/>
        <v>0</v>
      </c>
      <c r="I287" s="93">
        <f>SUM('1:2'!I287)</f>
        <v>0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0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30400005</v>
      </c>
      <c r="B288" s="215" t="s">
        <v>419</v>
      </c>
      <c r="C288" s="187" t="s">
        <v>422</v>
      </c>
      <c r="D288" s="17"/>
      <c r="E288" s="17"/>
      <c r="F288" s="6"/>
      <c r="G288" s="93">
        <f>SUM('1:2'!G288)</f>
        <v>260</v>
      </c>
      <c r="H288" s="246">
        <f t="shared" si="96"/>
        <v>0</v>
      </c>
      <c r="I288" s="93">
        <f>SUM('1:2'!I288)</f>
        <v>48</v>
      </c>
      <c r="J288" s="31"/>
      <c r="K288" s="35"/>
      <c r="L288" s="87">
        <v>24</v>
      </c>
      <c r="M288" s="36"/>
      <c r="N288" s="31"/>
      <c r="O288" s="93"/>
      <c r="P288" s="93"/>
      <c r="Q288" s="93"/>
      <c r="R288" s="93"/>
      <c r="S288" s="93"/>
      <c r="T288" s="93"/>
      <c r="U288" s="93"/>
      <c r="V288" s="206"/>
      <c r="W288" s="33"/>
      <c r="X288" s="93"/>
      <c r="Y288" s="93"/>
      <c r="Z288" s="93"/>
      <c r="AA288" s="93"/>
      <c r="AB288" s="358">
        <v>1.73</v>
      </c>
      <c r="AC288" s="269">
        <f t="shared" si="95"/>
        <v>449.8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30400007</v>
      </c>
      <c r="B289" s="65" t="s">
        <v>91</v>
      </c>
      <c r="C289" s="16" t="s">
        <v>74</v>
      </c>
      <c r="D289" s="17">
        <v>5.07</v>
      </c>
      <c r="E289" s="17"/>
      <c r="F289" s="6"/>
      <c r="G289" s="93">
        <f>SUM('1:2'!G289)</f>
        <v>0</v>
      </c>
      <c r="H289" s="246">
        <f t="shared" si="96"/>
        <v>0</v>
      </c>
      <c r="I289" s="93">
        <f>SUM('1:2'!I289)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ref="M289:M291" si="103">IF(ISERROR(I289-K289),"",I289-K289)</f>
        <v>0</v>
      </c>
      <c r="N289" s="31">
        <f t="shared" ref="N289:N291" si="104">SUM(O289:U289)</f>
        <v>0</v>
      </c>
      <c r="O289" s="93">
        <f>SUM('1:2'!O289)</f>
        <v>0</v>
      </c>
      <c r="P289" s="93">
        <f>SUM('1:2'!P289)</f>
        <v>0</v>
      </c>
      <c r="Q289" s="93">
        <f>SUM('1:2'!Q289)</f>
        <v>0</v>
      </c>
      <c r="R289" s="93">
        <f>SUM('1:2'!R289)</f>
        <v>0</v>
      </c>
      <c r="S289" s="93">
        <f>SUM('1:2'!S289)</f>
        <v>0</v>
      </c>
      <c r="T289" s="93">
        <f>SUM('1:2'!T289)</f>
        <v>0</v>
      </c>
      <c r="U289" s="93">
        <f>SUM('1:2'!U289)</f>
        <v>0</v>
      </c>
      <c r="V289" s="206">
        <f t="shared" ref="V289:V291" si="105">SUM(X289:AA289)</f>
        <v>0</v>
      </c>
      <c r="W289" s="33" t="str">
        <f t="shared" ref="W289:W323" si="106">IF(ISERROR(V289/G289),"",V289/G289)</f>
        <v/>
      </c>
      <c r="X289" s="93">
        <f>SUM('1:2'!X289)</f>
        <v>0</v>
      </c>
      <c r="Y289" s="93">
        <f>SUM('1:2'!Y289)</f>
        <v>0</v>
      </c>
      <c r="Z289" s="93">
        <f>SUM('1:2'!Z289)</f>
        <v>0</v>
      </c>
      <c r="AA289" s="93">
        <f>SUM('1:2'!AA289)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53</v>
      </c>
      <c r="D290" s="17">
        <v>5.07</v>
      </c>
      <c r="E290" s="17"/>
      <c r="F290" s="6"/>
      <c r="G290" s="93">
        <f>SUM('1:2'!G290)</f>
        <v>0</v>
      </c>
      <c r="H290" s="246">
        <f t="shared" si="96"/>
        <v>0</v>
      </c>
      <c r="I290" s="93">
        <f>SUM('1:2'!I290)</f>
        <v>0</v>
      </c>
      <c r="J290" s="31" t="str">
        <f t="array" ref="J290">IF(ISERROR(G290/I290),"",G290/I290)</f>
        <v/>
      </c>
      <c r="K290" s="35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SUM('1:2'!O290)</f>
        <v>0</v>
      </c>
      <c r="P290" s="93">
        <f>SUM('1:2'!P290)</f>
        <v>0</v>
      </c>
      <c r="Q290" s="93">
        <f>SUM('1:2'!Q290)</f>
        <v>0</v>
      </c>
      <c r="R290" s="93">
        <f>SUM('1:2'!R290)</f>
        <v>0</v>
      </c>
      <c r="S290" s="93">
        <f>SUM('1:2'!S290)</f>
        <v>0</v>
      </c>
      <c r="T290" s="93">
        <f>SUM('1:2'!T290)</f>
        <v>0</v>
      </c>
      <c r="U290" s="93">
        <f>SUM('1:2'!U290)</f>
        <v>0</v>
      </c>
      <c r="V290" s="206">
        <f t="shared" si="105"/>
        <v>0</v>
      </c>
      <c r="W290" s="33" t="str">
        <f t="shared" si="106"/>
        <v/>
      </c>
      <c r="X290" s="93">
        <f>SUM('1:2'!X290)</f>
        <v>0</v>
      </c>
      <c r="Y290" s="93">
        <f>SUM('1:2'!Y290)</f>
        <v>0</v>
      </c>
      <c r="Z290" s="93">
        <f>SUM('1:2'!Z290)</f>
        <v>0</v>
      </c>
      <c r="AA290" s="93">
        <f>SUM('1:2'!AA290)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7.25">
      <c r="A291" s="320">
        <v>30400006</v>
      </c>
      <c r="B291" s="65" t="s">
        <v>91</v>
      </c>
      <c r="C291" s="16" t="s">
        <v>60</v>
      </c>
      <c r="D291" s="17">
        <v>5.0599999999999996</v>
      </c>
      <c r="E291" s="17"/>
      <c r="F291" s="53"/>
      <c r="G291" s="93">
        <f>SUM('1:2'!G291)</f>
        <v>0</v>
      </c>
      <c r="H291" s="246">
        <f t="shared" si="96"/>
        <v>0</v>
      </c>
      <c r="I291" s="93">
        <f>SUM('1:2'!I291)</f>
        <v>0</v>
      </c>
      <c r="J291" s="31" t="str">
        <f t="array" ref="J291">IF(ISERROR(G291/I291),"",G291/I291)</f>
        <v/>
      </c>
      <c r="K291" s="246">
        <f t="array" ref="K291">IF(ISERROR(G291/L291),"",G291/L291)</f>
        <v>0</v>
      </c>
      <c r="L291" s="87">
        <v>9</v>
      </c>
      <c r="M291" s="36">
        <f t="shared" si="103"/>
        <v>0</v>
      </c>
      <c r="N291" s="31">
        <f t="shared" si="104"/>
        <v>0</v>
      </c>
      <c r="O291" s="93">
        <f>SUM('1:2'!O291)</f>
        <v>0</v>
      </c>
      <c r="P291" s="93">
        <f>SUM('1:2'!P291)</f>
        <v>0</v>
      </c>
      <c r="Q291" s="93">
        <f>SUM('1:2'!Q291)</f>
        <v>0</v>
      </c>
      <c r="R291" s="93">
        <f>SUM('1:2'!R291)</f>
        <v>0</v>
      </c>
      <c r="S291" s="93">
        <f>SUM('1:2'!S291)</f>
        <v>0</v>
      </c>
      <c r="T291" s="93">
        <f>SUM('1:2'!T291)</f>
        <v>0</v>
      </c>
      <c r="U291" s="93">
        <f>SUM('1:2'!U291)</f>
        <v>0</v>
      </c>
      <c r="V291" s="206">
        <f t="shared" si="105"/>
        <v>0</v>
      </c>
      <c r="W291" s="33" t="str">
        <f t="shared" si="106"/>
        <v/>
      </c>
      <c r="X291" s="93">
        <f>SUM('1:2'!X291)</f>
        <v>0</v>
      </c>
      <c r="Y291" s="93">
        <f>SUM('1:2'!Y291)</f>
        <v>0</v>
      </c>
      <c r="Z291" s="93">
        <f>SUM('1:2'!Z291)</f>
        <v>0</v>
      </c>
      <c r="AA291" s="93">
        <f>SUM('1:2'!AA291)</f>
        <v>0</v>
      </c>
      <c r="AB291" s="358">
        <v>1.22</v>
      </c>
      <c r="AC291" s="269">
        <f t="shared" si="95"/>
        <v>0</v>
      </c>
      <c r="AD291" s="251"/>
      <c r="AE291" s="54"/>
      <c r="AF291" s="54"/>
      <c r="AG291" s="54"/>
      <c r="AH291" s="5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5.75">
      <c r="A292" s="731" t="s">
        <v>92</v>
      </c>
      <c r="B292" s="732"/>
      <c r="C292" s="243" t="s">
        <v>71</v>
      </c>
      <c r="D292" s="20"/>
      <c r="E292" s="20"/>
      <c r="F292" s="32"/>
      <c r="G292" s="30">
        <f>SUM(G258:G291)</f>
        <v>634</v>
      </c>
      <c r="H292" s="30">
        <f>SUM(H258:H291)</f>
        <v>1217.26</v>
      </c>
      <c r="I292" s="30">
        <f>SUM(I258:I291)</f>
        <v>135</v>
      </c>
      <c r="J292" s="31">
        <f t="array" ref="J292">IF(ISERROR(G292/I292),"",G292/I292)</f>
        <v>4.6962962962962962</v>
      </c>
      <c r="K292" s="30">
        <f>SUM(K258:K291)</f>
        <v>26.021505376344084</v>
      </c>
      <c r="L292" s="98"/>
      <c r="M292" s="89">
        <f t="shared" ref="M292:V292" si="107">SUM(M258:M291)</f>
        <v>12.978494623655916</v>
      </c>
      <c r="N292" s="30">
        <f t="shared" si="107"/>
        <v>0</v>
      </c>
      <c r="O292" s="91">
        <f t="shared" si="107"/>
        <v>0</v>
      </c>
      <c r="P292" s="91">
        <f t="shared" si="107"/>
        <v>0</v>
      </c>
      <c r="Q292" s="91">
        <f t="shared" si="107"/>
        <v>0</v>
      </c>
      <c r="R292" s="91">
        <f t="shared" si="107"/>
        <v>0</v>
      </c>
      <c r="S292" s="92">
        <f t="shared" si="107"/>
        <v>0</v>
      </c>
      <c r="T292" s="91">
        <f t="shared" si="107"/>
        <v>0</v>
      </c>
      <c r="U292" s="91">
        <f t="shared" si="107"/>
        <v>0</v>
      </c>
      <c r="V292" s="206">
        <f t="shared" si="107"/>
        <v>0</v>
      </c>
      <c r="W292" s="33">
        <f t="shared" si="106"/>
        <v>0</v>
      </c>
      <c r="X292" s="92">
        <f>SUM(X258:X291)</f>
        <v>0</v>
      </c>
      <c r="Y292" s="92">
        <f>SUM(Y258:Y291)</f>
        <v>0</v>
      </c>
      <c r="Z292" s="92">
        <f>SUM(Z258:Z291)</f>
        <v>0</v>
      </c>
      <c r="AA292" s="92">
        <f>SUM(AA258:AA291)</f>
        <v>0</v>
      </c>
      <c r="AB292" s="358"/>
      <c r="AC292" s="270">
        <f>SUM(AC258:AC291)</f>
        <v>920.8599999999999</v>
      </c>
      <c r="AD292" s="251"/>
      <c r="AE292" s="74"/>
      <c r="AF292" s="74"/>
      <c r="AG292" s="74"/>
      <c r="AH292" s="7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30100038</v>
      </c>
      <c r="B293" s="62" t="s">
        <v>93</v>
      </c>
      <c r="C293" s="16" t="s">
        <v>94</v>
      </c>
      <c r="D293" s="17">
        <v>5.03</v>
      </c>
      <c r="E293" s="17"/>
      <c r="F293" s="6"/>
      <c r="G293" s="93">
        <f>SUM('1:2'!G293)</f>
        <v>0</v>
      </c>
      <c r="H293" s="246">
        <f>D293*G293</f>
        <v>0</v>
      </c>
      <c r="I293" s="93">
        <f>SUM('1:2'!I293)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ref="M293:M307" si="108">IF(ISERROR(I293-K293),"",I293-K293)</f>
        <v>0</v>
      </c>
      <c r="N293" s="31">
        <f t="shared" ref="N293:N307" si="109">SUM(O293:U293)</f>
        <v>0</v>
      </c>
      <c r="O293" s="93">
        <f>SUM('1:2'!O293)</f>
        <v>0</v>
      </c>
      <c r="P293" s="93">
        <f>SUM('1:2'!P293)</f>
        <v>0</v>
      </c>
      <c r="Q293" s="93">
        <f>SUM('1:2'!Q293)</f>
        <v>0</v>
      </c>
      <c r="R293" s="93">
        <f>SUM('1:2'!R293)</f>
        <v>0</v>
      </c>
      <c r="S293" s="93">
        <f>SUM('1:2'!S293)</f>
        <v>0</v>
      </c>
      <c r="T293" s="93">
        <f>SUM('1:2'!T293)</f>
        <v>0</v>
      </c>
      <c r="U293" s="93">
        <f>SUM('1:2'!U293)</f>
        <v>0</v>
      </c>
      <c r="V293" s="206">
        <f t="shared" ref="V293:V307" si="110">SUM(X293:AA293)</f>
        <v>0</v>
      </c>
      <c r="W293" s="33" t="str">
        <f t="shared" si="106"/>
        <v/>
      </c>
      <c r="X293" s="93">
        <f>SUM('1:2'!X293)</f>
        <v>0</v>
      </c>
      <c r="Y293" s="93">
        <f>SUM('1:2'!Y293)</f>
        <v>0</v>
      </c>
      <c r="Z293" s="93">
        <f>SUM('1:2'!Z293)</f>
        <v>0</v>
      </c>
      <c r="AA293" s="93">
        <f>SUM('1:2'!AA293)</f>
        <v>0</v>
      </c>
      <c r="AB293" s="358">
        <v>0.41</v>
      </c>
      <c r="AC293" s="269">
        <f t="shared" ref="AC293:AC307" si="111">AB293*G293</f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30100037</v>
      </c>
      <c r="B294" s="62" t="s">
        <v>93</v>
      </c>
      <c r="C294" s="16" t="s">
        <v>74</v>
      </c>
      <c r="D294" s="17">
        <v>5.03</v>
      </c>
      <c r="E294" s="17"/>
      <c r="F294" s="6"/>
      <c r="G294" s="93">
        <f>SUM('1:2'!G294)</f>
        <v>0</v>
      </c>
      <c r="H294" s="246">
        <f t="shared" ref="H294:H307" si="112">D294*G294</f>
        <v>0</v>
      </c>
      <c r="I294" s="93">
        <f>SUM('1:2'!I294)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25</v>
      </c>
      <c r="M294" s="36">
        <f t="shared" si="108"/>
        <v>0</v>
      </c>
      <c r="N294" s="31">
        <f t="shared" si="109"/>
        <v>0</v>
      </c>
      <c r="O294" s="93">
        <f>SUM('1:2'!O294)</f>
        <v>0</v>
      </c>
      <c r="P294" s="93">
        <f>SUM('1:2'!P294)</f>
        <v>0</v>
      </c>
      <c r="Q294" s="93">
        <f>SUM('1:2'!Q294)</f>
        <v>0</v>
      </c>
      <c r="R294" s="93">
        <f>SUM('1:2'!R294)</f>
        <v>0</v>
      </c>
      <c r="S294" s="93">
        <f>SUM('1:2'!S294)</f>
        <v>0</v>
      </c>
      <c r="T294" s="93">
        <f>SUM('1:2'!T294)</f>
        <v>0</v>
      </c>
      <c r="U294" s="93">
        <f>SUM('1:2'!U294)</f>
        <v>0</v>
      </c>
      <c r="V294" s="206">
        <f t="shared" si="110"/>
        <v>0</v>
      </c>
      <c r="W294" s="33" t="str">
        <f t="shared" si="106"/>
        <v/>
      </c>
      <c r="X294" s="93">
        <f>SUM('1:2'!X294)</f>
        <v>0</v>
      </c>
      <c r="Y294" s="93">
        <f>SUM('1:2'!Y294)</f>
        <v>0</v>
      </c>
      <c r="Z294" s="93">
        <f>SUM('1:2'!Z294)</f>
        <v>0</v>
      </c>
      <c r="AA294" s="93">
        <f>SUM('1:2'!AA294)</f>
        <v>0</v>
      </c>
      <c r="AB294" s="358">
        <v>0.41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>
        <v>30100051</v>
      </c>
      <c r="B295" s="62" t="s">
        <v>58</v>
      </c>
      <c r="C295" s="16" t="s">
        <v>65</v>
      </c>
      <c r="D295" s="17">
        <v>5.04</v>
      </c>
      <c r="E295" s="17"/>
      <c r="F295" s="6"/>
      <c r="G295" s="93">
        <f>SUM('1:2'!G295)</f>
        <v>88</v>
      </c>
      <c r="H295" s="246">
        <f t="shared" si="112"/>
        <v>443.52</v>
      </c>
      <c r="I295" s="93">
        <f>SUM('1:2'!I295)</f>
        <v>12</v>
      </c>
      <c r="J295" s="31">
        <f t="array" ref="J295">IF(ISERROR(G295/I295),"",G295/I295)</f>
        <v>7.333333333333333</v>
      </c>
      <c r="K295" s="35">
        <f t="array" ref="K295">IF(ISERROR(G295/L295),"",G295/L295)</f>
        <v>4.4000000000000004</v>
      </c>
      <c r="L295" s="87">
        <v>20</v>
      </c>
      <c r="M295" s="36">
        <f t="shared" si="108"/>
        <v>7.6</v>
      </c>
      <c r="N295" s="31">
        <f t="shared" si="109"/>
        <v>0</v>
      </c>
      <c r="O295" s="93">
        <f>SUM('1:2'!O295)</f>
        <v>0</v>
      </c>
      <c r="P295" s="93">
        <f>SUM('1:2'!P295)</f>
        <v>0</v>
      </c>
      <c r="Q295" s="93">
        <f>SUM('1:2'!Q295)</f>
        <v>0</v>
      </c>
      <c r="R295" s="93">
        <f>SUM('1:2'!R295)</f>
        <v>0</v>
      </c>
      <c r="S295" s="93">
        <f>SUM('1:2'!S295)</f>
        <v>0</v>
      </c>
      <c r="T295" s="93">
        <f>SUM('1:2'!T295)</f>
        <v>0</v>
      </c>
      <c r="U295" s="93">
        <f>SUM('1:2'!U295)</f>
        <v>0</v>
      </c>
      <c r="V295" s="206">
        <f t="shared" si="110"/>
        <v>0</v>
      </c>
      <c r="W295" s="33">
        <f t="shared" si="106"/>
        <v>0</v>
      </c>
      <c r="X295" s="93">
        <f>SUM('1:2'!X295)</f>
        <v>0</v>
      </c>
      <c r="Y295" s="93">
        <f>SUM('1:2'!Y295)</f>
        <v>0</v>
      </c>
      <c r="Z295" s="93">
        <f>SUM('1:2'!Z295)</f>
        <v>0</v>
      </c>
      <c r="AA295" s="93">
        <f>SUM('1:2'!AA295)</f>
        <v>0</v>
      </c>
      <c r="AB295" s="358">
        <v>0.52</v>
      </c>
      <c r="AC295" s="269">
        <f t="shared" si="111"/>
        <v>45.760000000000005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7.25">
      <c r="A296" s="320"/>
      <c r="B296" s="63" t="s">
        <v>95</v>
      </c>
      <c r="C296" s="16" t="s">
        <v>82</v>
      </c>
      <c r="D296" s="17">
        <v>5.03</v>
      </c>
      <c r="E296" s="17"/>
      <c r="F296" s="6"/>
      <c r="G296" s="93">
        <f>SUM('1:2'!G296)</f>
        <v>0</v>
      </c>
      <c r="H296" s="246">
        <f t="shared" si="112"/>
        <v>0</v>
      </c>
      <c r="I296" s="93">
        <f>SUM('1:2'!I296)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SUM('1:2'!O296)</f>
        <v>0</v>
      </c>
      <c r="P296" s="93">
        <f>SUM('1:2'!P296)</f>
        <v>0</v>
      </c>
      <c r="Q296" s="93">
        <f>SUM('1:2'!Q296)</f>
        <v>0</v>
      </c>
      <c r="R296" s="93">
        <f>SUM('1:2'!R296)</f>
        <v>0</v>
      </c>
      <c r="S296" s="93">
        <f>SUM('1:2'!S296)</f>
        <v>0</v>
      </c>
      <c r="T296" s="93">
        <f>SUM('1:2'!T296)</f>
        <v>0</v>
      </c>
      <c r="U296" s="93">
        <f>SUM('1:2'!U296)</f>
        <v>0</v>
      </c>
      <c r="V296" s="206">
        <f t="shared" si="110"/>
        <v>0</v>
      </c>
      <c r="W296" s="33" t="str">
        <f t="shared" si="106"/>
        <v/>
      </c>
      <c r="X296" s="93">
        <f>SUM('1:2'!X296)</f>
        <v>0</v>
      </c>
      <c r="Y296" s="93">
        <f>SUM('1:2'!Y296)</f>
        <v>0</v>
      </c>
      <c r="Z296" s="93">
        <f>SUM('1:2'!Z296)</f>
        <v>0</v>
      </c>
      <c r="AA296" s="93">
        <f>SUM('1:2'!AA296)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30100054</v>
      </c>
      <c r="B297" s="63" t="s">
        <v>95</v>
      </c>
      <c r="C297" s="247" t="s">
        <v>72</v>
      </c>
      <c r="D297" s="17">
        <v>5.03</v>
      </c>
      <c r="E297" s="17"/>
      <c r="F297" s="6"/>
      <c r="G297" s="93">
        <f>SUM('1:2'!G297)</f>
        <v>0</v>
      </c>
      <c r="H297" s="246">
        <f t="shared" si="112"/>
        <v>0</v>
      </c>
      <c r="I297" s="93">
        <f>SUM('1:2'!I297)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SUM('1:2'!O297)</f>
        <v>0</v>
      </c>
      <c r="P297" s="93">
        <f>SUM('1:2'!P297)</f>
        <v>0</v>
      </c>
      <c r="Q297" s="93">
        <f>SUM('1:2'!Q297)</f>
        <v>0</v>
      </c>
      <c r="R297" s="93">
        <f>SUM('1:2'!R297)</f>
        <v>0</v>
      </c>
      <c r="S297" s="93">
        <f>SUM('1:2'!S297)</f>
        <v>0</v>
      </c>
      <c r="T297" s="93">
        <f>SUM('1:2'!T297)</f>
        <v>0</v>
      </c>
      <c r="U297" s="93">
        <f>SUM('1:2'!U297)</f>
        <v>0</v>
      </c>
      <c r="V297" s="206">
        <f t="shared" si="110"/>
        <v>0</v>
      </c>
      <c r="W297" s="33" t="str">
        <f t="shared" si="106"/>
        <v/>
      </c>
      <c r="X297" s="93">
        <f>SUM('1:2'!X297)</f>
        <v>0</v>
      </c>
      <c r="Y297" s="93">
        <f>SUM('1:2'!Y297)</f>
        <v>0</v>
      </c>
      <c r="Z297" s="93">
        <f>SUM('1:2'!Z297)</f>
        <v>0</v>
      </c>
      <c r="AA297" s="93">
        <f>SUM('1:2'!AA297)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5.75">
      <c r="A298" s="299">
        <v>30100053</v>
      </c>
      <c r="B298" s="63" t="s">
        <v>95</v>
      </c>
      <c r="C298" s="16" t="s">
        <v>73</v>
      </c>
      <c r="D298" s="17">
        <v>5.03</v>
      </c>
      <c r="E298" s="17"/>
      <c r="F298" s="6"/>
      <c r="G298" s="93">
        <f>SUM('1:2'!G298)</f>
        <v>0</v>
      </c>
      <c r="H298" s="246">
        <f t="shared" si="112"/>
        <v>0</v>
      </c>
      <c r="I298" s="93">
        <f>SUM('1:2'!I298)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SUM('1:2'!O298)</f>
        <v>0</v>
      </c>
      <c r="P298" s="93">
        <f>SUM('1:2'!P298)</f>
        <v>0</v>
      </c>
      <c r="Q298" s="93">
        <f>SUM('1:2'!Q298)</f>
        <v>0</v>
      </c>
      <c r="R298" s="93">
        <f>SUM('1:2'!R298)</f>
        <v>0</v>
      </c>
      <c r="S298" s="93">
        <f>SUM('1:2'!S298)</f>
        <v>0</v>
      </c>
      <c r="T298" s="93">
        <f>SUM('1:2'!T298)</f>
        <v>0</v>
      </c>
      <c r="U298" s="93">
        <f>SUM('1:2'!U298)</f>
        <v>0</v>
      </c>
      <c r="V298" s="206">
        <f t="shared" si="110"/>
        <v>0</v>
      </c>
      <c r="W298" s="33" t="str">
        <f t="shared" si="106"/>
        <v/>
      </c>
      <c r="X298" s="93">
        <f>SUM('1:2'!X298)</f>
        <v>0</v>
      </c>
      <c r="Y298" s="93">
        <f>SUM('1:2'!Y298)</f>
        <v>0</v>
      </c>
      <c r="Z298" s="93">
        <f>SUM('1:2'!Z298)</f>
        <v>0</v>
      </c>
      <c r="AA298" s="93">
        <f>SUM('1:2'!AA298)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16" t="s">
        <v>60</v>
      </c>
      <c r="D299" s="17">
        <v>5.03</v>
      </c>
      <c r="E299" s="17"/>
      <c r="F299" s="6"/>
      <c r="G299" s="93">
        <f>SUM('1:2'!G299)</f>
        <v>0</v>
      </c>
      <c r="H299" s="246">
        <f t="shared" si="112"/>
        <v>0</v>
      </c>
      <c r="I299" s="93">
        <f>SUM('1:2'!I299)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SUM('1:2'!O299)</f>
        <v>0</v>
      </c>
      <c r="P299" s="93">
        <f>SUM('1:2'!P299)</f>
        <v>0</v>
      </c>
      <c r="Q299" s="93">
        <f>SUM('1:2'!Q299)</f>
        <v>0</v>
      </c>
      <c r="R299" s="93">
        <f>SUM('1:2'!R299)</f>
        <v>0</v>
      </c>
      <c r="S299" s="93">
        <f>SUM('1:2'!S299)</f>
        <v>0</v>
      </c>
      <c r="T299" s="93">
        <f>SUM('1:2'!T299)</f>
        <v>0</v>
      </c>
      <c r="U299" s="93">
        <f>SUM('1:2'!U299)</f>
        <v>0</v>
      </c>
      <c r="V299" s="206">
        <f t="shared" si="110"/>
        <v>0</v>
      </c>
      <c r="W299" s="33" t="str">
        <f t="shared" si="106"/>
        <v/>
      </c>
      <c r="X299" s="93">
        <f>SUM('1:2'!X299)</f>
        <v>0</v>
      </c>
      <c r="Y299" s="93">
        <f>SUM('1:2'!Y299)</f>
        <v>0</v>
      </c>
      <c r="Z299" s="93">
        <f>SUM('1:2'!Z299)</f>
        <v>0</v>
      </c>
      <c r="AA299" s="93">
        <f>SUM('1:2'!AA299)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/>
      <c r="B300" s="63" t="s">
        <v>95</v>
      </c>
      <c r="C300" s="247" t="s">
        <v>96</v>
      </c>
      <c r="D300" s="17">
        <v>5.03</v>
      </c>
      <c r="E300" s="17"/>
      <c r="F300" s="6"/>
      <c r="G300" s="93">
        <f>SUM('1:2'!G300)</f>
        <v>0</v>
      </c>
      <c r="H300" s="246">
        <f t="shared" si="112"/>
        <v>0</v>
      </c>
      <c r="I300" s="93">
        <f>SUM('1:2'!I300)</f>
        <v>0</v>
      </c>
      <c r="J300" s="31" t="str">
        <f t="array" ref="J300">IF(ISERROR(G300/I300),"",G300/I300)</f>
        <v/>
      </c>
      <c r="K300" s="35">
        <f t="array" ref="K300">IF(ISERROR(G300/L300),"",G300/L300)</f>
        <v>0</v>
      </c>
      <c r="L300" s="87">
        <v>4</v>
      </c>
      <c r="M300" s="36">
        <f t="shared" si="108"/>
        <v>0</v>
      </c>
      <c r="N300" s="31">
        <f t="shared" si="109"/>
        <v>0</v>
      </c>
      <c r="O300" s="93">
        <f>SUM('1:2'!O300)</f>
        <v>0</v>
      </c>
      <c r="P300" s="93">
        <f>SUM('1:2'!P300)</f>
        <v>0</v>
      </c>
      <c r="Q300" s="93">
        <f>SUM('1:2'!Q300)</f>
        <v>0</v>
      </c>
      <c r="R300" s="93">
        <f>SUM('1:2'!R300)</f>
        <v>0</v>
      </c>
      <c r="S300" s="93">
        <f>SUM('1:2'!S300)</f>
        <v>0</v>
      </c>
      <c r="T300" s="93">
        <f>SUM('1:2'!T300)</f>
        <v>0</v>
      </c>
      <c r="U300" s="93">
        <f>SUM('1:2'!U300)</f>
        <v>0</v>
      </c>
      <c r="V300" s="206">
        <f t="shared" si="110"/>
        <v>0</v>
      </c>
      <c r="W300" s="33" t="str">
        <f t="shared" si="106"/>
        <v/>
      </c>
      <c r="X300" s="93">
        <f>SUM('1:2'!X300)</f>
        <v>0</v>
      </c>
      <c r="Y300" s="93">
        <f>SUM('1:2'!Y300)</f>
        <v>0</v>
      </c>
      <c r="Z300" s="93">
        <f>SUM('1:2'!Z300)</f>
        <v>0</v>
      </c>
      <c r="AA300" s="93">
        <f>SUM('1:2'!AA300)</f>
        <v>0</v>
      </c>
      <c r="AB300" s="358">
        <v>0.59</v>
      </c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30101067</v>
      </c>
      <c r="B301" s="63" t="s">
        <v>97</v>
      </c>
      <c r="C301" s="247" t="s">
        <v>82</v>
      </c>
      <c r="D301" s="17">
        <v>5.03</v>
      </c>
      <c r="E301" s="17"/>
      <c r="F301" s="6"/>
      <c r="G301" s="93">
        <f>SUM('1:2'!G301)</f>
        <v>0</v>
      </c>
      <c r="H301" s="246">
        <f t="shared" si="112"/>
        <v>0</v>
      </c>
      <c r="I301" s="93">
        <f>SUM('1:2'!I301)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SUM('1:2'!O301)</f>
        <v>0</v>
      </c>
      <c r="P301" s="93">
        <f>SUM('1:2'!P301)</f>
        <v>0</v>
      </c>
      <c r="Q301" s="93">
        <f>SUM('1:2'!Q301)</f>
        <v>0</v>
      </c>
      <c r="R301" s="93">
        <f>SUM('1:2'!R301)</f>
        <v>0</v>
      </c>
      <c r="S301" s="93">
        <f>SUM('1:2'!S301)</f>
        <v>0</v>
      </c>
      <c r="T301" s="93">
        <f>SUM('1:2'!T301)</f>
        <v>0</v>
      </c>
      <c r="U301" s="93">
        <f>SUM('1:2'!U301)</f>
        <v>0</v>
      </c>
      <c r="V301" s="206">
        <f t="shared" si="110"/>
        <v>0</v>
      </c>
      <c r="W301" s="33" t="str">
        <f t="shared" si="106"/>
        <v/>
      </c>
      <c r="X301" s="93">
        <f>SUM('1:2'!X301)</f>
        <v>0</v>
      </c>
      <c r="Y301" s="93">
        <f>SUM('1:2'!Y301)</f>
        <v>0</v>
      </c>
      <c r="Z301" s="93">
        <f>SUM('1:2'!Z301)</f>
        <v>0</v>
      </c>
      <c r="AA301" s="93">
        <f>SUM('1:2'!AA301)</f>
        <v>0</v>
      </c>
      <c r="AB301" s="358"/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30101068</v>
      </c>
      <c r="B302" s="63" t="s">
        <v>97</v>
      </c>
      <c r="C302" s="247" t="s">
        <v>72</v>
      </c>
      <c r="D302" s="17">
        <v>5.03</v>
      </c>
      <c r="E302" s="17"/>
      <c r="F302" s="6"/>
      <c r="G302" s="93">
        <f>SUM('1:2'!G302)</f>
        <v>0</v>
      </c>
      <c r="H302" s="246">
        <f t="shared" si="112"/>
        <v>0</v>
      </c>
      <c r="I302" s="93">
        <f>SUM('1:2'!I302)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SUM('1:2'!O302)</f>
        <v>0</v>
      </c>
      <c r="P302" s="93">
        <f>SUM('1:2'!P302)</f>
        <v>0</v>
      </c>
      <c r="Q302" s="93">
        <f>SUM('1:2'!Q302)</f>
        <v>0</v>
      </c>
      <c r="R302" s="93">
        <f>SUM('1:2'!R302)</f>
        <v>0</v>
      </c>
      <c r="S302" s="93">
        <f>SUM('1:2'!S302)</f>
        <v>0</v>
      </c>
      <c r="T302" s="93">
        <f>SUM('1:2'!T302)</f>
        <v>0</v>
      </c>
      <c r="U302" s="93">
        <f>SUM('1:2'!U302)</f>
        <v>0</v>
      </c>
      <c r="V302" s="206">
        <f t="shared" si="110"/>
        <v>0</v>
      </c>
      <c r="W302" s="33" t="str">
        <f t="shared" si="106"/>
        <v/>
      </c>
      <c r="X302" s="93">
        <f>SUM('1:2'!X302)</f>
        <v>0</v>
      </c>
      <c r="Y302" s="93">
        <f>SUM('1:2'!Y302)</f>
        <v>0</v>
      </c>
      <c r="Z302" s="93">
        <f>SUM('1:2'!Z302)</f>
        <v>0</v>
      </c>
      <c r="AA302" s="93">
        <f>SUM('1:2'!AA302)</f>
        <v>0</v>
      </c>
      <c r="AB302" s="358">
        <v>0.59</v>
      </c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30101069</v>
      </c>
      <c r="B303" s="63" t="s">
        <v>97</v>
      </c>
      <c r="C303" s="247" t="s">
        <v>60</v>
      </c>
      <c r="D303" s="17">
        <v>5.03</v>
      </c>
      <c r="E303" s="17"/>
      <c r="F303" s="6"/>
      <c r="G303" s="93">
        <f>SUM('1:2'!G303)</f>
        <v>0</v>
      </c>
      <c r="H303" s="246">
        <f t="shared" si="112"/>
        <v>0</v>
      </c>
      <c r="I303" s="93">
        <f>SUM('1:2'!I303)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SUM('1:2'!O303)</f>
        <v>0</v>
      </c>
      <c r="P303" s="93">
        <f>SUM('1:2'!P303)</f>
        <v>0</v>
      </c>
      <c r="Q303" s="93">
        <f>SUM('1:2'!Q303)</f>
        <v>0</v>
      </c>
      <c r="R303" s="93">
        <f>SUM('1:2'!R303)</f>
        <v>0</v>
      </c>
      <c r="S303" s="93">
        <f>SUM('1:2'!S303)</f>
        <v>0</v>
      </c>
      <c r="T303" s="93">
        <f>SUM('1:2'!T303)</f>
        <v>0</v>
      </c>
      <c r="U303" s="93">
        <f>SUM('1:2'!U303)</f>
        <v>0</v>
      </c>
      <c r="V303" s="206">
        <f t="shared" si="110"/>
        <v>0</v>
      </c>
      <c r="W303" s="33" t="str">
        <f t="shared" si="106"/>
        <v/>
      </c>
      <c r="X303" s="93">
        <f>SUM('1:2'!X303)</f>
        <v>0</v>
      </c>
      <c r="Y303" s="93">
        <f>SUM('1:2'!Y303)</f>
        <v>0</v>
      </c>
      <c r="Z303" s="93">
        <f>SUM('1:2'!Z303)</f>
        <v>0</v>
      </c>
      <c r="AA303" s="93">
        <f>SUM('1:2'!AA303)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30101070</v>
      </c>
      <c r="B304" s="63" t="s">
        <v>97</v>
      </c>
      <c r="C304" s="247" t="s">
        <v>96</v>
      </c>
      <c r="D304" s="17">
        <v>5.03</v>
      </c>
      <c r="E304" s="17"/>
      <c r="F304" s="6"/>
      <c r="G304" s="93">
        <f>SUM('1:2'!G304)</f>
        <v>0</v>
      </c>
      <c r="H304" s="246">
        <f t="shared" si="112"/>
        <v>0</v>
      </c>
      <c r="I304" s="93">
        <f>SUM('1:2'!I304)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SUM('1:2'!O304)</f>
        <v>0</v>
      </c>
      <c r="P304" s="93">
        <f>SUM('1:2'!P304)</f>
        <v>0</v>
      </c>
      <c r="Q304" s="93">
        <f>SUM('1:2'!Q304)</f>
        <v>0</v>
      </c>
      <c r="R304" s="93">
        <f>SUM('1:2'!R304)</f>
        <v>0</v>
      </c>
      <c r="S304" s="93">
        <f>SUM('1:2'!S304)</f>
        <v>0</v>
      </c>
      <c r="T304" s="93">
        <f>SUM('1:2'!T304)</f>
        <v>0</v>
      </c>
      <c r="U304" s="93">
        <f>SUM('1:2'!U304)</f>
        <v>0</v>
      </c>
      <c r="V304" s="206">
        <f t="shared" si="110"/>
        <v>0</v>
      </c>
      <c r="W304" s="33" t="str">
        <f t="shared" si="106"/>
        <v/>
      </c>
      <c r="X304" s="93">
        <f>SUM('1:2'!X304)</f>
        <v>0</v>
      </c>
      <c r="Y304" s="93">
        <f>SUM('1:2'!Y304)</f>
        <v>0</v>
      </c>
      <c r="Z304" s="93">
        <f>SUM('1:2'!Z304)</f>
        <v>0</v>
      </c>
      <c r="AA304" s="93">
        <f>SUM('1:2'!AA304)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20">
        <v>30101071</v>
      </c>
      <c r="B305" s="63" t="s">
        <v>97</v>
      </c>
      <c r="C305" s="247" t="s">
        <v>73</v>
      </c>
      <c r="D305" s="17">
        <v>5.03</v>
      </c>
      <c r="E305" s="17"/>
      <c r="F305" s="6"/>
      <c r="G305" s="93">
        <f>SUM('1:2'!G305)</f>
        <v>0</v>
      </c>
      <c r="H305" s="246">
        <f t="shared" si="112"/>
        <v>0</v>
      </c>
      <c r="I305" s="93">
        <f>SUM('1:2'!I305)</f>
        <v>0</v>
      </c>
      <c r="J305" s="31" t="str">
        <f t="array" ref="J305">IF(ISERROR(G305/I305),"",G305/I305)</f>
        <v/>
      </c>
      <c r="K305" s="35" t="str">
        <f t="array" ref="K305">IF(ISERROR(G305/L305),"",G305/L305)</f>
        <v/>
      </c>
      <c r="L305" s="87"/>
      <c r="M305" s="36" t="str">
        <f t="shared" si="108"/>
        <v/>
      </c>
      <c r="N305" s="31">
        <f t="shared" si="109"/>
        <v>0</v>
      </c>
      <c r="O305" s="93">
        <f>SUM('1:2'!O305)</f>
        <v>0</v>
      </c>
      <c r="P305" s="93">
        <f>SUM('1:2'!P305)</f>
        <v>0</v>
      </c>
      <c r="Q305" s="93">
        <f>SUM('1:2'!Q305)</f>
        <v>0</v>
      </c>
      <c r="R305" s="93">
        <f>SUM('1:2'!R305)</f>
        <v>0</v>
      </c>
      <c r="S305" s="93">
        <f>SUM('1:2'!S305)</f>
        <v>0</v>
      </c>
      <c r="T305" s="93">
        <f>SUM('1:2'!T305)</f>
        <v>0</v>
      </c>
      <c r="U305" s="93">
        <f>SUM('1:2'!U305)</f>
        <v>0</v>
      </c>
      <c r="V305" s="206">
        <f t="shared" si="110"/>
        <v>0</v>
      </c>
      <c r="W305" s="33" t="str">
        <f t="shared" si="106"/>
        <v/>
      </c>
      <c r="X305" s="93">
        <f>SUM('1:2'!X305)</f>
        <v>0</v>
      </c>
      <c r="Y305" s="93">
        <f>SUM('1:2'!Y305)</f>
        <v>0</v>
      </c>
      <c r="Z305" s="93">
        <f>SUM('1:2'!Z305)</f>
        <v>0</v>
      </c>
      <c r="AA305" s="93">
        <f>SUM('1:2'!AA305)</f>
        <v>0</v>
      </c>
      <c r="AB305" s="358"/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30100001</v>
      </c>
      <c r="B306" s="62" t="s">
        <v>98</v>
      </c>
      <c r="C306" s="16" t="s">
        <v>74</v>
      </c>
      <c r="D306" s="17">
        <v>5.0599999999999996</v>
      </c>
      <c r="E306" s="17"/>
      <c r="F306" s="6"/>
      <c r="G306" s="93">
        <f>SUM('1:2'!G306)</f>
        <v>947</v>
      </c>
      <c r="H306" s="246">
        <f t="shared" si="112"/>
        <v>4791.82</v>
      </c>
      <c r="I306" s="93">
        <f>SUM('1:2'!I306)</f>
        <v>59.5</v>
      </c>
      <c r="J306" s="31">
        <f t="array" ref="J306">IF(ISERROR(G306/I306),"",G306/I306)</f>
        <v>15.915966386554622</v>
      </c>
      <c r="K306" s="35">
        <f t="array" ref="K306">IF(ISERROR(G306/L306),"",G306/L306)</f>
        <v>37.880000000000003</v>
      </c>
      <c r="L306" s="87">
        <v>25</v>
      </c>
      <c r="M306" s="36">
        <f t="shared" si="108"/>
        <v>21.619999999999997</v>
      </c>
      <c r="N306" s="31">
        <f t="shared" si="109"/>
        <v>0</v>
      </c>
      <c r="O306" s="93">
        <f>SUM('1:2'!O306)</f>
        <v>0</v>
      </c>
      <c r="P306" s="93">
        <f>SUM('1:2'!P306)</f>
        <v>0</v>
      </c>
      <c r="Q306" s="93">
        <f>SUM('1:2'!Q306)</f>
        <v>0</v>
      </c>
      <c r="R306" s="93">
        <f>SUM('1:2'!R306)</f>
        <v>0</v>
      </c>
      <c r="S306" s="93">
        <f>SUM('1:2'!S306)</f>
        <v>0</v>
      </c>
      <c r="T306" s="93">
        <f>SUM('1:2'!T306)</f>
        <v>0</v>
      </c>
      <c r="U306" s="93">
        <f>SUM('1:2'!U306)</f>
        <v>0</v>
      </c>
      <c r="V306" s="206">
        <f t="shared" si="110"/>
        <v>0</v>
      </c>
      <c r="W306" s="33">
        <f t="shared" si="106"/>
        <v>0</v>
      </c>
      <c r="X306" s="93">
        <f>SUM('1:2'!X306)</f>
        <v>0</v>
      </c>
      <c r="Y306" s="93">
        <f>SUM('1:2'!Y306)</f>
        <v>0</v>
      </c>
      <c r="Z306" s="93">
        <f>SUM('1:2'!Z306)</f>
        <v>0</v>
      </c>
      <c r="AA306" s="93">
        <f>SUM('1:2'!AA306)</f>
        <v>0</v>
      </c>
      <c r="AB306" s="358">
        <v>0.43</v>
      </c>
      <c r="AC306" s="269">
        <f t="shared" si="111"/>
        <v>407.21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7.25">
      <c r="A307" s="316">
        <v>30100002</v>
      </c>
      <c r="B307" s="62" t="s">
        <v>98</v>
      </c>
      <c r="C307" s="16" t="s">
        <v>94</v>
      </c>
      <c r="D307" s="17">
        <v>5.0599999999999996</v>
      </c>
      <c r="E307" s="17"/>
      <c r="F307" s="6"/>
      <c r="G307" s="93">
        <f>SUM('1:2'!G307)</f>
        <v>721</v>
      </c>
      <c r="H307" s="246">
        <f t="shared" si="112"/>
        <v>3648.2599999999998</v>
      </c>
      <c r="I307" s="93">
        <f>SUM('1:2'!I307)</f>
        <v>34</v>
      </c>
      <c r="J307" s="31">
        <f t="array" ref="J307">IF(ISERROR(G307/I307),"",G307/I307)</f>
        <v>21.205882352941178</v>
      </c>
      <c r="K307" s="35">
        <f t="array" ref="K307">IF(ISERROR(G307/L307),"",G307/L307)</f>
        <v>28.84</v>
      </c>
      <c r="L307" s="87">
        <v>25</v>
      </c>
      <c r="M307" s="36">
        <f t="shared" si="108"/>
        <v>5.16</v>
      </c>
      <c r="N307" s="31">
        <f t="shared" si="109"/>
        <v>0</v>
      </c>
      <c r="O307" s="93">
        <f>SUM('1:2'!O307)</f>
        <v>0</v>
      </c>
      <c r="P307" s="93">
        <f>SUM('1:2'!P307)</f>
        <v>0</v>
      </c>
      <c r="Q307" s="93">
        <f>SUM('1:2'!Q307)</f>
        <v>0</v>
      </c>
      <c r="R307" s="93">
        <f>SUM('1:2'!R307)</f>
        <v>0</v>
      </c>
      <c r="S307" s="93">
        <f>SUM('1:2'!S307)</f>
        <v>0</v>
      </c>
      <c r="T307" s="93">
        <f>SUM('1:2'!T307)</f>
        <v>0</v>
      </c>
      <c r="U307" s="93">
        <f>SUM('1:2'!U307)</f>
        <v>0</v>
      </c>
      <c r="V307" s="206">
        <f t="shared" si="110"/>
        <v>0</v>
      </c>
      <c r="W307" s="33">
        <f t="shared" si="106"/>
        <v>0</v>
      </c>
      <c r="X307" s="93">
        <f>SUM('1:2'!X307)</f>
        <v>0</v>
      </c>
      <c r="Y307" s="93">
        <f>SUM('1:2'!Y307)</f>
        <v>0</v>
      </c>
      <c r="Z307" s="93">
        <f>SUM('1:2'!Z307)</f>
        <v>0</v>
      </c>
      <c r="AA307" s="93">
        <f>SUM('1:2'!AA307)</f>
        <v>0</v>
      </c>
      <c r="AB307" s="358">
        <v>0.43</v>
      </c>
      <c r="AC307" s="269">
        <f t="shared" si="111"/>
        <v>310.02999999999997</v>
      </c>
      <c r="AD307" s="251"/>
      <c r="AE307" s="54"/>
      <c r="AF307" s="54"/>
      <c r="AG307" s="54"/>
      <c r="AH307" s="5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731" t="s">
        <v>99</v>
      </c>
      <c r="B308" s="732"/>
      <c r="C308" s="243" t="s">
        <v>71</v>
      </c>
      <c r="D308" s="20"/>
      <c r="E308" s="20"/>
      <c r="F308" s="32"/>
      <c r="G308" s="99">
        <f>SUM(G293:G307)</f>
        <v>1756</v>
      </c>
      <c r="H308" s="30">
        <f>SUM(H293:H307)</f>
        <v>8883.6</v>
      </c>
      <c r="I308" s="30">
        <f>SUM(I293:I307)</f>
        <v>105.5</v>
      </c>
      <c r="J308" s="31">
        <f t="array" ref="J308">IF(ISERROR(G308/I308),"",G308/I308)</f>
        <v>16.644549763033176</v>
      </c>
      <c r="K308" s="30">
        <f>SUM(K293:K307)</f>
        <v>71.12</v>
      </c>
      <c r="L308" s="30"/>
      <c r="M308" s="89">
        <f t="shared" ref="M308:V308" si="113">SUM(M293:M307)</f>
        <v>34.379999999999995</v>
      </c>
      <c r="N308" s="30">
        <f t="shared" si="113"/>
        <v>0</v>
      </c>
      <c r="O308" s="30">
        <f t="shared" si="113"/>
        <v>0</v>
      </c>
      <c r="P308" s="30">
        <f t="shared" si="113"/>
        <v>0</v>
      </c>
      <c r="Q308" s="30">
        <f t="shared" si="113"/>
        <v>0</v>
      </c>
      <c r="R308" s="30">
        <f t="shared" si="113"/>
        <v>0</v>
      </c>
      <c r="S308" s="30">
        <f t="shared" si="113"/>
        <v>0</v>
      </c>
      <c r="T308" s="30">
        <f t="shared" si="113"/>
        <v>0</v>
      </c>
      <c r="U308" s="30">
        <f t="shared" si="113"/>
        <v>0</v>
      </c>
      <c r="V308" s="208">
        <f t="shared" si="113"/>
        <v>0</v>
      </c>
      <c r="W308" s="33">
        <f t="shared" si="106"/>
        <v>0</v>
      </c>
      <c r="X308" s="94">
        <f>SUM(X293:X307)</f>
        <v>0</v>
      </c>
      <c r="Y308" s="94">
        <f>SUM(Y293:Y307)</f>
        <v>0</v>
      </c>
      <c r="Z308" s="94">
        <f>SUM(Z293:Z307)</f>
        <v>0</v>
      </c>
      <c r="AA308" s="94">
        <f>SUM(AA293:AA307)</f>
        <v>0</v>
      </c>
      <c r="AB308" s="358"/>
      <c r="AC308" s="270">
        <f>SUM(AC293:AC307)</f>
        <v>763</v>
      </c>
      <c r="AD308" s="251"/>
      <c r="AE308" s="74"/>
      <c r="AF308" s="74"/>
      <c r="AG308" s="74"/>
      <c r="AH308" s="7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5.75">
      <c r="A309" s="300">
        <v>30400025</v>
      </c>
      <c r="B309" s="62" t="s">
        <v>100</v>
      </c>
      <c r="C309" s="16" t="s">
        <v>53</v>
      </c>
      <c r="D309" s="17">
        <v>5.04</v>
      </c>
      <c r="E309" s="17"/>
      <c r="F309" s="6"/>
      <c r="G309" s="93">
        <f>SUM('1:2'!G309)</f>
        <v>0</v>
      </c>
      <c r="H309" s="246">
        <f t="shared" ref="H309:H318" si="114">D309*G309</f>
        <v>0</v>
      </c>
      <c r="I309" s="93">
        <f>SUM('1:2'!I309)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ref="M309:M318" si="115">IF(ISERROR(I309-K309),"",I309-K309)</f>
        <v>0</v>
      </c>
      <c r="N309" s="31">
        <f t="shared" ref="N309:N318" si="116">SUM(O309:U309)</f>
        <v>0</v>
      </c>
      <c r="O309" s="93">
        <f>SUM('1:2'!O309)</f>
        <v>0</v>
      </c>
      <c r="P309" s="93">
        <f>SUM('1:2'!P309)</f>
        <v>0</v>
      </c>
      <c r="Q309" s="93">
        <f>SUM('1:2'!Q309)</f>
        <v>0</v>
      </c>
      <c r="R309" s="93">
        <f>SUM('1:2'!R309)</f>
        <v>0</v>
      </c>
      <c r="S309" s="93">
        <f>SUM('1:2'!S309)</f>
        <v>0</v>
      </c>
      <c r="T309" s="93">
        <f>SUM('1:2'!T309)</f>
        <v>0</v>
      </c>
      <c r="U309" s="93">
        <f>SUM('1:2'!U309)</f>
        <v>0</v>
      </c>
      <c r="V309" s="206">
        <f t="shared" ref="V309:V318" si="117">SUM(X309:AA309)</f>
        <v>0</v>
      </c>
      <c r="W309" s="33" t="str">
        <f t="shared" si="106"/>
        <v/>
      </c>
      <c r="X309" s="93">
        <f>SUM('1:2'!X309)</f>
        <v>0</v>
      </c>
      <c r="Y309" s="93">
        <f>SUM('1:2'!Y309)</f>
        <v>0</v>
      </c>
      <c r="Z309" s="93">
        <f>SUM('1:2'!Z309)</f>
        <v>0</v>
      </c>
      <c r="AA309" s="93">
        <f>SUM('1:2'!AA309)</f>
        <v>0</v>
      </c>
      <c r="AB309" s="358">
        <v>0.48</v>
      </c>
      <c r="AC309" s="269">
        <f t="shared" ref="AC309:AC318" si="118">AB309*G309</f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30400023</v>
      </c>
      <c r="B310" s="62" t="s">
        <v>100</v>
      </c>
      <c r="C310" s="16" t="s">
        <v>60</v>
      </c>
      <c r="D310" s="17">
        <v>5.04</v>
      </c>
      <c r="E310" s="17"/>
      <c r="F310" s="6"/>
      <c r="G310" s="93">
        <f>SUM('1:2'!G310)</f>
        <v>0</v>
      </c>
      <c r="H310" s="246">
        <f t="shared" si="114"/>
        <v>0</v>
      </c>
      <c r="I310" s="93">
        <f>SUM('1:2'!I310)</f>
        <v>0</v>
      </c>
      <c r="J310" s="31" t="str">
        <f t="array" ref="J310">IF(ISERROR(G310/I310),"",G310/I310)</f>
        <v/>
      </c>
      <c r="K310" s="35">
        <f t="array" ref="K310">IF(ISERROR(G310/L310),"",G310/L310)</f>
        <v>0</v>
      </c>
      <c r="L310" s="87">
        <v>22</v>
      </c>
      <c r="M310" s="36">
        <f t="shared" si="115"/>
        <v>0</v>
      </c>
      <c r="N310" s="31">
        <f t="shared" si="116"/>
        <v>0</v>
      </c>
      <c r="O310" s="93">
        <f>SUM('1:2'!O310)</f>
        <v>0</v>
      </c>
      <c r="P310" s="93">
        <f>SUM('1:2'!P310)</f>
        <v>0</v>
      </c>
      <c r="Q310" s="93">
        <f>SUM('1:2'!Q310)</f>
        <v>0</v>
      </c>
      <c r="R310" s="93">
        <f>SUM('1:2'!R310)</f>
        <v>0</v>
      </c>
      <c r="S310" s="93">
        <f>SUM('1:2'!S310)</f>
        <v>0</v>
      </c>
      <c r="T310" s="93">
        <f>SUM('1:2'!T310)</f>
        <v>0</v>
      </c>
      <c r="U310" s="93">
        <f>SUM('1:2'!U310)</f>
        <v>0</v>
      </c>
      <c r="V310" s="206">
        <f t="shared" si="117"/>
        <v>0</v>
      </c>
      <c r="W310" s="33" t="str">
        <f t="shared" si="106"/>
        <v/>
      </c>
      <c r="X310" s="93">
        <f>SUM('1:2'!X310)</f>
        <v>0</v>
      </c>
      <c r="Y310" s="93">
        <f>SUM('1:2'!Y310)</f>
        <v>0</v>
      </c>
      <c r="Z310" s="93">
        <f>SUM('1:2'!Z310)</f>
        <v>0</v>
      </c>
      <c r="AA310" s="93">
        <f>SUM('1:2'!AA310)</f>
        <v>0</v>
      </c>
      <c r="AB310" s="358">
        <v>0.48</v>
      </c>
      <c r="AC310" s="269">
        <f t="shared" si="118"/>
        <v>0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>
        <v>30400024</v>
      </c>
      <c r="B311" s="62" t="s">
        <v>100</v>
      </c>
      <c r="C311" s="16" t="s">
        <v>74</v>
      </c>
      <c r="D311" s="17">
        <v>5.04</v>
      </c>
      <c r="E311" s="17"/>
      <c r="F311" s="6"/>
      <c r="G311" s="93">
        <f>SUM('1:2'!G311)</f>
        <v>0</v>
      </c>
      <c r="H311" s="246">
        <f t="shared" si="114"/>
        <v>0</v>
      </c>
      <c r="I311" s="93">
        <f>SUM('1:2'!I311)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SUM('1:2'!O311)</f>
        <v>0</v>
      </c>
      <c r="P311" s="93">
        <f>SUM('1:2'!P311)</f>
        <v>0</v>
      </c>
      <c r="Q311" s="93">
        <f>SUM('1:2'!Q311)</f>
        <v>0</v>
      </c>
      <c r="R311" s="93">
        <f>SUM('1:2'!R311)</f>
        <v>0</v>
      </c>
      <c r="S311" s="93">
        <f>SUM('1:2'!S311)</f>
        <v>0</v>
      </c>
      <c r="T311" s="93">
        <f>SUM('1:2'!T311)</f>
        <v>0</v>
      </c>
      <c r="U311" s="93">
        <f>SUM('1:2'!U311)</f>
        <v>0</v>
      </c>
      <c r="V311" s="206">
        <f t="shared" si="117"/>
        <v>0</v>
      </c>
      <c r="W311" s="33" t="str">
        <f t="shared" si="106"/>
        <v/>
      </c>
      <c r="X311" s="93">
        <f>SUM('1:2'!X311)</f>
        <v>0</v>
      </c>
      <c r="Y311" s="93">
        <f>SUM('1:2'!Y311)</f>
        <v>0</v>
      </c>
      <c r="Z311" s="93">
        <f>SUM('1:2'!Z311)</f>
        <v>0</v>
      </c>
      <c r="AA311" s="93">
        <f>SUM('1:2'!AA311)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66</v>
      </c>
      <c r="D312" s="17">
        <v>5.04</v>
      </c>
      <c r="E312" s="17"/>
      <c r="F312" s="6"/>
      <c r="G312" s="93">
        <f>SUM('1:2'!G312)</f>
        <v>0</v>
      </c>
      <c r="H312" s="246">
        <f t="shared" si="114"/>
        <v>0</v>
      </c>
      <c r="I312" s="93">
        <f>SUM('1:2'!I312)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SUM('1:2'!O312)</f>
        <v>0</v>
      </c>
      <c r="P312" s="93">
        <f>SUM('1:2'!P312)</f>
        <v>0</v>
      </c>
      <c r="Q312" s="93">
        <f>SUM('1:2'!Q312)</f>
        <v>0</v>
      </c>
      <c r="R312" s="93">
        <f>SUM('1:2'!R312)</f>
        <v>0</v>
      </c>
      <c r="S312" s="93">
        <f>SUM('1:2'!S312)</f>
        <v>0</v>
      </c>
      <c r="T312" s="93">
        <f>SUM('1:2'!T312)</f>
        <v>0</v>
      </c>
      <c r="U312" s="93">
        <f>SUM('1:2'!U312)</f>
        <v>0</v>
      </c>
      <c r="V312" s="206">
        <f t="shared" si="117"/>
        <v>0</v>
      </c>
      <c r="W312" s="33" t="str">
        <f t="shared" si="106"/>
        <v/>
      </c>
      <c r="X312" s="93">
        <f>SUM('1:2'!X312)</f>
        <v>0</v>
      </c>
      <c r="Y312" s="93">
        <f>SUM('1:2'!Y312)</f>
        <v>0</v>
      </c>
      <c r="Z312" s="93">
        <f>SUM('1:2'!Z312)</f>
        <v>0</v>
      </c>
      <c r="AA312" s="93">
        <f>SUM('1:2'!AA312)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/>
      <c r="B313" s="62" t="s">
        <v>100</v>
      </c>
      <c r="C313" s="16" t="s">
        <v>101</v>
      </c>
      <c r="D313" s="17">
        <v>5.04</v>
      </c>
      <c r="E313" s="17"/>
      <c r="F313" s="6"/>
      <c r="G313" s="93">
        <f>SUM('1:2'!G313)</f>
        <v>0</v>
      </c>
      <c r="H313" s="246">
        <f t="shared" si="114"/>
        <v>0</v>
      </c>
      <c r="I313" s="93">
        <f>SUM('1:2'!I313)</f>
        <v>0</v>
      </c>
      <c r="J313" s="31" t="str">
        <f t="array" ref="J313">IF(ISERROR(G313/I313),"",G313/I313)</f>
        <v/>
      </c>
      <c r="K313" s="35">
        <f t="array" ref="K313">IF(ISERROR(G313/L313),"",G313/L313)</f>
        <v>0</v>
      </c>
      <c r="L313" s="87">
        <v>22</v>
      </c>
      <c r="M313" s="36">
        <f t="shared" si="115"/>
        <v>0</v>
      </c>
      <c r="N313" s="31">
        <f t="shared" si="116"/>
        <v>0</v>
      </c>
      <c r="O313" s="93">
        <f>SUM('1:2'!O313)</f>
        <v>0</v>
      </c>
      <c r="P313" s="93">
        <f>SUM('1:2'!P313)</f>
        <v>0</v>
      </c>
      <c r="Q313" s="93">
        <f>SUM('1:2'!Q313)</f>
        <v>0</v>
      </c>
      <c r="R313" s="93">
        <f>SUM('1:2'!R313)</f>
        <v>0</v>
      </c>
      <c r="S313" s="93">
        <f>SUM('1:2'!S313)</f>
        <v>0</v>
      </c>
      <c r="T313" s="93">
        <f>SUM('1:2'!T313)</f>
        <v>0</v>
      </c>
      <c r="U313" s="93">
        <f>SUM('1:2'!U313)</f>
        <v>0</v>
      </c>
      <c r="V313" s="206">
        <f t="shared" si="117"/>
        <v>0</v>
      </c>
      <c r="W313" s="33" t="str">
        <f t="shared" si="106"/>
        <v/>
      </c>
      <c r="X313" s="93">
        <f>SUM('1:2'!X313)</f>
        <v>0</v>
      </c>
      <c r="Y313" s="93">
        <f>SUM('1:2'!Y313)</f>
        <v>0</v>
      </c>
      <c r="Z313" s="93">
        <f>SUM('1:2'!Z313)</f>
        <v>0</v>
      </c>
      <c r="AA313" s="93">
        <f>SUM('1:2'!AA313)</f>
        <v>0</v>
      </c>
      <c r="AB313" s="358">
        <v>0.48</v>
      </c>
      <c r="AC313" s="269">
        <f t="shared" si="118"/>
        <v>0</v>
      </c>
      <c r="AD313" s="251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30400019</v>
      </c>
      <c r="B314" s="192" t="s">
        <v>440</v>
      </c>
      <c r="C314" s="187" t="s">
        <v>442</v>
      </c>
      <c r="D314" s="17">
        <v>5.03</v>
      </c>
      <c r="E314" s="17"/>
      <c r="F314" s="6"/>
      <c r="G314" s="93">
        <f>SUM('1:2'!G314)</f>
        <v>18</v>
      </c>
      <c r="H314" s="374">
        <f t="shared" si="114"/>
        <v>90.54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361">
        <v>0.56000000000000005</v>
      </c>
      <c r="AC314" s="269">
        <f t="shared" si="118"/>
        <v>10.080000000000002</v>
      </c>
      <c r="AD314" s="26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30400020</v>
      </c>
      <c r="B315" s="192" t="s">
        <v>439</v>
      </c>
      <c r="C315" s="187" t="s">
        <v>516</v>
      </c>
      <c r="D315" s="17">
        <v>5.03</v>
      </c>
      <c r="E315" s="17"/>
      <c r="F315" s="6"/>
      <c r="G315" s="93">
        <f>SUM('1:2'!G315)</f>
        <v>6</v>
      </c>
      <c r="H315" s="374">
        <f t="shared" si="114"/>
        <v>30.18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386">
        <v>0.56000000000000005</v>
      </c>
      <c r="AC315" s="269">
        <f t="shared" si="118"/>
        <v>3.3600000000000003</v>
      </c>
      <c r="AD315" s="375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30400021</v>
      </c>
      <c r="B316" s="192" t="s">
        <v>439</v>
      </c>
      <c r="C316" s="187" t="s">
        <v>517</v>
      </c>
      <c r="D316" s="17">
        <v>5.03</v>
      </c>
      <c r="E316" s="17"/>
      <c r="F316" s="6"/>
      <c r="G316" s="93">
        <f>SUM('1:2'!G316)</f>
        <v>95</v>
      </c>
      <c r="H316" s="378">
        <f t="shared" si="114"/>
        <v>477.85</v>
      </c>
      <c r="I316" s="93"/>
      <c r="J316" s="31"/>
      <c r="K316" s="35"/>
      <c r="L316" s="87">
        <v>13.5</v>
      </c>
      <c r="M316" s="36"/>
      <c r="N316" s="31"/>
      <c r="O316" s="93"/>
      <c r="P316" s="93"/>
      <c r="Q316" s="93"/>
      <c r="R316" s="93"/>
      <c r="S316" s="93"/>
      <c r="T316" s="93"/>
      <c r="U316" s="93"/>
      <c r="V316" s="206"/>
      <c r="W316" s="33"/>
      <c r="X316" s="93"/>
      <c r="Y316" s="93"/>
      <c r="Z316" s="93"/>
      <c r="AA316" s="93"/>
      <c r="AB316" s="386">
        <v>0.56000000000000005</v>
      </c>
      <c r="AC316" s="269">
        <f t="shared" si="118"/>
        <v>53.2</v>
      </c>
      <c r="AD316" s="379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7.25">
      <c r="A317" s="316">
        <v>30400018</v>
      </c>
      <c r="B317" s="192" t="s">
        <v>439</v>
      </c>
      <c r="C317" s="16" t="s">
        <v>55</v>
      </c>
      <c r="D317" s="17">
        <v>5.03</v>
      </c>
      <c r="E317" s="17"/>
      <c r="F317" s="6"/>
      <c r="G317" s="93">
        <f>SUM('1:2'!G317)</f>
        <v>0</v>
      </c>
      <c r="H317" s="450">
        <f t="shared" si="114"/>
        <v>0</v>
      </c>
      <c r="I317" s="93"/>
      <c r="J317" s="31"/>
      <c r="K317" s="35"/>
      <c r="L317" s="87"/>
      <c r="M317" s="36"/>
      <c r="N317" s="31"/>
      <c r="O317" s="93"/>
      <c r="P317" s="93"/>
      <c r="Q317" s="93"/>
      <c r="R317" s="93"/>
      <c r="S317" s="93"/>
      <c r="T317" s="93"/>
      <c r="U317" s="93"/>
      <c r="V317" s="206"/>
      <c r="W317" s="33"/>
      <c r="X317" s="93"/>
      <c r="Y317" s="93"/>
      <c r="Z317" s="93"/>
      <c r="AA317" s="93"/>
      <c r="AB317" s="449"/>
      <c r="AC317" s="269"/>
      <c r="AD317" s="451"/>
      <c r="AE317" s="54"/>
      <c r="AF317" s="54"/>
      <c r="AG317" s="54"/>
      <c r="AH317" s="5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7.25">
      <c r="A318" s="316">
        <v>30400022</v>
      </c>
      <c r="B318" s="62" t="s">
        <v>100</v>
      </c>
      <c r="C318" s="16" t="s">
        <v>55</v>
      </c>
      <c r="D318" s="17">
        <v>5.04</v>
      </c>
      <c r="E318" s="17"/>
      <c r="F318" s="6"/>
      <c r="G318" s="93">
        <f>SUM('1:2'!G318)</f>
        <v>0</v>
      </c>
      <c r="H318" s="246">
        <f t="shared" si="114"/>
        <v>0</v>
      </c>
      <c r="I318" s="93">
        <f>SUM('1:2'!I318)</f>
        <v>0</v>
      </c>
      <c r="J318" s="31" t="str">
        <f t="array" ref="J318">IF(ISERROR(G318/I318),"",G318/I318)</f>
        <v/>
      </c>
      <c r="K318" s="35">
        <f t="array" ref="K318">IF(ISERROR(G318/L318),"",G318/L318)</f>
        <v>0</v>
      </c>
      <c r="L318" s="87">
        <v>22</v>
      </c>
      <c r="M318" s="36">
        <f t="shared" si="115"/>
        <v>0</v>
      </c>
      <c r="N318" s="31">
        <f t="shared" si="116"/>
        <v>0</v>
      </c>
      <c r="O318" s="93">
        <f>SUM('1:2'!O318)</f>
        <v>0</v>
      </c>
      <c r="P318" s="93">
        <f>SUM('1:2'!P318)</f>
        <v>0</v>
      </c>
      <c r="Q318" s="93">
        <f>SUM('1:2'!Q318)</f>
        <v>0</v>
      </c>
      <c r="R318" s="93">
        <f>SUM('1:2'!R318)</f>
        <v>0</v>
      </c>
      <c r="S318" s="93">
        <f>SUM('1:2'!S318)</f>
        <v>0</v>
      </c>
      <c r="T318" s="93">
        <f>SUM('1:2'!T318)</f>
        <v>0</v>
      </c>
      <c r="U318" s="93">
        <f>SUM('1:2'!U318)</f>
        <v>0</v>
      </c>
      <c r="V318" s="206">
        <f t="shared" si="117"/>
        <v>0</v>
      </c>
      <c r="W318" s="33" t="str">
        <f t="shared" si="106"/>
        <v/>
      </c>
      <c r="X318" s="93">
        <f>SUM('1:2'!X318)</f>
        <v>0</v>
      </c>
      <c r="Y318" s="93">
        <f>SUM('1:2'!Y318)</f>
        <v>0</v>
      </c>
      <c r="Z318" s="93">
        <f>SUM('1:2'!Z318)</f>
        <v>0</v>
      </c>
      <c r="AA318" s="93">
        <f>SUM('1:2'!AA318)</f>
        <v>0</v>
      </c>
      <c r="AB318" s="358">
        <v>0.48</v>
      </c>
      <c r="AC318" s="269">
        <f t="shared" si="118"/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731" t="s">
        <v>102</v>
      </c>
      <c r="B319" s="732"/>
      <c r="C319" s="243" t="s">
        <v>71</v>
      </c>
      <c r="D319" s="20"/>
      <c r="E319" s="20"/>
      <c r="F319" s="32"/>
      <c r="G319" s="103">
        <f>SUM(G309:G318)</f>
        <v>119</v>
      </c>
      <c r="H319" s="30">
        <f>SUM(H309:H318)</f>
        <v>598.57000000000005</v>
      </c>
      <c r="I319" s="30">
        <f>SUM(I309:I318)</f>
        <v>0</v>
      </c>
      <c r="J319" s="31" t="str">
        <f t="array" ref="J319">IF(ISERROR(G319/I319),"",G319/I319)</f>
        <v/>
      </c>
      <c r="K319" s="30">
        <f>SUM(K309:K318)</f>
        <v>0</v>
      </c>
      <c r="L319" s="98"/>
      <c r="M319" s="89">
        <f>SUM(M309:M318)</f>
        <v>0</v>
      </c>
      <c r="N319" s="30">
        <f>SUM(N309:N318)</f>
        <v>0</v>
      </c>
      <c r="O319" s="91">
        <f>SUM(O309:O318)</f>
        <v>0</v>
      </c>
      <c r="P319" s="91">
        <f>SUM(P309:P318)</f>
        <v>0</v>
      </c>
      <c r="Q319" s="91">
        <f>SUM(Q309:Q318)</f>
        <v>0</v>
      </c>
      <c r="R319" s="91"/>
      <c r="S319" s="92">
        <f>SUM(S309:S318)</f>
        <v>0</v>
      </c>
      <c r="T319" s="91">
        <f>SUM(T309:T318)</f>
        <v>0</v>
      </c>
      <c r="U319" s="91">
        <f>SUM(U309:U318)</f>
        <v>0</v>
      </c>
      <c r="V319" s="206">
        <f>SUM(V309:V318)</f>
        <v>0</v>
      </c>
      <c r="W319" s="33">
        <f t="shared" si="106"/>
        <v>0</v>
      </c>
      <c r="X319" s="92">
        <f>SUM(X309:X318)</f>
        <v>0</v>
      </c>
      <c r="Y319" s="92">
        <f>SUM(Y309:Y318)</f>
        <v>0</v>
      </c>
      <c r="Z319" s="92">
        <f>SUM(Z309:Z318)</f>
        <v>0</v>
      </c>
      <c r="AA319" s="92">
        <f>SUM(AA309:AA318)</f>
        <v>0</v>
      </c>
      <c r="AB319" s="358"/>
      <c r="AC319" s="270">
        <f>SUM(AC309:AC318)</f>
        <v>66.64</v>
      </c>
      <c r="AD319" s="251"/>
      <c r="AE319" s="74"/>
      <c r="AF319" s="74"/>
      <c r="AG319" s="74"/>
      <c r="AH319" s="7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30700013</v>
      </c>
      <c r="B320" s="64" t="s">
        <v>103</v>
      </c>
      <c r="C320" s="242"/>
      <c r="D320" s="17">
        <v>3.65</v>
      </c>
      <c r="E320" s="17"/>
      <c r="F320" s="53"/>
      <c r="G320" s="93">
        <f>SUM('1:2'!G320)</f>
        <v>0</v>
      </c>
      <c r="H320" s="246">
        <f>D320*G320</f>
        <v>0</v>
      </c>
      <c r="I320" s="93">
        <f>SUM('1:2'!I320)</f>
        <v>0</v>
      </c>
      <c r="J320" s="31" t="str">
        <f t="array" ref="J320">IF(ISERROR(G320/I320),"",G320/I320)</f>
        <v/>
      </c>
      <c r="K320" s="246">
        <f t="array" ref="K320">IF(ISERROR(G320/L320),"",G320/L320)</f>
        <v>0</v>
      </c>
      <c r="L320" s="87">
        <v>5</v>
      </c>
      <c r="M320" s="36">
        <f t="shared" ref="M320:M323" si="119">IF(ISERROR(I320-K320),"",I320-K320)</f>
        <v>0</v>
      </c>
      <c r="N320" s="31">
        <f t="shared" ref="N320:N323" si="120">SUM(O320:U320)</f>
        <v>0</v>
      </c>
      <c r="O320" s="93">
        <f>SUM('1:2'!O320)</f>
        <v>0</v>
      </c>
      <c r="P320" s="93">
        <f>SUM('1:2'!P320)</f>
        <v>0</v>
      </c>
      <c r="Q320" s="93">
        <f>SUM('1:2'!Q320)</f>
        <v>0</v>
      </c>
      <c r="R320" s="93">
        <f>SUM('1:2'!R320)</f>
        <v>0</v>
      </c>
      <c r="S320" s="93">
        <f>SUM('1:2'!S320)</f>
        <v>0</v>
      </c>
      <c r="T320" s="93">
        <f>SUM('1:2'!T320)</f>
        <v>0</v>
      </c>
      <c r="U320" s="93">
        <f>SUM('1:2'!U320)</f>
        <v>0</v>
      </c>
      <c r="V320" s="206">
        <f t="shared" ref="V320:V323" si="121">SUM(X320:AA320)</f>
        <v>0</v>
      </c>
      <c r="W320" s="33" t="str">
        <f t="shared" si="106"/>
        <v/>
      </c>
      <c r="X320" s="93">
        <f>SUM('1:2'!X320)</f>
        <v>0</v>
      </c>
      <c r="Y320" s="93">
        <f>SUM('1:2'!Y320)</f>
        <v>0</v>
      </c>
      <c r="Z320" s="93">
        <f>SUM('1:2'!Z320)</f>
        <v>0</v>
      </c>
      <c r="AA320" s="93">
        <f>SUM('1:2'!AA320)</f>
        <v>0</v>
      </c>
      <c r="AB320" s="358">
        <v>2.0699999999999998</v>
      </c>
      <c r="AC320" s="269">
        <f t="shared" ref="AC320:AC333" si="122">AB320*G320</f>
        <v>0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30700014</v>
      </c>
      <c r="B321" s="64" t="s">
        <v>0</v>
      </c>
      <c r="C321" s="242"/>
      <c r="D321" s="17">
        <v>6.58</v>
      </c>
      <c r="E321" s="17"/>
      <c r="F321" s="6"/>
      <c r="G321" s="93">
        <f>SUM('1:2'!G321)</f>
        <v>0</v>
      </c>
      <c r="H321" s="246">
        <f t="shared" ref="H321:H329" si="123">D321*G321</f>
        <v>0</v>
      </c>
      <c r="I321" s="93">
        <f>SUM('1:2'!I321)</f>
        <v>0</v>
      </c>
      <c r="J321" s="31" t="str">
        <f t="array" ref="J321">IF(ISERROR(G321/I321),"",G321/I321)</f>
        <v/>
      </c>
      <c r="K321" s="35">
        <f t="array" ref="K321">IF(ISERROR(G321/L321),"",G321/L321)</f>
        <v>0</v>
      </c>
      <c r="L321" s="87">
        <v>5</v>
      </c>
      <c r="M321" s="36">
        <f t="shared" si="119"/>
        <v>0</v>
      </c>
      <c r="N321" s="31">
        <f t="shared" si="120"/>
        <v>0</v>
      </c>
      <c r="O321" s="93">
        <f>SUM('1:2'!O321)</f>
        <v>0</v>
      </c>
      <c r="P321" s="93">
        <f>SUM('1:2'!P321)</f>
        <v>0</v>
      </c>
      <c r="Q321" s="93">
        <f>SUM('1:2'!Q321)</f>
        <v>0</v>
      </c>
      <c r="R321" s="93">
        <f>SUM('1:2'!R321)</f>
        <v>0</v>
      </c>
      <c r="S321" s="93">
        <f>SUM('1:2'!S321)</f>
        <v>0</v>
      </c>
      <c r="T321" s="93">
        <f>SUM('1:2'!T321)</f>
        <v>0</v>
      </c>
      <c r="U321" s="93">
        <f>SUM('1:2'!U321)</f>
        <v>0</v>
      </c>
      <c r="V321" s="206">
        <f t="shared" si="121"/>
        <v>0</v>
      </c>
      <c r="W321" s="33" t="str">
        <f t="shared" si="106"/>
        <v/>
      </c>
      <c r="X321" s="93">
        <f>SUM('1:2'!X321)</f>
        <v>0</v>
      </c>
      <c r="Y321" s="93">
        <f>SUM('1:2'!Y321)</f>
        <v>0</v>
      </c>
      <c r="Z321" s="93">
        <f>SUM('1:2'!Z321)</f>
        <v>0</v>
      </c>
      <c r="AA321" s="93">
        <f>SUM('1:2'!AA321)</f>
        <v>0</v>
      </c>
      <c r="AB321" s="358">
        <v>2.0699999999999998</v>
      </c>
      <c r="AC321" s="269">
        <f t="shared" si="122"/>
        <v>0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30700016</v>
      </c>
      <c r="B322" s="64" t="s">
        <v>1</v>
      </c>
      <c r="C322" s="242"/>
      <c r="D322" s="17">
        <v>7.8</v>
      </c>
      <c r="E322" s="17"/>
      <c r="F322" s="6"/>
      <c r="G322" s="93">
        <f>SUM('1:2'!G322)</f>
        <v>0</v>
      </c>
      <c r="H322" s="246">
        <f t="shared" si="123"/>
        <v>0</v>
      </c>
      <c r="I322" s="93">
        <f>SUM('1:2'!I322)</f>
        <v>0</v>
      </c>
      <c r="J322" s="31" t="str">
        <f t="array" ref="J322">IF(ISERROR(G322/I322),"",G322/I322)</f>
        <v/>
      </c>
      <c r="K322" s="35">
        <f t="array" ref="K322">IF(ISERROR(G322/L322),"",G322/L322)</f>
        <v>0</v>
      </c>
      <c r="L322" s="87">
        <v>4.5999999999999996</v>
      </c>
      <c r="M322" s="36">
        <f t="shared" si="119"/>
        <v>0</v>
      </c>
      <c r="N322" s="31">
        <f t="shared" si="120"/>
        <v>0</v>
      </c>
      <c r="O322" s="93">
        <f>SUM('1:2'!O322)</f>
        <v>0</v>
      </c>
      <c r="P322" s="93">
        <f>SUM('1:2'!P322)</f>
        <v>0</v>
      </c>
      <c r="Q322" s="93">
        <f>SUM('1:2'!Q322)</f>
        <v>0</v>
      </c>
      <c r="R322" s="93">
        <f>SUM('1:2'!R322)</f>
        <v>0</v>
      </c>
      <c r="S322" s="93">
        <f>SUM('1:2'!S322)</f>
        <v>0</v>
      </c>
      <c r="T322" s="93">
        <f>SUM('1:2'!T322)</f>
        <v>0</v>
      </c>
      <c r="U322" s="93">
        <f>SUM('1:2'!U322)</f>
        <v>0</v>
      </c>
      <c r="V322" s="206">
        <f t="shared" si="121"/>
        <v>0</v>
      </c>
      <c r="W322" s="33" t="str">
        <f t="shared" si="106"/>
        <v/>
      </c>
      <c r="X322" s="93">
        <f>SUM('1:2'!X322)</f>
        <v>0</v>
      </c>
      <c r="Y322" s="93">
        <f>SUM('1:2'!Y322)</f>
        <v>0</v>
      </c>
      <c r="Z322" s="93">
        <f>SUM('1:2'!Z322)</f>
        <v>0</v>
      </c>
      <c r="AA322" s="93">
        <f>SUM('1:2'!AA322)</f>
        <v>0</v>
      </c>
      <c r="AB322" s="358">
        <v>2.25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5.75">
      <c r="A323" s="299">
        <v>30700017</v>
      </c>
      <c r="B323" s="64" t="s">
        <v>2</v>
      </c>
      <c r="C323" s="242"/>
      <c r="D323" s="17">
        <v>4.4000000000000004</v>
      </c>
      <c r="E323" s="17"/>
      <c r="F323" s="6"/>
      <c r="G323" s="93">
        <f>SUM('1:2'!G323)</f>
        <v>0</v>
      </c>
      <c r="H323" s="246">
        <f t="shared" si="123"/>
        <v>0</v>
      </c>
      <c r="I323" s="93">
        <f>SUM('1:2'!I323)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5.8</v>
      </c>
      <c r="M323" s="36">
        <f t="shared" si="119"/>
        <v>0</v>
      </c>
      <c r="N323" s="31">
        <f t="shared" si="120"/>
        <v>0</v>
      </c>
      <c r="O323" s="93">
        <f>SUM('1:2'!O323)</f>
        <v>0</v>
      </c>
      <c r="P323" s="93">
        <f>SUM('1:2'!P323)</f>
        <v>0</v>
      </c>
      <c r="Q323" s="93">
        <f>SUM('1:2'!Q323)</f>
        <v>0</v>
      </c>
      <c r="R323" s="93">
        <f>SUM('1:2'!R323)</f>
        <v>0</v>
      </c>
      <c r="S323" s="93">
        <f>SUM('1:2'!S323)</f>
        <v>0</v>
      </c>
      <c r="T323" s="93">
        <f>SUM('1:2'!T323)</f>
        <v>0</v>
      </c>
      <c r="U323" s="93">
        <f>SUM('1:2'!U323)</f>
        <v>0</v>
      </c>
      <c r="V323" s="206">
        <f t="shared" si="121"/>
        <v>0</v>
      </c>
      <c r="W323" s="33" t="str">
        <f t="shared" si="106"/>
        <v/>
      </c>
      <c r="X323" s="93">
        <f>SUM('1:2'!X323)</f>
        <v>0</v>
      </c>
      <c r="Y323" s="93">
        <f>SUM('1:2'!Y323)</f>
        <v>0</v>
      </c>
      <c r="Z323" s="93">
        <f>SUM('1:2'!Z323)</f>
        <v>0</v>
      </c>
      <c r="AA323" s="93">
        <f>SUM('1:2'!AA323)</f>
        <v>0</v>
      </c>
      <c r="AB323" s="358">
        <v>1.79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5.75">
      <c r="A324" s="299">
        <v>30700001</v>
      </c>
      <c r="B324" s="191" t="s">
        <v>359</v>
      </c>
      <c r="C324" s="242"/>
      <c r="D324" s="17"/>
      <c r="E324" s="17"/>
      <c r="F324" s="6"/>
      <c r="G324" s="93">
        <f>SUM('1:2'!G324)</f>
        <v>0</v>
      </c>
      <c r="H324" s="296">
        <f t="shared" si="123"/>
        <v>0</v>
      </c>
      <c r="I324" s="93">
        <f>SUM('1:2'!I324)</f>
        <v>0</v>
      </c>
      <c r="J324" s="31"/>
      <c r="K324" s="35"/>
      <c r="L324" s="87">
        <v>6</v>
      </c>
      <c r="M324" s="36"/>
      <c r="N324" s="31"/>
      <c r="O324" s="93">
        <f>SUM('1:2'!O324)</f>
        <v>0</v>
      </c>
      <c r="P324" s="93">
        <f>SUM('1:2'!P324)</f>
        <v>0</v>
      </c>
      <c r="Q324" s="93">
        <f>SUM('1:2'!Q324)</f>
        <v>0</v>
      </c>
      <c r="R324" s="93">
        <f>SUM('1:2'!R324)</f>
        <v>0</v>
      </c>
      <c r="S324" s="93">
        <f>SUM('1:2'!S324)</f>
        <v>0</v>
      </c>
      <c r="T324" s="93">
        <f>SUM('1:2'!T324)</f>
        <v>0</v>
      </c>
      <c r="U324" s="93">
        <f>SUM('1:2'!U324)</f>
        <v>0</v>
      </c>
      <c r="V324" s="206"/>
      <c r="W324" s="33"/>
      <c r="X324" s="93">
        <f>SUM('1:2'!X324)</f>
        <v>0</v>
      </c>
      <c r="Y324" s="93">
        <f>SUM('1:2'!Y324)</f>
        <v>0</v>
      </c>
      <c r="Z324" s="93">
        <f>SUM('1:2'!Z324)</f>
        <v>0</v>
      </c>
      <c r="AA324" s="93">
        <f>SUM('1:2'!AA324)</f>
        <v>0</v>
      </c>
      <c r="AB324" s="358">
        <v>1.92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7.25">
      <c r="A325" s="322"/>
      <c r="B325" s="66" t="s">
        <v>104</v>
      </c>
      <c r="C325" s="242" t="s">
        <v>53</v>
      </c>
      <c r="D325" s="17">
        <v>6.04</v>
      </c>
      <c r="E325" s="17"/>
      <c r="F325" s="6"/>
      <c r="G325" s="93">
        <f>SUM('1:2'!G325)</f>
        <v>0</v>
      </c>
      <c r="H325" s="296">
        <f t="shared" si="123"/>
        <v>0</v>
      </c>
      <c r="I325" s="93">
        <f>SUM('1:2'!I325)</f>
        <v>0</v>
      </c>
      <c r="J325" s="31" t="str">
        <f t="array" ref="J325">IF(ISERROR(G325/I325),"",G325/I325)</f>
        <v/>
      </c>
      <c r="K325" s="35">
        <f t="array" ref="K325">IF(ISERROR(G325/L325),"",G325/L325)</f>
        <v>0</v>
      </c>
      <c r="L325" s="87">
        <v>6</v>
      </c>
      <c r="M325" s="36">
        <f t="shared" ref="M325:M326" si="124">IF(ISERROR(I325-K325),"",I325-K325)</f>
        <v>0</v>
      </c>
      <c r="N325" s="31">
        <f t="shared" ref="N325:N326" si="125">SUM(O325:U325)</f>
        <v>0</v>
      </c>
      <c r="O325" s="93">
        <f>SUM('1:2'!O325)</f>
        <v>0</v>
      </c>
      <c r="P325" s="93">
        <f>SUM('1:2'!P325)</f>
        <v>0</v>
      </c>
      <c r="Q325" s="93">
        <f>SUM('1:2'!Q325)</f>
        <v>0</v>
      </c>
      <c r="R325" s="93">
        <f>SUM('1:2'!R325)</f>
        <v>0</v>
      </c>
      <c r="S325" s="93">
        <f>SUM('1:2'!S325)</f>
        <v>0</v>
      </c>
      <c r="T325" s="93">
        <f>SUM('1:2'!T325)</f>
        <v>0</v>
      </c>
      <c r="U325" s="93">
        <f>SUM('1:2'!U325)</f>
        <v>0</v>
      </c>
      <c r="V325" s="206">
        <f t="shared" ref="V325:V326" si="126">SUM(X325:AA325)</f>
        <v>0</v>
      </c>
      <c r="W325" s="33" t="str">
        <f t="shared" ref="W325:W326" si="127">IF(ISERROR(V325/G325),"",V325/G325)</f>
        <v/>
      </c>
      <c r="X325" s="93">
        <f>SUM('1:2'!X325)</f>
        <v>0</v>
      </c>
      <c r="Y325" s="93">
        <f>SUM('1:2'!Y325)</f>
        <v>0</v>
      </c>
      <c r="Z325" s="93">
        <f>SUM('1:2'!Z325)</f>
        <v>0</v>
      </c>
      <c r="AA325" s="93">
        <f>SUM('1:2'!AA325)</f>
        <v>0</v>
      </c>
      <c r="AB325" s="358">
        <v>1.73</v>
      </c>
      <c r="AC325" s="269">
        <f t="shared" si="122"/>
        <v>0</v>
      </c>
      <c r="AD325" s="251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7.25">
      <c r="A326" s="322">
        <v>30700019</v>
      </c>
      <c r="B326" s="66" t="s">
        <v>104</v>
      </c>
      <c r="C326" s="242" t="s">
        <v>60</v>
      </c>
      <c r="D326" s="17">
        <v>6.04</v>
      </c>
      <c r="E326" s="17"/>
      <c r="F326" s="6"/>
      <c r="G326" s="93">
        <f>SUM('1:2'!G326)</f>
        <v>0</v>
      </c>
      <c r="H326" s="296">
        <f t="shared" si="123"/>
        <v>0</v>
      </c>
      <c r="I326" s="93">
        <f>SUM('1:2'!I326)</f>
        <v>0</v>
      </c>
      <c r="J326" s="31" t="str">
        <f t="array" ref="J326">IF(ISERROR(G326/I326),"",G326/I326)</f>
        <v/>
      </c>
      <c r="K326" s="35">
        <f t="array" ref="K326">IF(ISERROR(G326/L326),"",G326/L326)</f>
        <v>0</v>
      </c>
      <c r="L326" s="87">
        <v>6</v>
      </c>
      <c r="M326" s="36">
        <f t="shared" si="124"/>
        <v>0</v>
      </c>
      <c r="N326" s="31">
        <f t="shared" si="125"/>
        <v>0</v>
      </c>
      <c r="O326" s="93">
        <f>SUM('1:2'!O326)</f>
        <v>0</v>
      </c>
      <c r="P326" s="93">
        <f>SUM('1:2'!P326)</f>
        <v>0</v>
      </c>
      <c r="Q326" s="93">
        <f>SUM('1:2'!Q326)</f>
        <v>0</v>
      </c>
      <c r="R326" s="93">
        <f>SUM('1:2'!R326)</f>
        <v>0</v>
      </c>
      <c r="S326" s="93">
        <f>SUM('1:2'!S326)</f>
        <v>0</v>
      </c>
      <c r="T326" s="93">
        <f>SUM('1:2'!T326)</f>
        <v>0</v>
      </c>
      <c r="U326" s="93">
        <f>SUM('1:2'!U326)</f>
        <v>0</v>
      </c>
      <c r="V326" s="206">
        <f t="shared" si="126"/>
        <v>0</v>
      </c>
      <c r="W326" s="33" t="str">
        <f t="shared" si="127"/>
        <v/>
      </c>
      <c r="X326" s="93">
        <f>SUM('1:2'!X326)</f>
        <v>0</v>
      </c>
      <c r="Y326" s="93">
        <f>SUM('1:2'!Y326)</f>
        <v>0</v>
      </c>
      <c r="Z326" s="93">
        <f>SUM('1:2'!Z326)</f>
        <v>0</v>
      </c>
      <c r="AA326" s="93">
        <f>SUM('1:2'!AA326)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305">
        <v>30601015</v>
      </c>
      <c r="B327" s="281" t="s">
        <v>444</v>
      </c>
      <c r="C327" s="280" t="s">
        <v>53</v>
      </c>
      <c r="D327" s="17">
        <v>6</v>
      </c>
      <c r="E327" s="17"/>
      <c r="F327" s="6"/>
      <c r="G327" s="93">
        <f>SUM('1:2'!G327)</f>
        <v>0</v>
      </c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>
        <v>1.73</v>
      </c>
      <c r="AC327" s="269">
        <f t="shared" si="122"/>
        <v>0</v>
      </c>
      <c r="AD327" s="279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305">
        <v>30101016</v>
      </c>
      <c r="B328" s="281" t="s">
        <v>443</v>
      </c>
      <c r="C328" s="283" t="s">
        <v>445</v>
      </c>
      <c r="D328" s="17">
        <v>6</v>
      </c>
      <c r="E328" s="17"/>
      <c r="F328" s="6"/>
      <c r="G328" s="93">
        <f>SUM('1:2'!G328)</f>
        <v>0</v>
      </c>
      <c r="H328" s="296">
        <f t="shared" si="123"/>
        <v>0</v>
      </c>
      <c r="I328" s="93">
        <f>SUM('1:2'!I328)</f>
        <v>0</v>
      </c>
      <c r="J328" s="31"/>
      <c r="K328" s="35">
        <f t="array" ref="K328">IF(ISERROR(G328/L328),"",G328/L328)</f>
        <v>0</v>
      </c>
      <c r="L328" s="87">
        <v>6</v>
      </c>
      <c r="M328" s="36"/>
      <c r="N328" s="31"/>
      <c r="O328" s="93">
        <f>SUM('1:2'!O328)</f>
        <v>0</v>
      </c>
      <c r="P328" s="93">
        <f>SUM('1:2'!P328)</f>
        <v>0</v>
      </c>
      <c r="Q328" s="93">
        <f>SUM('1:2'!Q328)</f>
        <v>0</v>
      </c>
      <c r="R328" s="93">
        <f>SUM('1:2'!R328)</f>
        <v>0</v>
      </c>
      <c r="S328" s="93">
        <f>SUM('1:2'!S328)</f>
        <v>0</v>
      </c>
      <c r="T328" s="93">
        <f>SUM('1:2'!T328)</f>
        <v>0</v>
      </c>
      <c r="U328" s="93">
        <f>SUM('1:2'!U328)</f>
        <v>0</v>
      </c>
      <c r="V328" s="206"/>
      <c r="W328" s="33"/>
      <c r="X328" s="93">
        <f>SUM('1:2'!X328)</f>
        <v>0</v>
      </c>
      <c r="Y328" s="93">
        <f>SUM('1:2'!Y328)</f>
        <v>0</v>
      </c>
      <c r="Z328" s="93">
        <f>SUM('1:2'!Z328)</f>
        <v>0</v>
      </c>
      <c r="AA328" s="93">
        <f>SUM('1:2'!AA328)</f>
        <v>0</v>
      </c>
      <c r="AB328" s="358">
        <v>1.73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30700018</v>
      </c>
      <c r="B329" s="61" t="s">
        <v>159</v>
      </c>
      <c r="C329" s="16"/>
      <c r="D329" s="17">
        <v>7.3</v>
      </c>
      <c r="E329" s="17"/>
      <c r="F329" s="6"/>
      <c r="G329" s="93"/>
      <c r="H329" s="296">
        <f t="shared" si="123"/>
        <v>0</v>
      </c>
      <c r="I329" s="93"/>
      <c r="J329" s="31"/>
      <c r="K329" s="35"/>
      <c r="L329" s="87"/>
      <c r="M329" s="36"/>
      <c r="N329" s="31"/>
      <c r="O329" s="93"/>
      <c r="P329" s="93"/>
      <c r="Q329" s="93"/>
      <c r="R329" s="93"/>
      <c r="S329" s="93"/>
      <c r="T329" s="93"/>
      <c r="U329" s="93"/>
      <c r="V329" s="206"/>
      <c r="W329" s="33"/>
      <c r="X329" s="93"/>
      <c r="Y329" s="93"/>
      <c r="Z329" s="93"/>
      <c r="AA329" s="93"/>
      <c r="AB329" s="358"/>
      <c r="AC329" s="269"/>
      <c r="AD329" s="295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30700010</v>
      </c>
      <c r="B330" s="61" t="s">
        <v>105</v>
      </c>
      <c r="C330" s="16"/>
      <c r="D330" s="17">
        <f>78*120/1000</f>
        <v>9.36</v>
      </c>
      <c r="E330" s="17"/>
      <c r="F330" s="6"/>
      <c r="G330" s="93">
        <f>SUM('1:2'!G330)</f>
        <v>0</v>
      </c>
      <c r="H330" s="256">
        <f t="shared" ref="H330:H333" si="128">D330*G330</f>
        <v>0</v>
      </c>
      <c r="I330" s="93">
        <f>SUM('1:2'!I330)</f>
        <v>0</v>
      </c>
      <c r="J330" s="31" t="str">
        <f t="array" ref="J330">IF(ISERROR(G330/I330),"",G330/I330)</f>
        <v/>
      </c>
      <c r="K330" s="35">
        <f t="array" ref="K330">IF(ISERROR(G330/L330),"",G330/L330)</f>
        <v>0</v>
      </c>
      <c r="L330" s="87">
        <v>7.5</v>
      </c>
      <c r="M330" s="36">
        <f t="shared" ref="M330" si="129">IF(ISERROR(I330-K330),"",I330-K330)</f>
        <v>0</v>
      </c>
      <c r="N330" s="31">
        <f t="shared" ref="N330" si="130">SUM(O330:U330)</f>
        <v>0</v>
      </c>
      <c r="O330" s="93">
        <f>SUM('1:2'!O330)</f>
        <v>0</v>
      </c>
      <c r="P330" s="93">
        <f>SUM('1:2'!P330)</f>
        <v>0</v>
      </c>
      <c r="Q330" s="93">
        <f>SUM('1:2'!Q330)</f>
        <v>0</v>
      </c>
      <c r="R330" s="93">
        <f>SUM('1:2'!R330)</f>
        <v>0</v>
      </c>
      <c r="S330" s="93">
        <f>SUM('1:2'!S330)</f>
        <v>0</v>
      </c>
      <c r="T330" s="93">
        <f>SUM('1:2'!T330)</f>
        <v>0</v>
      </c>
      <c r="U330" s="93">
        <f>SUM('1:2'!U330)</f>
        <v>0</v>
      </c>
      <c r="V330" s="206">
        <f t="shared" ref="V330" si="131">SUM(X330:AA330)</f>
        <v>0</v>
      </c>
      <c r="W330" s="33" t="str">
        <f t="shared" ref="W330" si="132">IF(ISERROR(V330/G330),"",V330/G330)</f>
        <v/>
      </c>
      <c r="X330" s="93">
        <f>SUM('1:2'!X330)</f>
        <v>0</v>
      </c>
      <c r="Y330" s="93">
        <f>SUM('1:2'!Y330)</f>
        <v>0</v>
      </c>
      <c r="Z330" s="93">
        <f>SUM('1:2'!Z330)</f>
        <v>0</v>
      </c>
      <c r="AA330" s="93">
        <f>SUM('1:2'!AA330)</f>
        <v>0</v>
      </c>
      <c r="AB330" s="358">
        <v>1.27</v>
      </c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5.75">
      <c r="A331" s="299">
        <v>30700015</v>
      </c>
      <c r="B331" s="294" t="s">
        <v>159</v>
      </c>
      <c r="C331" s="16"/>
      <c r="D331" s="17">
        <v>4.5</v>
      </c>
      <c r="E331" s="17"/>
      <c r="F331" s="6"/>
      <c r="G331" s="93">
        <f>SUM('1:2'!G331)</f>
        <v>0</v>
      </c>
      <c r="H331" s="256">
        <f t="shared" si="128"/>
        <v>0</v>
      </c>
      <c r="I331" s="93">
        <f>SUM('1:2'!I331)</f>
        <v>0</v>
      </c>
      <c r="J331" s="31"/>
      <c r="K331" s="35" t="str">
        <f t="array" ref="K331">IF(ISERROR(G331/L331),"",G331/L331)</f>
        <v/>
      </c>
      <c r="L331" s="87"/>
      <c r="M331" s="36"/>
      <c r="N331" s="31"/>
      <c r="O331" s="93">
        <f>SUM('1:2'!O331)</f>
        <v>0</v>
      </c>
      <c r="P331" s="93">
        <f>SUM('1:2'!P331)</f>
        <v>0</v>
      </c>
      <c r="Q331" s="93">
        <f>SUM('1:2'!Q331)</f>
        <v>0</v>
      </c>
      <c r="R331" s="93">
        <f>SUM('1:2'!R331)</f>
        <v>0</v>
      </c>
      <c r="S331" s="93">
        <f>SUM('1:2'!S331)</f>
        <v>0</v>
      </c>
      <c r="T331" s="93">
        <f>SUM('1:2'!T331)</f>
        <v>0</v>
      </c>
      <c r="U331" s="93">
        <f>SUM('1:2'!U331)</f>
        <v>0</v>
      </c>
      <c r="V331" s="206"/>
      <c r="W331" s="33"/>
      <c r="X331" s="93">
        <f>SUM('1:2'!X331)</f>
        <v>0</v>
      </c>
      <c r="Y331" s="93">
        <f>SUM('1:2'!Y331)</f>
        <v>0</v>
      </c>
      <c r="Z331" s="93">
        <f>SUM('1:2'!Z331)</f>
        <v>0</v>
      </c>
      <c r="AA331" s="93">
        <f>SUM('1:2'!AA331)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5.75">
      <c r="A332" s="299">
        <v>30700012</v>
      </c>
      <c r="B332" s="294" t="s">
        <v>160</v>
      </c>
      <c r="C332" s="16"/>
      <c r="D332" s="17">
        <v>4.5</v>
      </c>
      <c r="E332" s="17"/>
      <c r="F332" s="6"/>
      <c r="G332" s="93">
        <f>SUM('1:2'!G332)</f>
        <v>0</v>
      </c>
      <c r="H332" s="256">
        <f t="shared" si="128"/>
        <v>0</v>
      </c>
      <c r="I332" s="93">
        <f>SUM('1:2'!I332)</f>
        <v>0</v>
      </c>
      <c r="J332" s="31"/>
      <c r="K332" s="35">
        <f t="array" ref="K332">IF(ISERROR(G332/L332),"",G332/L332)</f>
        <v>0</v>
      </c>
      <c r="L332" s="87">
        <v>6.5</v>
      </c>
      <c r="M332" s="36">
        <f>IF(ISERROR(I332-K332),"",I332-K332)</f>
        <v>0</v>
      </c>
      <c r="N332" s="31"/>
      <c r="O332" s="93">
        <f>SUM('1:2'!O332)</f>
        <v>0</v>
      </c>
      <c r="P332" s="93">
        <f>SUM('1:2'!P332)</f>
        <v>0</v>
      </c>
      <c r="Q332" s="93">
        <f>SUM('1:2'!Q332)</f>
        <v>0</v>
      </c>
      <c r="R332" s="93">
        <f>SUM('1:2'!R332)</f>
        <v>0</v>
      </c>
      <c r="S332" s="93">
        <f>SUM('1:2'!S332)</f>
        <v>0</v>
      </c>
      <c r="T332" s="93">
        <f>SUM('1:2'!T332)</f>
        <v>0</v>
      </c>
      <c r="U332" s="93">
        <f>SUM('1:2'!U332)</f>
        <v>0</v>
      </c>
      <c r="V332" s="206"/>
      <c r="W332" s="33"/>
      <c r="X332" s="93">
        <f>SUM('1:2'!X332)</f>
        <v>0</v>
      </c>
      <c r="Y332" s="93">
        <f>SUM('1:2'!Y332)</f>
        <v>0</v>
      </c>
      <c r="Z332" s="93">
        <f>SUM('1:2'!Z332)</f>
        <v>0</v>
      </c>
      <c r="AA332" s="93">
        <f>SUM('1:2'!AA332)</f>
        <v>0</v>
      </c>
      <c r="AB332" s="358"/>
      <c r="AC332" s="269">
        <f t="shared" si="122"/>
        <v>0</v>
      </c>
      <c r="AD332" s="251"/>
      <c r="AE332" s="54"/>
      <c r="AF332" s="54"/>
      <c r="AG332" s="54"/>
      <c r="AH332" s="54"/>
      <c r="AI332" s="57"/>
      <c r="AJ332" s="57"/>
      <c r="AK332" s="57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</row>
    <row r="333" spans="1:53" ht="17.25">
      <c r="A333" s="320"/>
      <c r="B333" s="199" t="s">
        <v>438</v>
      </c>
      <c r="C333" s="16"/>
      <c r="D333" s="17">
        <v>4.5</v>
      </c>
      <c r="E333" s="17"/>
      <c r="F333" s="6"/>
      <c r="G333" s="93">
        <f>SUM('1:2'!G333)</f>
        <v>0</v>
      </c>
      <c r="H333" s="256">
        <f t="shared" si="128"/>
        <v>0</v>
      </c>
      <c r="I333" s="93">
        <f>SUM('1:2'!I333)</f>
        <v>0</v>
      </c>
      <c r="J333" s="31"/>
      <c r="K333" s="35">
        <f t="array" ref="K333">IF(ISERROR(G333/L333),"",G333/L333)</f>
        <v>0</v>
      </c>
      <c r="L333" s="87">
        <v>7.5</v>
      </c>
      <c r="M333" s="36">
        <f>IF(ISERROR(I333-K333),"",I333-K333)</f>
        <v>0</v>
      </c>
      <c r="N333" s="31"/>
      <c r="O333" s="93">
        <f>SUM('1:2'!O333)</f>
        <v>0</v>
      </c>
      <c r="P333" s="93">
        <f>SUM('1:2'!P333)</f>
        <v>0</v>
      </c>
      <c r="Q333" s="93">
        <f>SUM('1:2'!Q333)</f>
        <v>0</v>
      </c>
      <c r="R333" s="93">
        <f>SUM('1:2'!R333)</f>
        <v>0</v>
      </c>
      <c r="S333" s="93">
        <f>SUM('1:2'!S333)</f>
        <v>0</v>
      </c>
      <c r="T333" s="93">
        <f>SUM('1:2'!T333)</f>
        <v>0</v>
      </c>
      <c r="U333" s="93">
        <f>SUM('1:2'!U333)</f>
        <v>0</v>
      </c>
      <c r="V333" s="206"/>
      <c r="W333" s="33"/>
      <c r="X333" s="93">
        <f>SUM('1:2'!X333)</f>
        <v>0</v>
      </c>
      <c r="Y333" s="93">
        <f>SUM('1:2'!Y333)</f>
        <v>0</v>
      </c>
      <c r="Z333" s="93">
        <f>SUM('1:2'!Z333)</f>
        <v>0</v>
      </c>
      <c r="AA333" s="93">
        <f>SUM('1:2'!AA333)</f>
        <v>0</v>
      </c>
      <c r="AB333" s="358"/>
      <c r="AC333" s="269">
        <f t="shared" si="122"/>
        <v>0</v>
      </c>
      <c r="AD333" s="251"/>
      <c r="AE333" s="54"/>
      <c r="AF333" s="54"/>
      <c r="AG333" s="54"/>
      <c r="AH333" s="54"/>
      <c r="AI333" s="57"/>
      <c r="AJ333" s="57"/>
      <c r="AK333" s="57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</row>
    <row r="334" spans="1:53" ht="13.5" customHeight="1">
      <c r="A334" s="731" t="s">
        <v>106</v>
      </c>
      <c r="B334" s="732"/>
      <c r="C334" s="243" t="s">
        <v>71</v>
      </c>
      <c r="D334" s="20"/>
      <c r="E334" s="20"/>
      <c r="F334" s="32"/>
      <c r="G334" s="94">
        <f>SUM(G320:G333)</f>
        <v>0</v>
      </c>
      <c r="H334" s="30">
        <f>SUM(H320:H333)</f>
        <v>0</v>
      </c>
      <c r="I334" s="30">
        <f>SUM(I320:I333)</f>
        <v>0</v>
      </c>
      <c r="J334" s="31" t="str">
        <f t="array" ref="J334">IF(ISERROR(G334/I334),"",G334/I334)</f>
        <v/>
      </c>
      <c r="K334" s="30">
        <f>SUM(K320:K330)</f>
        <v>0</v>
      </c>
      <c r="L334" s="98"/>
      <c r="M334" s="89">
        <f t="shared" ref="M334:V334" si="133">SUM(M320:M330)</f>
        <v>0</v>
      </c>
      <c r="N334" s="20">
        <f t="shared" si="133"/>
        <v>0</v>
      </c>
      <c r="O334" s="91">
        <f t="shared" si="133"/>
        <v>0</v>
      </c>
      <c r="P334" s="91">
        <f t="shared" si="133"/>
        <v>0</v>
      </c>
      <c r="Q334" s="91">
        <f t="shared" si="133"/>
        <v>0</v>
      </c>
      <c r="R334" s="91">
        <f t="shared" si="133"/>
        <v>0</v>
      </c>
      <c r="S334" s="92">
        <f t="shared" si="133"/>
        <v>0</v>
      </c>
      <c r="T334" s="91">
        <f t="shared" si="133"/>
        <v>0</v>
      </c>
      <c r="U334" s="91">
        <f t="shared" si="133"/>
        <v>0</v>
      </c>
      <c r="V334" s="206">
        <f t="shared" si="133"/>
        <v>0</v>
      </c>
      <c r="W334" s="33" t="str">
        <f t="shared" ref="W334" si="134">IF(ISERROR(V334/G334),"",V334/G334)</f>
        <v/>
      </c>
      <c r="X334" s="92">
        <f>SUM(X320:X330)</f>
        <v>0</v>
      </c>
      <c r="Y334" s="92">
        <f>SUM(Y320:Y330)</f>
        <v>0</v>
      </c>
      <c r="Z334" s="92">
        <f>SUM(Z320:Z330)</f>
        <v>0</v>
      </c>
      <c r="AA334" s="92">
        <f>SUM(AA320:AA330)</f>
        <v>0</v>
      </c>
      <c r="AB334" s="358"/>
      <c r="AC334" s="91">
        <f>SUM(AC320:AC333)</f>
        <v>0</v>
      </c>
      <c r="AD334" s="58"/>
      <c r="AE334" s="70"/>
      <c r="AF334" s="70"/>
      <c r="AG334" s="70"/>
      <c r="AH334" s="70"/>
      <c r="AI334" s="58"/>
      <c r="AJ334" s="58"/>
      <c r="AK334" s="58"/>
      <c r="AL334" s="58"/>
      <c r="AM334" s="58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</row>
    <row r="335" spans="1:53" ht="13.5" customHeight="1">
      <c r="A335" s="733" t="s">
        <v>108</v>
      </c>
      <c r="B335" s="734"/>
      <c r="C335" s="734"/>
      <c r="D335" s="734"/>
      <c r="E335" s="734"/>
      <c r="F335" s="735"/>
      <c r="G335" s="193">
        <f>SUM(G199,G257,G292,G308,G319,G334)</f>
        <v>11738</v>
      </c>
      <c r="H335" s="193">
        <f>SUM(H199,H257,H292,H308,H319,H334)</f>
        <v>57356.32</v>
      </c>
      <c r="I335" s="193">
        <f>SUM(I199,I257,I292,I308,I319,I334)</f>
        <v>725.05</v>
      </c>
      <c r="J335" s="52">
        <f t="array" ref="J335">IF(ISERROR(G335/I335),"",G335/I335)</f>
        <v>16.189228329080755</v>
      </c>
      <c r="K335" s="193">
        <f>SUM(K199,K257,K292,K308,K319,K334)</f>
        <v>456.0303107417833</v>
      </c>
      <c r="L335" s="52">
        <f>IF(ISERROR(G335/K335),"",G335/K335)</f>
        <v>25.73951714066299</v>
      </c>
      <c r="M335" s="193">
        <f t="shared" ref="M335:AA335" si="135">SUM(M199,M257,M292,M308,M319,M334)</f>
        <v>173.01968925821669</v>
      </c>
      <c r="N335" s="193">
        <f t="shared" si="135"/>
        <v>0</v>
      </c>
      <c r="O335" s="193">
        <f t="shared" si="135"/>
        <v>0</v>
      </c>
      <c r="P335" s="193">
        <f t="shared" si="135"/>
        <v>0</v>
      </c>
      <c r="Q335" s="193">
        <f t="shared" si="135"/>
        <v>0</v>
      </c>
      <c r="R335" s="193">
        <f t="shared" si="135"/>
        <v>0</v>
      </c>
      <c r="S335" s="193">
        <f t="shared" si="135"/>
        <v>0</v>
      </c>
      <c r="T335" s="193">
        <f t="shared" si="135"/>
        <v>0</v>
      </c>
      <c r="U335" s="193">
        <f t="shared" si="135"/>
        <v>0</v>
      </c>
      <c r="V335" s="193">
        <f t="shared" si="135"/>
        <v>0</v>
      </c>
      <c r="W335" s="193">
        <f t="shared" si="135"/>
        <v>0</v>
      </c>
      <c r="X335" s="193">
        <f t="shared" si="135"/>
        <v>0</v>
      </c>
      <c r="Y335" s="193">
        <f t="shared" si="135"/>
        <v>0</v>
      </c>
      <c r="Z335" s="193">
        <f t="shared" si="135"/>
        <v>0</v>
      </c>
      <c r="AA335" s="193">
        <f t="shared" si="135"/>
        <v>0</v>
      </c>
      <c r="AB335" s="358"/>
      <c r="AC335" s="271">
        <f>SUM(AC199,AC257,AC292,AC308,AC319,AC334)</f>
        <v>5458.2400000000007</v>
      </c>
      <c r="AD335" s="251"/>
      <c r="AE335" s="77"/>
      <c r="AF335" s="77"/>
      <c r="AG335" s="77"/>
      <c r="AH335" s="77"/>
      <c r="AI335" s="57"/>
      <c r="AJ335" s="57"/>
      <c r="AK335" s="57"/>
      <c r="AL335" s="736"/>
      <c r="AM335" s="736"/>
      <c r="AN335" s="736"/>
      <c r="AO335" s="736"/>
      <c r="AP335" s="736"/>
      <c r="AQ335" s="736"/>
      <c r="AR335" s="736"/>
      <c r="AS335" s="736"/>
      <c r="AT335" s="736"/>
      <c r="AU335" s="736"/>
      <c r="AV335" s="736"/>
      <c r="AW335" s="736"/>
      <c r="AX335" s="736"/>
      <c r="AY335" s="736"/>
      <c r="AZ335" s="736"/>
      <c r="BA335" s="736"/>
    </row>
    <row r="336" spans="1:53" ht="13.5" hidden="1" customHeight="1">
      <c r="A336" s="772" t="s">
        <v>109</v>
      </c>
      <c r="B336" s="245" t="s">
        <v>110</v>
      </c>
      <c r="C336" s="714" t="s">
        <v>111</v>
      </c>
      <c r="D336" s="714"/>
      <c r="E336" s="724" t="s">
        <v>112</v>
      </c>
      <c r="F336" s="724"/>
      <c r="G336" s="694" t="s">
        <v>113</v>
      </c>
      <c r="H336" s="694"/>
      <c r="I336" s="724" t="s">
        <v>114</v>
      </c>
      <c r="J336" s="724"/>
      <c r="K336" s="724" t="s">
        <v>36</v>
      </c>
      <c r="L336" s="724"/>
      <c r="M336" s="724" t="s">
        <v>115</v>
      </c>
      <c r="N336" s="724"/>
      <c r="O336" s="724" t="s">
        <v>116</v>
      </c>
      <c r="P336" s="694" t="s">
        <v>117</v>
      </c>
      <c r="Q336" s="694"/>
      <c r="R336" s="694" t="s">
        <v>36</v>
      </c>
      <c r="S336" s="694"/>
      <c r="T336" s="694" t="s">
        <v>118</v>
      </c>
      <c r="U336" s="694"/>
      <c r="V336" s="694" t="s">
        <v>119</v>
      </c>
      <c r="W336" s="694"/>
      <c r="X336" s="694" t="s">
        <v>36</v>
      </c>
      <c r="Y336" s="694"/>
      <c r="Z336" s="694" t="s">
        <v>118</v>
      </c>
      <c r="AA336" s="694"/>
      <c r="AB336" s="368"/>
      <c r="AC336" s="26"/>
      <c r="AD336" s="12"/>
      <c r="AE336" s="3"/>
      <c r="AF336" s="3"/>
      <c r="AG336" s="3"/>
      <c r="AH336" s="249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773"/>
      <c r="B337" s="245" t="s">
        <v>120</v>
      </c>
      <c r="C337" s="729">
        <f>SUM('1:2'!C337)</f>
        <v>2</v>
      </c>
      <c r="D337" s="730"/>
      <c r="E337" s="728">
        <f>D337*11</f>
        <v>0</v>
      </c>
      <c r="F337" s="728"/>
      <c r="G337" s="729">
        <f>SUM('1:2'!G337)</f>
        <v>2</v>
      </c>
      <c r="H337" s="730"/>
      <c r="I337" s="724">
        <f>G337*11</f>
        <v>22</v>
      </c>
      <c r="J337" s="724"/>
      <c r="K337" s="724">
        <f>E337-I337</f>
        <v>-22</v>
      </c>
      <c r="L337" s="724"/>
      <c r="M337" s="726" t="str">
        <f>IF(ISERROR(K337/E337),"",K337/E337)</f>
        <v/>
      </c>
      <c r="N337" s="726"/>
      <c r="O337" s="724"/>
      <c r="P337" s="694" t="s">
        <v>70</v>
      </c>
      <c r="Q337" s="694"/>
      <c r="R337" s="717">
        <f>SUM(O199:U199)</f>
        <v>0</v>
      </c>
      <c r="S337" s="717"/>
      <c r="T337" s="725" t="str">
        <f t="array" ref="T337">IF(ISERROR(R337/R344),"",R337/R344)</f>
        <v/>
      </c>
      <c r="U337" s="725"/>
      <c r="V337" s="694" t="s">
        <v>41</v>
      </c>
      <c r="W337" s="694"/>
      <c r="X337" s="705">
        <f>SUM(P198,P256,P291,P307,P318,P333)</f>
        <v>0</v>
      </c>
      <c r="Y337" s="704"/>
      <c r="Z337" s="725" t="str">
        <f t="array" ref="Z337">IF(ISERROR(X337/X344),"",X337/X344)</f>
        <v/>
      </c>
      <c r="AA337" s="725"/>
      <c r="AB337" s="368"/>
      <c r="AC337" s="26"/>
      <c r="AD337" s="22"/>
      <c r="AE337" s="3"/>
      <c r="AF337" s="3"/>
      <c r="AG337" s="3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773"/>
      <c r="B338" s="245" t="s">
        <v>121</v>
      </c>
      <c r="C338" s="729">
        <f>SUM('1:2'!C338)</f>
        <v>0</v>
      </c>
      <c r="D338" s="730"/>
      <c r="E338" s="728">
        <f>D338*11</f>
        <v>0</v>
      </c>
      <c r="F338" s="728"/>
      <c r="G338" s="729">
        <f>SUM('1:2'!G338)</f>
        <v>0</v>
      </c>
      <c r="H338" s="730"/>
      <c r="I338" s="724">
        <f>G338*11</f>
        <v>0</v>
      </c>
      <c r="J338" s="724"/>
      <c r="K338" s="724">
        <f>E338-I338</f>
        <v>0</v>
      </c>
      <c r="L338" s="724"/>
      <c r="M338" s="726" t="str">
        <f>IF(ISERROR(K338/E338),"",K338/E338)</f>
        <v/>
      </c>
      <c r="N338" s="726"/>
      <c r="O338" s="724"/>
      <c r="P338" s="694" t="s">
        <v>86</v>
      </c>
      <c r="Q338" s="694"/>
      <c r="R338" s="717">
        <f>SUM(O257:U257)</f>
        <v>0</v>
      </c>
      <c r="S338" s="717"/>
      <c r="T338" s="725" t="str">
        <f>IF(ISERROR(R338/R344),"",R338/R344)</f>
        <v/>
      </c>
      <c r="U338" s="725"/>
      <c r="V338" s="694" t="s">
        <v>42</v>
      </c>
      <c r="W338" s="694"/>
      <c r="X338" s="705">
        <f>SUM(P199,P257,P292,P308,P319,P334)</f>
        <v>0</v>
      </c>
      <c r="Y338" s="704"/>
      <c r="Z338" s="725" t="str">
        <f>IF(ISERROR(X338/X344),"",X338/X344)</f>
        <v/>
      </c>
      <c r="AA338" s="725"/>
      <c r="AB338" s="368"/>
      <c r="AC338" s="26"/>
      <c r="AD338" s="22"/>
      <c r="AE338" s="3"/>
      <c r="AF338" s="3"/>
      <c r="AG338" s="3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773"/>
      <c r="B339" s="245" t="s">
        <v>122</v>
      </c>
      <c r="C339" s="729">
        <f>SUM('1:2'!C339)</f>
        <v>0</v>
      </c>
      <c r="D339" s="730"/>
      <c r="E339" s="728">
        <f>D339*11</f>
        <v>0</v>
      </c>
      <c r="F339" s="728"/>
      <c r="G339" s="729">
        <f>SUM('1:2'!G339)</f>
        <v>2</v>
      </c>
      <c r="H339" s="730"/>
      <c r="I339" s="724">
        <f>G339*8</f>
        <v>16</v>
      </c>
      <c r="J339" s="724"/>
      <c r="K339" s="724">
        <f>E339-I339</f>
        <v>-16</v>
      </c>
      <c r="L339" s="724"/>
      <c r="M339" s="726" t="str">
        <f>IF(ISERROR(K339/E339),"",K339/E339)</f>
        <v/>
      </c>
      <c r="N339" s="726"/>
      <c r="O339" s="724"/>
      <c r="P339" s="694" t="s">
        <v>92</v>
      </c>
      <c r="Q339" s="694"/>
      <c r="R339" s="717">
        <f>SUM(O292:U292)</f>
        <v>0</v>
      </c>
      <c r="S339" s="717"/>
      <c r="T339" s="725" t="str">
        <f>IF(ISERROR(R339/R344),"",R339/R344)</f>
        <v/>
      </c>
      <c r="U339" s="725"/>
      <c r="V339" s="694" t="s">
        <v>43</v>
      </c>
      <c r="W339" s="694"/>
      <c r="X339" s="705">
        <f>SUM(P200,P258,P293,P309,P320,P335)</f>
        <v>0</v>
      </c>
      <c r="Y339" s="704"/>
      <c r="Z339" s="725" t="str">
        <f>IF(ISERROR(X339/X344),"",X339/X344)</f>
        <v/>
      </c>
      <c r="AA339" s="725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1"/>
      <c r="AV339" s="21"/>
      <c r="AW339" s="21"/>
      <c r="AX339" s="21"/>
      <c r="AY339" s="21"/>
      <c r="AZ339" s="21"/>
      <c r="BA339" s="21"/>
    </row>
    <row r="340" spans="1:53" ht="13.5" hidden="1" customHeight="1">
      <c r="A340" s="773"/>
      <c r="B340" s="245" t="s">
        <v>47</v>
      </c>
      <c r="C340" s="729">
        <f>SUM('1:2'!C340)</f>
        <v>2</v>
      </c>
      <c r="D340" s="730"/>
      <c r="E340" s="728">
        <f>D340*11</f>
        <v>0</v>
      </c>
      <c r="F340" s="728"/>
      <c r="G340" s="729">
        <f>SUM('1:2'!G340)</f>
        <v>2</v>
      </c>
      <c r="H340" s="730"/>
      <c r="I340" s="724">
        <f>G340*11</f>
        <v>22</v>
      </c>
      <c r="J340" s="724"/>
      <c r="K340" s="724">
        <f>E340-I340</f>
        <v>-22</v>
      </c>
      <c r="L340" s="724"/>
      <c r="M340" s="726" t="str">
        <f>IF(ISERROR(K340/E340),"",K340/E340)</f>
        <v/>
      </c>
      <c r="N340" s="726"/>
      <c r="O340" s="724"/>
      <c r="P340" s="694" t="s">
        <v>99</v>
      </c>
      <c r="Q340" s="694"/>
      <c r="R340" s="717">
        <f>SUM(O308:U308)</f>
        <v>0</v>
      </c>
      <c r="S340" s="717"/>
      <c r="T340" s="725" t="str">
        <f>IF(ISERROR(R340/R344),"",R340/R344)</f>
        <v/>
      </c>
      <c r="U340" s="725"/>
      <c r="V340" s="694" t="s">
        <v>44</v>
      </c>
      <c r="W340" s="694"/>
      <c r="X340" s="705">
        <f>SUM(P202,P259,P294,P310,P321,P336)</f>
        <v>0</v>
      </c>
      <c r="Y340" s="704"/>
      <c r="Z340" s="725" t="str">
        <f>IF(ISERROR(X340/X344),"",X340/X344)</f>
        <v/>
      </c>
      <c r="AA340" s="725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1"/>
      <c r="AV340" s="21"/>
      <c r="AW340" s="21"/>
      <c r="AX340" s="21"/>
      <c r="AY340" s="21"/>
      <c r="AZ340" s="21"/>
      <c r="BA340" s="21"/>
    </row>
    <row r="341" spans="1:53" ht="13.5" hidden="1" customHeight="1">
      <c r="A341" s="774"/>
      <c r="B341" s="245" t="s">
        <v>123</v>
      </c>
      <c r="C341" s="727">
        <f>SUM(C337:D340)</f>
        <v>4</v>
      </c>
      <c r="D341" s="724"/>
      <c r="E341" s="728">
        <f>SUM(F337:F340)</f>
        <v>0</v>
      </c>
      <c r="F341" s="724"/>
      <c r="G341" s="727">
        <f>SUM(G337:H340)</f>
        <v>6</v>
      </c>
      <c r="H341" s="724"/>
      <c r="I341" s="724">
        <f>SUM(I337:J340)</f>
        <v>60</v>
      </c>
      <c r="J341" s="724"/>
      <c r="K341" s="724">
        <f>SUM(K337:L340)</f>
        <v>-60</v>
      </c>
      <c r="L341" s="724"/>
      <c r="M341" s="726" t="str">
        <f>IF(ISERROR(K341/E341),"",K341/E341)</f>
        <v/>
      </c>
      <c r="N341" s="726"/>
      <c r="O341" s="724"/>
      <c r="P341" s="694" t="s">
        <v>102</v>
      </c>
      <c r="Q341" s="694"/>
      <c r="R341" s="717">
        <f>SUM(O319:U319)</f>
        <v>0</v>
      </c>
      <c r="S341" s="717"/>
      <c r="T341" s="725" t="str">
        <f>IF(ISERROR(R341/R344),"",R341/R344)</f>
        <v/>
      </c>
      <c r="U341" s="725"/>
      <c r="V341" s="694" t="s">
        <v>45</v>
      </c>
      <c r="W341" s="694"/>
      <c r="X341" s="705">
        <f>SUM(P203,P260,P295,P311,P322,P337)</f>
        <v>0</v>
      </c>
      <c r="Y341" s="704"/>
      <c r="Z341" s="725" t="str">
        <f>IF(ISERROR(X341/X344),"",X341/X344)</f>
        <v/>
      </c>
      <c r="AA341" s="725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4" t="s">
        <v>152</v>
      </c>
      <c r="B342" s="245">
        <f>G335</f>
        <v>11738</v>
      </c>
      <c r="C342" s="717" t="s">
        <v>155</v>
      </c>
      <c r="D342" s="717"/>
      <c r="E342" s="694">
        <f>H335</f>
        <v>57356.32</v>
      </c>
      <c r="F342" s="694"/>
      <c r="G342" s="694" t="s">
        <v>34</v>
      </c>
      <c r="H342" s="694"/>
      <c r="I342" s="723">
        <f>L335</f>
        <v>25.73951714066299</v>
      </c>
      <c r="J342" s="723"/>
      <c r="K342" s="724" t="s">
        <v>32</v>
      </c>
      <c r="L342" s="724"/>
      <c r="M342" s="723">
        <f>J335</f>
        <v>16.189228329080755</v>
      </c>
      <c r="N342" s="723"/>
      <c r="O342" s="724"/>
      <c r="P342" s="694" t="s">
        <v>106</v>
      </c>
      <c r="Q342" s="694"/>
      <c r="R342" s="717">
        <f>SUM(O334:U334)</f>
        <v>0</v>
      </c>
      <c r="S342" s="717"/>
      <c r="T342" s="725" t="str">
        <f>IF(ISERROR(R342/R344),"",R342/R344)</f>
        <v/>
      </c>
      <c r="U342" s="725"/>
      <c r="V342" s="694" t="s">
        <v>46</v>
      </c>
      <c r="W342" s="694"/>
      <c r="X342" s="705">
        <f>SUM(P204,P261,P296,P312,P323,P338)</f>
        <v>0</v>
      </c>
      <c r="Y342" s="704"/>
      <c r="Z342" s="725" t="str">
        <f>IF(ISERROR(X342/X344),"",X342/X344)</f>
        <v/>
      </c>
      <c r="AA342" s="725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hidden="1" customHeight="1">
      <c r="A343" s="325" t="s">
        <v>153</v>
      </c>
      <c r="B343" s="245">
        <f>I335+C341</f>
        <v>729.05</v>
      </c>
      <c r="C343" s="694" t="s">
        <v>114</v>
      </c>
      <c r="D343" s="694"/>
      <c r="E343" s="714">
        <f>K335+I341</f>
        <v>516.0303107417833</v>
      </c>
      <c r="F343" s="714"/>
      <c r="G343" s="694" t="s">
        <v>150</v>
      </c>
      <c r="H343" s="694"/>
      <c r="I343" s="723">
        <f>B343-E343</f>
        <v>213.01968925821666</v>
      </c>
      <c r="J343" s="723"/>
      <c r="K343" s="724" t="s">
        <v>151</v>
      </c>
      <c r="L343" s="724"/>
      <c r="M343" s="726">
        <f>IF(ISERROR(I343/B343),"",I343/B343)</f>
        <v>0.29218803821166817</v>
      </c>
      <c r="N343" s="726"/>
      <c r="O343" s="724"/>
      <c r="P343" s="694" t="s">
        <v>107</v>
      </c>
      <c r="Q343" s="694"/>
      <c r="R343" s="717"/>
      <c r="S343" s="717"/>
      <c r="T343" s="725" t="str">
        <f>IF(ISERROR(R343/R344),"",R343/R344)</f>
        <v/>
      </c>
      <c r="U343" s="725"/>
      <c r="V343" s="694" t="s">
        <v>47</v>
      </c>
      <c r="W343" s="694"/>
      <c r="X343" s="705">
        <f>SUM(P205,P262,P297,P313,P324,P339)</f>
        <v>0</v>
      </c>
      <c r="Y343" s="704"/>
      <c r="Z343" s="725" t="str">
        <f>IF(ISERROR(X343/X344),"",X343/X344)</f>
        <v/>
      </c>
      <c r="AA343" s="725"/>
      <c r="AB343" s="368"/>
      <c r="AC343" s="26"/>
      <c r="AD343" s="22"/>
      <c r="AE343" s="3"/>
      <c r="AF343" s="3"/>
      <c r="AG343" s="251"/>
      <c r="AH343" s="251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248"/>
      <c r="AV343" s="248"/>
      <c r="AW343" s="248"/>
      <c r="AX343" s="248"/>
      <c r="AY343" s="248"/>
      <c r="AZ343" s="248"/>
      <c r="BA343" s="248"/>
    </row>
    <row r="344" spans="1:53" ht="13.5" hidden="1" customHeight="1">
      <c r="A344" s="325" t="s">
        <v>154</v>
      </c>
      <c r="B344" s="245">
        <f>N335</f>
        <v>0</v>
      </c>
      <c r="C344" s="694" t="s">
        <v>149</v>
      </c>
      <c r="D344" s="694"/>
      <c r="E344" s="725">
        <f>IF(ISERROR(B344/B343),"",B344/B343)</f>
        <v>0</v>
      </c>
      <c r="F344" s="725"/>
      <c r="G344" s="694" t="s">
        <v>158</v>
      </c>
      <c r="H344" s="694"/>
      <c r="I344" s="724">
        <f>V335</f>
        <v>0</v>
      </c>
      <c r="J344" s="724"/>
      <c r="K344" s="724" t="s">
        <v>156</v>
      </c>
      <c r="L344" s="724"/>
      <c r="M344" s="726">
        <f t="array" ref="M344">IF(ISERROR(I344/B342),"",I344/B342)</f>
        <v>0</v>
      </c>
      <c r="N344" s="726"/>
      <c r="O344" s="724"/>
      <c r="P344" s="694" t="s">
        <v>123</v>
      </c>
      <c r="Q344" s="694"/>
      <c r="R344" s="717">
        <f>SUM(R337:S343)</f>
        <v>0</v>
      </c>
      <c r="S344" s="717"/>
      <c r="T344" s="725">
        <f>SUM(T337:U343)</f>
        <v>0</v>
      </c>
      <c r="U344" s="725"/>
      <c r="V344" s="694" t="s">
        <v>123</v>
      </c>
      <c r="W344" s="694"/>
      <c r="X344" s="717">
        <f>SUM(X337:Y343)</f>
        <v>0</v>
      </c>
      <c r="Y344" s="717"/>
      <c r="Z344" s="725">
        <f>SUM(Z337:AA343)</f>
        <v>0</v>
      </c>
      <c r="AA344" s="725"/>
      <c r="AB344" s="368"/>
      <c r="AC344" s="26"/>
      <c r="AD344" s="22"/>
      <c r="AE344" s="3"/>
      <c r="AF344" s="3"/>
      <c r="AG344" s="251"/>
      <c r="AH344" s="251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248"/>
      <c r="AV344" s="248"/>
      <c r="AW344" s="248"/>
      <c r="AX344" s="248"/>
      <c r="AY344" s="248"/>
      <c r="AZ344" s="248"/>
      <c r="BA344" s="248"/>
    </row>
    <row r="345" spans="1:53" ht="13.5" customHeight="1">
      <c r="A345" s="756" t="s">
        <v>129</v>
      </c>
      <c r="B345" s="756"/>
      <c r="C345" s="756"/>
      <c r="D345" s="756"/>
      <c r="E345" s="756"/>
      <c r="F345" s="756"/>
      <c r="G345" s="756"/>
      <c r="H345" s="756"/>
      <c r="I345" s="756"/>
      <c r="J345" s="756"/>
      <c r="K345" s="756"/>
      <c r="L345" s="756"/>
      <c r="M345" s="756"/>
      <c r="N345" s="756"/>
      <c r="O345" s="756"/>
      <c r="P345" s="756"/>
      <c r="Q345" s="756"/>
      <c r="R345" s="756"/>
      <c r="S345" s="756"/>
      <c r="T345" s="756"/>
      <c r="U345" s="756"/>
      <c r="V345" s="756"/>
      <c r="W345" s="756"/>
      <c r="X345" s="756"/>
      <c r="Y345" s="756"/>
      <c r="Z345" s="756"/>
      <c r="AA345" s="756"/>
      <c r="AB345" s="756"/>
      <c r="AC345" s="756"/>
      <c r="AD345" s="756"/>
      <c r="AE345" s="756"/>
      <c r="AF345" s="756"/>
      <c r="AG345" s="756"/>
      <c r="AH345" s="756"/>
      <c r="AI345" s="756"/>
      <c r="AJ345" s="756"/>
      <c r="AK345" s="756"/>
      <c r="AL345" s="756"/>
      <c r="AM345" s="756"/>
      <c r="AN345" s="756"/>
      <c r="AO345" s="756"/>
      <c r="AP345" s="756"/>
      <c r="AQ345" s="756"/>
      <c r="AR345" s="756"/>
      <c r="AS345" s="756"/>
      <c r="AT345" s="756"/>
      <c r="AU345" s="756"/>
      <c r="AV345" s="756"/>
      <c r="AW345" s="756"/>
      <c r="AX345" s="756"/>
      <c r="AY345" s="756"/>
      <c r="AZ345" s="756"/>
      <c r="BA345" s="756"/>
    </row>
    <row r="346" spans="1:53" ht="15.75">
      <c r="A346" s="766" t="s">
        <v>12</v>
      </c>
      <c r="B346" s="745" t="s">
        <v>25</v>
      </c>
      <c r="C346" s="745" t="s">
        <v>26</v>
      </c>
      <c r="D346" s="745" t="s">
        <v>27</v>
      </c>
      <c r="E346" s="757" t="s">
        <v>28</v>
      </c>
      <c r="F346" s="760" t="s">
        <v>29</v>
      </c>
      <c r="G346" s="724" t="s">
        <v>30</v>
      </c>
      <c r="H346" s="724"/>
      <c r="I346" s="745" t="s">
        <v>31</v>
      </c>
      <c r="J346" s="748" t="s">
        <v>32</v>
      </c>
      <c r="K346" s="751" t="s">
        <v>33</v>
      </c>
      <c r="L346" s="745" t="s">
        <v>34</v>
      </c>
      <c r="M346" s="754" t="s">
        <v>35</v>
      </c>
      <c r="N346" s="742" t="s">
        <v>36</v>
      </c>
      <c r="O346" s="724" t="s">
        <v>37</v>
      </c>
      <c r="P346" s="724"/>
      <c r="Q346" s="724"/>
      <c r="R346" s="724"/>
      <c r="S346" s="724"/>
      <c r="T346" s="724"/>
      <c r="U346" s="724"/>
      <c r="V346" s="743" t="s">
        <v>38</v>
      </c>
      <c r="W346" s="742" t="s">
        <v>39</v>
      </c>
      <c r="X346" s="724" t="s">
        <v>40</v>
      </c>
      <c r="Y346" s="724"/>
      <c r="Z346" s="724"/>
      <c r="AA346" s="724"/>
      <c r="AB346" s="769" t="s">
        <v>434</v>
      </c>
      <c r="AC346" s="771" t="s">
        <v>435</v>
      </c>
      <c r="AD346" s="21"/>
      <c r="AE346" s="21"/>
      <c r="AF346" s="21"/>
      <c r="AG346" s="21"/>
      <c r="AH346" s="21"/>
      <c r="AI346" s="744"/>
      <c r="AJ346" s="740"/>
      <c r="AK346" s="740"/>
      <c r="AL346" s="740"/>
      <c r="AM346" s="740"/>
      <c r="AN346" s="740"/>
      <c r="AO346" s="740"/>
      <c r="AP346" s="740"/>
      <c r="AQ346" s="740"/>
      <c r="AR346" s="740"/>
      <c r="AS346" s="740"/>
      <c r="AT346" s="740"/>
      <c r="AU346" s="740"/>
      <c r="AV346" s="740"/>
      <c r="AW346" s="740"/>
      <c r="AX346" s="740"/>
      <c r="AY346" s="740"/>
      <c r="AZ346" s="740"/>
      <c r="BA346" s="740"/>
    </row>
    <row r="347" spans="1:53" ht="15.75">
      <c r="A347" s="767"/>
      <c r="B347" s="746"/>
      <c r="C347" s="746"/>
      <c r="D347" s="746"/>
      <c r="E347" s="758"/>
      <c r="F347" s="761"/>
      <c r="G347" s="724"/>
      <c r="H347" s="724"/>
      <c r="I347" s="746"/>
      <c r="J347" s="749"/>
      <c r="K347" s="752"/>
      <c r="L347" s="746"/>
      <c r="M347" s="755"/>
      <c r="N347" s="742"/>
      <c r="O347" s="724" t="s">
        <v>41</v>
      </c>
      <c r="P347" s="724" t="s">
        <v>42</v>
      </c>
      <c r="Q347" s="724" t="s">
        <v>43</v>
      </c>
      <c r="R347" s="741" t="s">
        <v>44</v>
      </c>
      <c r="S347" s="694" t="s">
        <v>45</v>
      </c>
      <c r="T347" s="724" t="s">
        <v>46</v>
      </c>
      <c r="U347" s="724" t="s">
        <v>47</v>
      </c>
      <c r="V347" s="743"/>
      <c r="W347" s="742"/>
      <c r="X347" s="724" t="s">
        <v>13</v>
      </c>
      <c r="Y347" s="724" t="s">
        <v>48</v>
      </c>
      <c r="Z347" s="724" t="s">
        <v>49</v>
      </c>
      <c r="AA347" s="724" t="s">
        <v>47</v>
      </c>
      <c r="AB347" s="770"/>
      <c r="AC347" s="771"/>
      <c r="AD347" s="21"/>
      <c r="AE347" s="21"/>
      <c r="AF347" s="21"/>
      <c r="AG347" s="21"/>
      <c r="AH347" s="21"/>
      <c r="AI347" s="744"/>
      <c r="AJ347" s="740"/>
      <c r="AK347" s="740"/>
      <c r="AL347" s="740"/>
      <c r="AM347" s="740"/>
      <c r="AN347" s="740"/>
      <c r="AO347" s="740"/>
      <c r="AP347" s="740"/>
      <c r="AQ347" s="740"/>
      <c r="AR347" s="740"/>
      <c r="AS347" s="763"/>
      <c r="AT347" s="763"/>
      <c r="AU347" s="763"/>
      <c r="AV347" s="763"/>
      <c r="AW347" s="763"/>
      <c r="AX347" s="763"/>
      <c r="AY347" s="763"/>
      <c r="AZ347" s="763"/>
      <c r="BA347" s="763"/>
    </row>
    <row r="348" spans="1:53" ht="15.75" customHeight="1">
      <c r="A348" s="768"/>
      <c r="B348" s="747"/>
      <c r="C348" s="747"/>
      <c r="D348" s="747"/>
      <c r="E348" s="759"/>
      <c r="F348" s="762"/>
      <c r="G348" s="242" t="s">
        <v>50</v>
      </c>
      <c r="H348" s="242" t="s">
        <v>51</v>
      </c>
      <c r="I348" s="747"/>
      <c r="J348" s="750"/>
      <c r="K348" s="753"/>
      <c r="L348" s="747"/>
      <c r="M348" s="755"/>
      <c r="N348" s="742"/>
      <c r="O348" s="724"/>
      <c r="P348" s="724"/>
      <c r="Q348" s="724"/>
      <c r="R348" s="741"/>
      <c r="S348" s="694"/>
      <c r="T348" s="724"/>
      <c r="U348" s="724"/>
      <c r="V348" s="743"/>
      <c r="W348" s="742"/>
      <c r="X348" s="724"/>
      <c r="Y348" s="724"/>
      <c r="Z348" s="724"/>
      <c r="AA348" s="724"/>
      <c r="AB348" s="770"/>
      <c r="AC348" s="771"/>
      <c r="AD348" s="21"/>
      <c r="AE348" s="21"/>
      <c r="AF348" s="21"/>
      <c r="AG348" s="21"/>
      <c r="AH348" s="21"/>
      <c r="AI348" s="744"/>
      <c r="AJ348" s="740"/>
      <c r="AK348" s="740"/>
      <c r="AL348" s="248"/>
      <c r="AM348" s="248"/>
      <c r="AN348" s="248"/>
      <c r="AO348" s="248"/>
      <c r="AP348" s="248"/>
      <c r="AQ348" s="248"/>
      <c r="AR348" s="248"/>
      <c r="AS348" s="21"/>
      <c r="AT348" s="21"/>
      <c r="AU348" s="21"/>
      <c r="AV348" s="249"/>
      <c r="AW348" s="248"/>
      <c r="AX348" s="248"/>
      <c r="AY348" s="248"/>
      <c r="AZ348" s="248"/>
      <c r="BA348" s="248"/>
    </row>
    <row r="349" spans="1:53" ht="17.25">
      <c r="A349" s="326">
        <v>30100030</v>
      </c>
      <c r="B349" s="82" t="s">
        <v>52</v>
      </c>
      <c r="C349" s="81" t="s">
        <v>53</v>
      </c>
      <c r="D349" s="80">
        <v>5.03</v>
      </c>
      <c r="E349" s="80"/>
      <c r="F349" s="83"/>
      <c r="G349" s="93">
        <f>SUM('1:2'!G349)</f>
        <v>0</v>
      </c>
      <c r="H349" s="95">
        <f t="shared" ref="H349:H369" si="136">D349*G349</f>
        <v>0</v>
      </c>
      <c r="I349" s="93">
        <f>SUM('1:2'!I349)</f>
        <v>0</v>
      </c>
      <c r="J349" s="31" t="str">
        <f t="array" ref="J349">IF(ISERROR(G349/I349),"",G349/I349)</f>
        <v/>
      </c>
      <c r="K349" s="96">
        <f t="array" ref="K349">IF(ISERROR(G349/L349),"",G349/L349)</f>
        <v>0</v>
      </c>
      <c r="L349" s="84">
        <v>16</v>
      </c>
      <c r="M349" s="97">
        <f t="shared" ref="M349:M364" si="137">IF(ISERROR(I349-K349),"",I349-K349)</f>
        <v>0</v>
      </c>
      <c r="N349" s="84">
        <f>SUM(O349:U349)</f>
        <v>0</v>
      </c>
      <c r="O349" s="93">
        <f>SUM('1:2'!O349)</f>
        <v>0</v>
      </c>
      <c r="P349" s="93">
        <f>SUM('1:2'!P349)</f>
        <v>0</v>
      </c>
      <c r="Q349" s="93">
        <f>SUM('1:2'!Q349)</f>
        <v>0</v>
      </c>
      <c r="R349" s="93">
        <f>SUM('1:2'!R349)</f>
        <v>0</v>
      </c>
      <c r="S349" s="93">
        <f>SUM('1:2'!S349)</f>
        <v>0</v>
      </c>
      <c r="T349" s="93">
        <f>SUM('1:2'!T349)</f>
        <v>0</v>
      </c>
      <c r="U349" s="93">
        <f>SUM('1:2'!U349)</f>
        <v>0</v>
      </c>
      <c r="V349" s="206">
        <f t="shared" ref="V349:V364" si="138">SUM(X349:AA349)</f>
        <v>0</v>
      </c>
      <c r="W349" s="33" t="str">
        <f t="shared" ref="W349:W364" si="139">IF(ISERROR(V349/G349),"",V349/G349)</f>
        <v/>
      </c>
      <c r="X349" s="93">
        <f>SUM('1:2'!X349)</f>
        <v>0</v>
      </c>
      <c r="Y349" s="93">
        <f>SUM('1:2'!Y349)</f>
        <v>0</v>
      </c>
      <c r="Z349" s="93">
        <f>SUM('1:2'!Z349)</f>
        <v>0</v>
      </c>
      <c r="AA349" s="93">
        <f>SUM('1:2'!AA349)</f>
        <v>0</v>
      </c>
      <c r="AB349" s="371">
        <v>0.65</v>
      </c>
      <c r="AC349" s="269">
        <f t="shared" ref="AC349:AC414" si="140">AB349*G349</f>
        <v>0</v>
      </c>
      <c r="AD349" s="251"/>
      <c r="AE349" s="54"/>
      <c r="AF349" s="54"/>
      <c r="AG349" s="54"/>
      <c r="AH349" s="54"/>
      <c r="AI349" s="57"/>
      <c r="AJ349" s="57"/>
      <c r="AK349" s="57"/>
      <c r="AL349" s="250"/>
      <c r="AM349" s="54"/>
      <c r="AN349" s="250"/>
      <c r="AO349" s="250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</row>
    <row r="350" spans="1:53" ht="17.25">
      <c r="A350" s="316"/>
      <c r="B350" s="62" t="s">
        <v>54</v>
      </c>
      <c r="C350" s="16" t="s">
        <v>53</v>
      </c>
      <c r="D350" s="17">
        <v>5.03</v>
      </c>
      <c r="E350" s="17"/>
      <c r="F350" s="6"/>
      <c r="G350" s="93">
        <f>SUM('1:2'!G350)</f>
        <v>0</v>
      </c>
      <c r="H350" s="95">
        <f t="shared" si="136"/>
        <v>0</v>
      </c>
      <c r="I350" s="93">
        <f>SUM('1:2'!I350)</f>
        <v>0</v>
      </c>
      <c r="J350" s="31" t="str">
        <f t="array" ref="J350">IF(ISERROR(G350/I350),"",G350/I350)</f>
        <v/>
      </c>
      <c r="K350" s="35">
        <f>IF(ISERROR(G350/L350),"",G350/L350)</f>
        <v>0</v>
      </c>
      <c r="L350" s="87">
        <v>19</v>
      </c>
      <c r="M350" s="36">
        <f t="shared" si="137"/>
        <v>0</v>
      </c>
      <c r="N350" s="31">
        <f t="shared" ref="N350:N364" si="141">SUM(O350:U350)</f>
        <v>0</v>
      </c>
      <c r="O350" s="93">
        <f>SUM('1:2'!O350)</f>
        <v>0</v>
      </c>
      <c r="P350" s="93">
        <f>SUM('1:2'!P350)</f>
        <v>0</v>
      </c>
      <c r="Q350" s="93">
        <f>SUM('1:2'!Q350)</f>
        <v>0</v>
      </c>
      <c r="R350" s="93">
        <f>SUM('1:2'!R350)</f>
        <v>0</v>
      </c>
      <c r="S350" s="93">
        <f>SUM('1:2'!S350)</f>
        <v>0</v>
      </c>
      <c r="T350" s="93">
        <f>SUM('1:2'!T350)</f>
        <v>0</v>
      </c>
      <c r="U350" s="93">
        <f>SUM('1:2'!U350)</f>
        <v>0</v>
      </c>
      <c r="V350" s="206">
        <f t="shared" si="138"/>
        <v>0</v>
      </c>
      <c r="W350" s="33" t="str">
        <f t="shared" si="139"/>
        <v/>
      </c>
      <c r="X350" s="93">
        <f>SUM('1:2'!X350)</f>
        <v>0</v>
      </c>
      <c r="Y350" s="93">
        <f>SUM('1:2'!Y350)</f>
        <v>0</v>
      </c>
      <c r="Z350" s="93">
        <f>SUM('1:2'!Z350)</f>
        <v>0</v>
      </c>
      <c r="AA350" s="93">
        <f>SUM('1:2'!AA350)</f>
        <v>0</v>
      </c>
      <c r="AB350" s="358">
        <v>0.48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250"/>
      <c r="AO350" s="54"/>
      <c r="AP350" s="250"/>
      <c r="AQ350" s="54"/>
      <c r="AR350" s="54"/>
      <c r="AS350" s="250"/>
      <c r="AT350" s="250"/>
      <c r="AU350" s="250"/>
      <c r="AV350" s="250"/>
      <c r="AW350" s="55"/>
      <c r="AX350" s="54"/>
      <c r="AY350" s="54"/>
      <c r="AZ350" s="54"/>
      <c r="BA350" s="54"/>
    </row>
    <row r="351" spans="1:53" ht="17.25">
      <c r="A351" s="317"/>
      <c r="B351" s="62" t="s">
        <v>54</v>
      </c>
      <c r="C351" s="16" t="s">
        <v>55</v>
      </c>
      <c r="D351" s="17">
        <v>5.03</v>
      </c>
      <c r="E351" s="17"/>
      <c r="F351" s="6"/>
      <c r="G351" s="93">
        <f>SUM('1:2'!G351)</f>
        <v>0</v>
      </c>
      <c r="H351" s="95">
        <f t="shared" si="136"/>
        <v>0</v>
      </c>
      <c r="I351" s="93">
        <f>SUM('1:2'!I351)</f>
        <v>0</v>
      </c>
      <c r="J351" s="31" t="str">
        <f t="array" ref="J351">IF(ISERROR(G351/I351),"",G351/I351)</f>
        <v/>
      </c>
      <c r="K351" s="35">
        <f>IF(ISERROR(G351/L351),"",G351/L351)</f>
        <v>0</v>
      </c>
      <c r="L351" s="87">
        <v>19</v>
      </c>
      <c r="M351" s="36">
        <f t="shared" si="137"/>
        <v>0</v>
      </c>
      <c r="N351" s="31">
        <f t="shared" si="141"/>
        <v>0</v>
      </c>
      <c r="O351" s="93">
        <f>SUM('1:2'!O351)</f>
        <v>0</v>
      </c>
      <c r="P351" s="93">
        <f>SUM('1:2'!P351)</f>
        <v>0</v>
      </c>
      <c r="Q351" s="93">
        <f>SUM('1:2'!Q351)</f>
        <v>0</v>
      </c>
      <c r="R351" s="93">
        <f>SUM('1:2'!R351)</f>
        <v>0</v>
      </c>
      <c r="S351" s="93">
        <f>SUM('1:2'!S351)</f>
        <v>0</v>
      </c>
      <c r="T351" s="93">
        <f>SUM('1:2'!T351)</f>
        <v>0</v>
      </c>
      <c r="U351" s="93">
        <f>SUM('1:2'!U351)</f>
        <v>0</v>
      </c>
      <c r="V351" s="206">
        <f t="shared" si="138"/>
        <v>0</v>
      </c>
      <c r="W351" s="33" t="str">
        <f t="shared" si="139"/>
        <v/>
      </c>
      <c r="X351" s="93">
        <f>SUM('1:2'!X351)</f>
        <v>0</v>
      </c>
      <c r="Y351" s="93">
        <f>SUM('1:2'!Y351)</f>
        <v>0</v>
      </c>
      <c r="Z351" s="93">
        <f>SUM('1:2'!Z351)</f>
        <v>0</v>
      </c>
      <c r="AA351" s="93">
        <f>SUM('1:2'!AA351)</f>
        <v>0</v>
      </c>
      <c r="AB351" s="358">
        <v>0.43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250"/>
      <c r="AP351" s="54"/>
      <c r="AQ351" s="54"/>
      <c r="AR351" s="54"/>
      <c r="AS351" s="56"/>
      <c r="AT351" s="56"/>
      <c r="AU351" s="56"/>
      <c r="AV351" s="54"/>
      <c r="AW351" s="54"/>
      <c r="AX351" s="54"/>
      <c r="AY351" s="54"/>
      <c r="AZ351" s="54"/>
      <c r="BA351" s="54"/>
    </row>
    <row r="352" spans="1:53" ht="15.75">
      <c r="A352" s="315">
        <v>30100048</v>
      </c>
      <c r="B352" s="62" t="s">
        <v>56</v>
      </c>
      <c r="C352" s="16" t="s">
        <v>53</v>
      </c>
      <c r="D352" s="17">
        <v>5.03</v>
      </c>
      <c r="E352" s="17"/>
      <c r="F352" s="6"/>
      <c r="G352" s="93">
        <f>SUM('1:2'!G352)</f>
        <v>0</v>
      </c>
      <c r="H352" s="95">
        <f t="shared" si="136"/>
        <v>0</v>
      </c>
      <c r="I352" s="93">
        <f>SUM('1:2'!I352)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SUM('1:2'!O352)</f>
        <v>0</v>
      </c>
      <c r="P352" s="93">
        <f>SUM('1:2'!P352)</f>
        <v>0</v>
      </c>
      <c r="Q352" s="93">
        <f>SUM('1:2'!Q352)</f>
        <v>0</v>
      </c>
      <c r="R352" s="93">
        <f>SUM('1:2'!R352)</f>
        <v>0</v>
      </c>
      <c r="S352" s="93">
        <f>SUM('1:2'!S352)</f>
        <v>0</v>
      </c>
      <c r="T352" s="93">
        <f>SUM('1:2'!T352)</f>
        <v>0</v>
      </c>
      <c r="U352" s="93">
        <f>SUM('1:2'!U352)</f>
        <v>0</v>
      </c>
      <c r="V352" s="206">
        <f t="shared" si="138"/>
        <v>0</v>
      </c>
      <c r="W352" s="33" t="str">
        <f t="shared" si="139"/>
        <v/>
      </c>
      <c r="X352" s="93">
        <f>SUM('1:2'!X352)</f>
        <v>0</v>
      </c>
      <c r="Y352" s="93">
        <f>SUM('1:2'!Y352)</f>
        <v>0</v>
      </c>
      <c r="Z352" s="93">
        <f>SUM('1:2'!Z352)</f>
        <v>0</v>
      </c>
      <c r="AA352" s="93">
        <f>SUM('1:2'!AA352)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5"/>
      <c r="AW352" s="55"/>
      <c r="AX352" s="55"/>
      <c r="AY352" s="54"/>
      <c r="AZ352" s="54"/>
      <c r="BA352" s="54"/>
    </row>
    <row r="353" spans="1:53" ht="15.75">
      <c r="A353" s="315">
        <v>30100047</v>
      </c>
      <c r="B353" s="62" t="s">
        <v>56</v>
      </c>
      <c r="C353" s="16" t="s">
        <v>57</v>
      </c>
      <c r="D353" s="17">
        <v>5.03</v>
      </c>
      <c r="E353" s="17"/>
      <c r="F353" s="6"/>
      <c r="G353" s="93">
        <f>SUM('1:2'!G353)</f>
        <v>0</v>
      </c>
      <c r="H353" s="95">
        <f t="shared" si="136"/>
        <v>0</v>
      </c>
      <c r="I353" s="93">
        <f>SUM('1:2'!I353)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20</v>
      </c>
      <c r="M353" s="36">
        <f t="shared" si="137"/>
        <v>0</v>
      </c>
      <c r="N353" s="31">
        <f t="shared" si="141"/>
        <v>0</v>
      </c>
      <c r="O353" s="93">
        <f>SUM('1:2'!O353)</f>
        <v>0</v>
      </c>
      <c r="P353" s="93">
        <f>SUM('1:2'!P353)</f>
        <v>0</v>
      </c>
      <c r="Q353" s="93">
        <f>SUM('1:2'!Q353)</f>
        <v>0</v>
      </c>
      <c r="R353" s="93">
        <f>SUM('1:2'!R353)</f>
        <v>0</v>
      </c>
      <c r="S353" s="93">
        <f>SUM('1:2'!S353)</f>
        <v>0</v>
      </c>
      <c r="T353" s="93">
        <f>SUM('1:2'!T353)</f>
        <v>0</v>
      </c>
      <c r="U353" s="93">
        <f>SUM('1:2'!U353)</f>
        <v>0</v>
      </c>
      <c r="V353" s="206">
        <f t="shared" si="138"/>
        <v>0</v>
      </c>
      <c r="W353" s="33" t="str">
        <f t="shared" si="139"/>
        <v/>
      </c>
      <c r="X353" s="93">
        <f>SUM('1:2'!X353)</f>
        <v>0</v>
      </c>
      <c r="Y353" s="93">
        <f>SUM('1:2'!Y353)</f>
        <v>0</v>
      </c>
      <c r="Z353" s="93">
        <f>SUM('1:2'!Z353)</f>
        <v>0</v>
      </c>
      <c r="AA353" s="93">
        <f>SUM('1:2'!AA353)</f>
        <v>0</v>
      </c>
      <c r="AB353" s="358">
        <v>0.52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15">
        <v>30100052</v>
      </c>
      <c r="B354" s="62" t="s">
        <v>58</v>
      </c>
      <c r="C354" s="16" t="s">
        <v>53</v>
      </c>
      <c r="D354" s="17">
        <v>5.04</v>
      </c>
      <c r="E354" s="17"/>
      <c r="F354" s="6"/>
      <c r="G354" s="93">
        <f>SUM('1:2'!G354)</f>
        <v>0</v>
      </c>
      <c r="H354" s="95">
        <f t="shared" si="136"/>
        <v>0</v>
      </c>
      <c r="I354" s="93">
        <f>SUM('1:2'!I354)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19</v>
      </c>
      <c r="M354" s="36">
        <f t="shared" si="137"/>
        <v>0</v>
      </c>
      <c r="N354" s="31">
        <f t="shared" si="141"/>
        <v>0</v>
      </c>
      <c r="O354" s="93">
        <f>SUM('1:2'!O354)</f>
        <v>0</v>
      </c>
      <c r="P354" s="93">
        <f>SUM('1:2'!P354)</f>
        <v>0</v>
      </c>
      <c r="Q354" s="93">
        <f>SUM('1:2'!Q354)</f>
        <v>0</v>
      </c>
      <c r="R354" s="93">
        <f>SUM('1:2'!R354)</f>
        <v>0</v>
      </c>
      <c r="S354" s="93">
        <f>SUM('1:2'!S354)</f>
        <v>0</v>
      </c>
      <c r="T354" s="93">
        <f>SUM('1:2'!T354)</f>
        <v>0</v>
      </c>
      <c r="U354" s="93">
        <f>SUM('1:2'!U354)</f>
        <v>0</v>
      </c>
      <c r="V354" s="206">
        <f t="shared" si="138"/>
        <v>0</v>
      </c>
      <c r="W354" s="33" t="str">
        <f t="shared" si="139"/>
        <v/>
      </c>
      <c r="X354" s="93">
        <f>SUM('1:2'!X354)</f>
        <v>0</v>
      </c>
      <c r="Y354" s="93">
        <f>SUM('1:2'!Y354)</f>
        <v>0</v>
      </c>
      <c r="Z354" s="93">
        <f>SUM('1:2'!Z354)</f>
        <v>0</v>
      </c>
      <c r="AA354" s="93">
        <f>SUM('1:2'!AA354)</f>
        <v>0</v>
      </c>
      <c r="AB354" s="358">
        <v>0.55000000000000004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5.75">
      <c r="A355" s="332">
        <v>30100059</v>
      </c>
      <c r="B355" s="62" t="s">
        <v>59</v>
      </c>
      <c r="C355" s="16" t="s">
        <v>60</v>
      </c>
      <c r="D355" s="17">
        <v>5.03</v>
      </c>
      <c r="E355" s="17"/>
      <c r="F355" s="6"/>
      <c r="G355" s="93">
        <f>SUM('1:2'!G355)</f>
        <v>0</v>
      </c>
      <c r="H355" s="95">
        <f t="shared" si="136"/>
        <v>0</v>
      </c>
      <c r="I355" s="93">
        <f>SUM('1:2'!I355)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3</v>
      </c>
      <c r="M355" s="36">
        <f t="shared" si="137"/>
        <v>0</v>
      </c>
      <c r="N355" s="31">
        <f t="shared" si="141"/>
        <v>0</v>
      </c>
      <c r="O355" s="93">
        <f>SUM('1:2'!O355)</f>
        <v>0</v>
      </c>
      <c r="P355" s="93">
        <f>SUM('1:2'!P355)</f>
        <v>0</v>
      </c>
      <c r="Q355" s="93">
        <f>SUM('1:2'!Q355)</f>
        <v>0</v>
      </c>
      <c r="R355" s="93">
        <f>SUM('1:2'!R355)</f>
        <v>0</v>
      </c>
      <c r="S355" s="93">
        <f>SUM('1:2'!S355)</f>
        <v>0</v>
      </c>
      <c r="T355" s="93">
        <f>SUM('1:2'!T355)</f>
        <v>0</v>
      </c>
      <c r="U355" s="93">
        <f>SUM('1:2'!U355)</f>
        <v>0</v>
      </c>
      <c r="V355" s="206">
        <f t="shared" si="138"/>
        <v>0</v>
      </c>
      <c r="W355" s="33" t="str">
        <f t="shared" si="139"/>
        <v/>
      </c>
      <c r="X355" s="93">
        <f>SUM('1:2'!X355)</f>
        <v>0</v>
      </c>
      <c r="Y355" s="93">
        <f>SUM('1:2'!Y355)</f>
        <v>0</v>
      </c>
      <c r="Z355" s="93">
        <f>SUM('1:2'!Z355)</f>
        <v>0</v>
      </c>
      <c r="AA355" s="93">
        <f>SUM('1:2'!AA355)</f>
        <v>0</v>
      </c>
      <c r="AB355" s="358">
        <v>0.45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5.75">
      <c r="A356" s="302">
        <v>30100060</v>
      </c>
      <c r="B356" s="62" t="s">
        <v>59</v>
      </c>
      <c r="C356" s="16" t="s">
        <v>61</v>
      </c>
      <c r="D356" s="17">
        <v>5.03</v>
      </c>
      <c r="E356" s="17"/>
      <c r="F356" s="6"/>
      <c r="G356" s="93">
        <f>SUM('1:2'!G356)</f>
        <v>0</v>
      </c>
      <c r="H356" s="95">
        <f t="shared" si="136"/>
        <v>0</v>
      </c>
      <c r="I356" s="93">
        <f>SUM('1:2'!I356)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3</v>
      </c>
      <c r="M356" s="36">
        <f t="shared" si="137"/>
        <v>0</v>
      </c>
      <c r="N356" s="31">
        <f t="shared" si="141"/>
        <v>0</v>
      </c>
      <c r="O356" s="93">
        <f>SUM('1:2'!O356)</f>
        <v>0</v>
      </c>
      <c r="P356" s="93">
        <f>SUM('1:2'!P356)</f>
        <v>0</v>
      </c>
      <c r="Q356" s="93">
        <f>SUM('1:2'!Q356)</f>
        <v>0</v>
      </c>
      <c r="R356" s="93">
        <f>SUM('1:2'!R356)</f>
        <v>0</v>
      </c>
      <c r="S356" s="93">
        <f>SUM('1:2'!S356)</f>
        <v>0</v>
      </c>
      <c r="T356" s="93">
        <f>SUM('1:2'!T356)</f>
        <v>0</v>
      </c>
      <c r="U356" s="93">
        <f>SUM('1:2'!U356)</f>
        <v>0</v>
      </c>
      <c r="V356" s="206">
        <f t="shared" si="138"/>
        <v>0</v>
      </c>
      <c r="W356" s="33" t="str">
        <f t="shared" si="139"/>
        <v/>
      </c>
      <c r="X356" s="93">
        <f>SUM('1:2'!X356)</f>
        <v>0</v>
      </c>
      <c r="Y356" s="93">
        <f>SUM('1:2'!Y356)</f>
        <v>0</v>
      </c>
      <c r="Z356" s="93">
        <f>SUM('1:2'!Z356)</f>
        <v>0</v>
      </c>
      <c r="AA356" s="93">
        <f>SUM('1:2'!AA356)</f>
        <v>0</v>
      </c>
      <c r="AB356" s="358">
        <v>0.45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6">
        <v>30200006</v>
      </c>
      <c r="B357" s="62" t="s">
        <v>62</v>
      </c>
      <c r="C357" s="16" t="s">
        <v>63</v>
      </c>
      <c r="D357" s="17">
        <v>5.04</v>
      </c>
      <c r="E357" s="17"/>
      <c r="F357" s="79"/>
      <c r="G357" s="93">
        <f>SUM('1:2'!G357)</f>
        <v>0</v>
      </c>
      <c r="H357" s="95">
        <f t="shared" si="136"/>
        <v>0</v>
      </c>
      <c r="I357" s="93">
        <f>SUM('1:2'!I357)</f>
        <v>0</v>
      </c>
      <c r="J357" s="31" t="str">
        <f t="array" ref="J357">IF(ISERROR(G357/I357),"",G357/I357)</f>
        <v/>
      </c>
      <c r="K357" s="35">
        <f t="array" ref="K357">IF(ISERROR(G357/L357),"",G357/L357)</f>
        <v>0</v>
      </c>
      <c r="L357" s="87">
        <v>17</v>
      </c>
      <c r="M357" s="36">
        <f t="shared" si="137"/>
        <v>0</v>
      </c>
      <c r="N357" s="31">
        <f t="shared" si="141"/>
        <v>0</v>
      </c>
      <c r="O357" s="93">
        <f>SUM('1:2'!O357)</f>
        <v>0</v>
      </c>
      <c r="P357" s="93">
        <f>SUM('1:2'!P357)</f>
        <v>0</v>
      </c>
      <c r="Q357" s="93">
        <f>SUM('1:2'!Q357)</f>
        <v>0</v>
      </c>
      <c r="R357" s="93">
        <f>SUM('1:2'!R357)</f>
        <v>0</v>
      </c>
      <c r="S357" s="93">
        <f>SUM('1:2'!S357)</f>
        <v>0</v>
      </c>
      <c r="T357" s="93">
        <f>SUM('1:2'!T357)</f>
        <v>0</v>
      </c>
      <c r="U357" s="93">
        <f>SUM('1:2'!U357)</f>
        <v>0</v>
      </c>
      <c r="V357" s="206">
        <f t="shared" si="138"/>
        <v>0</v>
      </c>
      <c r="W357" s="33" t="str">
        <f t="shared" si="139"/>
        <v/>
      </c>
      <c r="X357" s="93">
        <f>SUM('1:2'!X357)</f>
        <v>0</v>
      </c>
      <c r="Y357" s="93">
        <f>SUM('1:2'!Y357)</f>
        <v>0</v>
      </c>
      <c r="Z357" s="93">
        <f>SUM('1:2'!Z357)</f>
        <v>0</v>
      </c>
      <c r="AA357" s="93">
        <f>SUM('1:2'!AA357)</f>
        <v>0</v>
      </c>
      <c r="AB357" s="358">
        <v>0.61</v>
      </c>
      <c r="AC357" s="269">
        <f t="shared" si="140"/>
        <v>0</v>
      </c>
      <c r="AD357" s="251"/>
      <c r="AE357" s="54"/>
      <c r="AF357" s="54"/>
      <c r="AG357" s="54"/>
      <c r="AH357" s="54"/>
      <c r="AI357" s="57"/>
      <c r="AJ357" s="57"/>
      <c r="AK357" s="57"/>
      <c r="AL357" s="250"/>
      <c r="AM357" s="54"/>
      <c r="AN357" s="54"/>
      <c r="AO357" s="54"/>
      <c r="AP357" s="250"/>
      <c r="AQ357" s="250"/>
      <c r="AR357" s="250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7.25">
      <c r="A358" s="316">
        <v>30200005</v>
      </c>
      <c r="B358" s="62" t="s">
        <v>62</v>
      </c>
      <c r="C358" s="16" t="s">
        <v>64</v>
      </c>
      <c r="D358" s="17">
        <v>5.04</v>
      </c>
      <c r="E358" s="17"/>
      <c r="F358" s="79"/>
      <c r="G358" s="93">
        <f>SUM('1:2'!G358)</f>
        <v>0</v>
      </c>
      <c r="H358" s="95">
        <f t="shared" si="136"/>
        <v>0</v>
      </c>
      <c r="I358" s="93">
        <f>SUM('1:2'!I358)</f>
        <v>0</v>
      </c>
      <c r="J358" s="31" t="str">
        <f t="array" ref="J358">IF(ISERROR(G358/I358),"",G358/I358)</f>
        <v/>
      </c>
      <c r="K358" s="35">
        <f t="array" ref="K358">IF(ISERROR(G358/L358),"",G358/L358)</f>
        <v>0</v>
      </c>
      <c r="L358" s="87">
        <v>17</v>
      </c>
      <c r="M358" s="36">
        <f t="shared" si="137"/>
        <v>0</v>
      </c>
      <c r="N358" s="31">
        <f t="shared" si="141"/>
        <v>0</v>
      </c>
      <c r="O358" s="93">
        <f>SUM('1:2'!O358)</f>
        <v>0</v>
      </c>
      <c r="P358" s="93">
        <f>SUM('1:2'!P358)</f>
        <v>0</v>
      </c>
      <c r="Q358" s="93">
        <f>SUM('1:2'!Q358)</f>
        <v>0</v>
      </c>
      <c r="R358" s="93">
        <f>SUM('1:2'!R358)</f>
        <v>0</v>
      </c>
      <c r="S358" s="93">
        <f>SUM('1:2'!S358)</f>
        <v>0</v>
      </c>
      <c r="T358" s="93">
        <f>SUM('1:2'!T358)</f>
        <v>0</v>
      </c>
      <c r="U358" s="93">
        <f>SUM('1:2'!U358)</f>
        <v>0</v>
      </c>
      <c r="V358" s="206">
        <f t="shared" si="138"/>
        <v>0</v>
      </c>
      <c r="W358" s="33" t="str">
        <f t="shared" si="139"/>
        <v/>
      </c>
      <c r="X358" s="93">
        <f>SUM('1:2'!X358)</f>
        <v>0</v>
      </c>
      <c r="Y358" s="93">
        <f>SUM('1:2'!Y358)</f>
        <v>0</v>
      </c>
      <c r="Z358" s="93">
        <f>SUM('1:2'!Z358)</f>
        <v>0</v>
      </c>
      <c r="AA358" s="93">
        <f>SUM('1:2'!AA358)</f>
        <v>0</v>
      </c>
      <c r="AB358" s="358">
        <v>0.61</v>
      </c>
      <c r="AC358" s="269">
        <f t="shared" si="140"/>
        <v>0</v>
      </c>
      <c r="AD358" s="251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8">
        <v>30100063</v>
      </c>
      <c r="B359" s="62" t="s">
        <v>171</v>
      </c>
      <c r="C359" s="16" t="s">
        <v>172</v>
      </c>
      <c r="D359" s="17"/>
      <c r="E359" s="17"/>
      <c r="F359" s="79"/>
      <c r="G359" s="93">
        <f>SUM('1:2'!G359)</f>
        <v>0</v>
      </c>
      <c r="H359" s="95">
        <f t="shared" si="136"/>
        <v>0</v>
      </c>
      <c r="I359" s="93"/>
      <c r="J359" s="31"/>
      <c r="K359" s="35"/>
      <c r="L359" s="87"/>
      <c r="M359" s="36"/>
      <c r="N359" s="31"/>
      <c r="O359" s="93"/>
      <c r="P359" s="93"/>
      <c r="Q359" s="93"/>
      <c r="R359" s="93"/>
      <c r="S359" s="93"/>
      <c r="T359" s="93"/>
      <c r="U359" s="93"/>
      <c r="V359" s="206"/>
      <c r="W359" s="33"/>
      <c r="X359" s="93"/>
      <c r="Y359" s="93"/>
      <c r="Z359" s="93"/>
      <c r="AA359" s="93"/>
      <c r="AB359" s="358"/>
      <c r="AC359" s="269">
        <f t="shared" si="140"/>
        <v>0</v>
      </c>
      <c r="AD359" s="295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5.75">
      <c r="A360" s="302">
        <v>30100061</v>
      </c>
      <c r="B360" s="62" t="s">
        <v>171</v>
      </c>
      <c r="C360" s="16" t="s">
        <v>173</v>
      </c>
      <c r="D360" s="17"/>
      <c r="E360" s="17"/>
      <c r="F360" s="79"/>
      <c r="G360" s="93">
        <f>SUM('1:2'!G360)</f>
        <v>0</v>
      </c>
      <c r="H360" s="95">
        <f t="shared" si="136"/>
        <v>0</v>
      </c>
      <c r="I360" s="93"/>
      <c r="J360" s="31"/>
      <c r="K360" s="35"/>
      <c r="L360" s="87"/>
      <c r="M360" s="36"/>
      <c r="N360" s="31"/>
      <c r="O360" s="93"/>
      <c r="P360" s="93"/>
      <c r="Q360" s="93"/>
      <c r="R360" s="93"/>
      <c r="S360" s="93"/>
      <c r="T360" s="93"/>
      <c r="U360" s="93"/>
      <c r="V360" s="206"/>
      <c r="W360" s="33"/>
      <c r="X360" s="93"/>
      <c r="Y360" s="93"/>
      <c r="Z360" s="93"/>
      <c r="AA360" s="93"/>
      <c r="AB360" s="358"/>
      <c r="AC360" s="269">
        <f t="shared" si="140"/>
        <v>0</v>
      </c>
      <c r="AD360" s="295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30200001</v>
      </c>
      <c r="B361" s="62" t="s">
        <v>67</v>
      </c>
      <c r="C361" s="16" t="s">
        <v>63</v>
      </c>
      <c r="D361" s="17">
        <v>5.0599999999999996</v>
      </c>
      <c r="E361" s="17"/>
      <c r="F361" s="6"/>
      <c r="G361" s="93">
        <f>SUM('1:2'!G361)</f>
        <v>0</v>
      </c>
      <c r="H361" s="95">
        <f t="shared" si="136"/>
        <v>0</v>
      </c>
      <c r="I361" s="93">
        <f>SUM('1:2'!I361)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19</v>
      </c>
      <c r="M361" s="36">
        <f t="shared" si="137"/>
        <v>0</v>
      </c>
      <c r="N361" s="31">
        <f t="shared" si="141"/>
        <v>0</v>
      </c>
      <c r="O361" s="93">
        <f>SUM('1:2'!O361)</f>
        <v>0</v>
      </c>
      <c r="P361" s="93">
        <f>SUM('1:2'!P361)</f>
        <v>0</v>
      </c>
      <c r="Q361" s="93">
        <f>SUM('1:2'!Q361)</f>
        <v>0</v>
      </c>
      <c r="R361" s="93">
        <f>SUM('1:2'!R361)</f>
        <v>0</v>
      </c>
      <c r="S361" s="93">
        <f>SUM('1:2'!S361)</f>
        <v>0</v>
      </c>
      <c r="T361" s="93">
        <f>SUM('1:2'!T361)</f>
        <v>0</v>
      </c>
      <c r="U361" s="93">
        <f>SUM('1:2'!U361)</f>
        <v>0</v>
      </c>
      <c r="V361" s="206">
        <f t="shared" si="138"/>
        <v>0</v>
      </c>
      <c r="W361" s="33" t="str">
        <f t="shared" si="139"/>
        <v/>
      </c>
      <c r="X361" s="93">
        <f>SUM('1:2'!X361)</f>
        <v>0</v>
      </c>
      <c r="Y361" s="93">
        <f>SUM('1:2'!Y361)</f>
        <v>0</v>
      </c>
      <c r="Z361" s="93">
        <f>SUM('1:2'!Z361)</f>
        <v>0</v>
      </c>
      <c r="AA361" s="93">
        <f>SUM('1:2'!AA361)</f>
        <v>0</v>
      </c>
      <c r="AB361" s="358">
        <v>0.55000000000000004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30200002</v>
      </c>
      <c r="B362" s="62" t="s">
        <v>68</v>
      </c>
      <c r="C362" s="16" t="s">
        <v>63</v>
      </c>
      <c r="D362" s="17">
        <v>5.09</v>
      </c>
      <c r="E362" s="17"/>
      <c r="F362" s="6"/>
      <c r="G362" s="93">
        <f>SUM('1:2'!G362)</f>
        <v>0</v>
      </c>
      <c r="H362" s="95">
        <f t="shared" si="136"/>
        <v>0</v>
      </c>
      <c r="I362" s="93">
        <f>SUM('1:2'!I362)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23</v>
      </c>
      <c r="M362" s="36">
        <f t="shared" si="137"/>
        <v>0</v>
      </c>
      <c r="N362" s="31">
        <f t="shared" si="141"/>
        <v>0</v>
      </c>
      <c r="O362" s="93">
        <f>SUM('1:2'!O362)</f>
        <v>0</v>
      </c>
      <c r="P362" s="93">
        <f>SUM('1:2'!P362)</f>
        <v>0</v>
      </c>
      <c r="Q362" s="93">
        <f>SUM('1:2'!Q362)</f>
        <v>0</v>
      </c>
      <c r="R362" s="93">
        <f>SUM('1:2'!R362)</f>
        <v>0</v>
      </c>
      <c r="S362" s="93">
        <f>SUM('1:2'!S362)</f>
        <v>0</v>
      </c>
      <c r="T362" s="93">
        <f>SUM('1:2'!T362)</f>
        <v>0</v>
      </c>
      <c r="U362" s="93">
        <f>SUM('1:2'!U362)</f>
        <v>0</v>
      </c>
      <c r="V362" s="206">
        <f t="shared" si="138"/>
        <v>0</v>
      </c>
      <c r="W362" s="33" t="str">
        <f t="shared" si="139"/>
        <v/>
      </c>
      <c r="X362" s="93">
        <f>SUM('1:2'!X362)</f>
        <v>0</v>
      </c>
      <c r="Y362" s="93">
        <f>SUM('1:2'!Y362)</f>
        <v>0</v>
      </c>
      <c r="Z362" s="93">
        <f>SUM('1:2'!Z362)</f>
        <v>0</v>
      </c>
      <c r="AA362" s="93">
        <f>SUM('1:2'!AA362)</f>
        <v>0</v>
      </c>
      <c r="AB362" s="358">
        <v>0.45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30200003</v>
      </c>
      <c r="B363" s="62" t="s">
        <v>68</v>
      </c>
      <c r="C363" s="16" t="s">
        <v>64</v>
      </c>
      <c r="D363" s="17">
        <v>5.09</v>
      </c>
      <c r="E363" s="17"/>
      <c r="F363" s="6"/>
      <c r="G363" s="93">
        <f>SUM('1:2'!G363)</f>
        <v>0</v>
      </c>
      <c r="H363" s="95">
        <f t="shared" si="136"/>
        <v>0</v>
      </c>
      <c r="I363" s="93">
        <f>SUM('1:2'!I363)</f>
        <v>0</v>
      </c>
      <c r="J363" s="31" t="str">
        <f t="array" ref="J363">IF(ISERROR(G363/I363),"",G363/I363)</f>
        <v/>
      </c>
      <c r="K363" s="35">
        <f t="array" ref="K363">IF(ISERROR(G363/L363),"",G363/L363)</f>
        <v>0</v>
      </c>
      <c r="L363" s="87">
        <v>23</v>
      </c>
      <c r="M363" s="36">
        <f t="shared" si="137"/>
        <v>0</v>
      </c>
      <c r="N363" s="31">
        <f t="shared" si="141"/>
        <v>0</v>
      </c>
      <c r="O363" s="93">
        <f>SUM('1:2'!O363)</f>
        <v>0</v>
      </c>
      <c r="P363" s="93">
        <f>SUM('1:2'!P363)</f>
        <v>0</v>
      </c>
      <c r="Q363" s="93">
        <f>SUM('1:2'!Q363)</f>
        <v>0</v>
      </c>
      <c r="R363" s="93">
        <f>SUM('1:2'!R363)</f>
        <v>0</v>
      </c>
      <c r="S363" s="93">
        <f>SUM('1:2'!S363)</f>
        <v>0</v>
      </c>
      <c r="T363" s="93">
        <f>SUM('1:2'!T363)</f>
        <v>0</v>
      </c>
      <c r="U363" s="93">
        <f>SUM('1:2'!U363)</f>
        <v>0</v>
      </c>
      <c r="V363" s="206">
        <f t="shared" si="138"/>
        <v>0</v>
      </c>
      <c r="W363" s="33" t="str">
        <f t="shared" si="139"/>
        <v/>
      </c>
      <c r="X363" s="93">
        <f>SUM('1:2'!X363)</f>
        <v>0</v>
      </c>
      <c r="Y363" s="93">
        <f>SUM('1:2'!Y363)</f>
        <v>0</v>
      </c>
      <c r="Z363" s="93">
        <f>SUM('1:2'!Z363)</f>
        <v>0</v>
      </c>
      <c r="AA363" s="93">
        <f>SUM('1:2'!AA363)</f>
        <v>0</v>
      </c>
      <c r="AB363" s="358">
        <v>0.45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30100003</v>
      </c>
      <c r="B364" s="141" t="s">
        <v>198</v>
      </c>
      <c r="C364" s="241" t="s">
        <v>190</v>
      </c>
      <c r="D364" s="108">
        <v>4.8</v>
      </c>
      <c r="E364" s="17"/>
      <c r="F364" s="6"/>
      <c r="G364" s="93">
        <f>SUM('1:2'!G364)</f>
        <v>0</v>
      </c>
      <c r="H364" s="95">
        <f t="shared" si="136"/>
        <v>0</v>
      </c>
      <c r="I364" s="93">
        <f>SUM('1:2'!I364)</f>
        <v>0</v>
      </c>
      <c r="J364" s="31" t="str">
        <f t="array" ref="J364">IF(ISERROR(G364/I364),"",G364/I364)</f>
        <v/>
      </c>
      <c r="K364" s="35">
        <f t="array" ref="K364">IF(ISERROR(G364/L364),"",G364/L364)</f>
        <v>0</v>
      </c>
      <c r="L364" s="87">
        <v>4</v>
      </c>
      <c r="M364" s="36">
        <f t="shared" si="137"/>
        <v>0</v>
      </c>
      <c r="N364" s="31">
        <f t="shared" si="141"/>
        <v>0</v>
      </c>
      <c r="O364" s="93">
        <f>SUM('1:2'!O364)</f>
        <v>0</v>
      </c>
      <c r="P364" s="93">
        <f>SUM('1:2'!P364)</f>
        <v>0</v>
      </c>
      <c r="Q364" s="93">
        <f>SUM('1:2'!Q364)</f>
        <v>0</v>
      </c>
      <c r="R364" s="93">
        <f>SUM('1:2'!R364)</f>
        <v>0</v>
      </c>
      <c r="S364" s="93">
        <f>SUM('1:2'!S364)</f>
        <v>0</v>
      </c>
      <c r="T364" s="93">
        <f>SUM('1:2'!T364)</f>
        <v>0</v>
      </c>
      <c r="U364" s="93">
        <f>SUM('1:2'!U364)</f>
        <v>0</v>
      </c>
      <c r="V364" s="206">
        <f t="shared" si="138"/>
        <v>0</v>
      </c>
      <c r="W364" s="33" t="str">
        <f t="shared" si="139"/>
        <v/>
      </c>
      <c r="X364" s="93">
        <f>SUM('1:2'!X364)</f>
        <v>0</v>
      </c>
      <c r="Y364" s="93">
        <f>SUM('1:2'!Y364)</f>
        <v>0</v>
      </c>
      <c r="Z364" s="93">
        <f>SUM('1:2'!Z364)</f>
        <v>0</v>
      </c>
      <c r="AA364" s="93">
        <f>SUM('1:2'!AA364)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30100004</v>
      </c>
      <c r="B365" s="141" t="s">
        <v>198</v>
      </c>
      <c r="C365" s="241" t="s">
        <v>187</v>
      </c>
      <c r="D365" s="108">
        <v>4.8</v>
      </c>
      <c r="E365" s="17"/>
      <c r="F365" s="6"/>
      <c r="G365" s="93">
        <f>SUM('1:2'!G365)</f>
        <v>0</v>
      </c>
      <c r="H365" s="95">
        <f t="shared" si="136"/>
        <v>0</v>
      </c>
      <c r="I365" s="93">
        <f>SUM('1:2'!I365)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SUM('1:2'!O365)</f>
        <v>0</v>
      </c>
      <c r="P365" s="93">
        <f>SUM('1:2'!P365)</f>
        <v>0</v>
      </c>
      <c r="Q365" s="93">
        <f>SUM('1:2'!Q365)</f>
        <v>0</v>
      </c>
      <c r="R365" s="93">
        <f>SUM('1:2'!R365)</f>
        <v>0</v>
      </c>
      <c r="S365" s="93">
        <f>SUM('1:2'!S365)</f>
        <v>0</v>
      </c>
      <c r="T365" s="93">
        <f>SUM('1:2'!T365)</f>
        <v>0</v>
      </c>
      <c r="U365" s="93">
        <f>SUM('1:2'!U365)</f>
        <v>0</v>
      </c>
      <c r="V365" s="206"/>
      <c r="W365" s="33"/>
      <c r="X365" s="93">
        <f>SUM('1:2'!X365)</f>
        <v>0</v>
      </c>
      <c r="Y365" s="93">
        <f>SUM('1:2'!Y365)</f>
        <v>0</v>
      </c>
      <c r="Z365" s="93">
        <f>SUM('1:2'!Z365)</f>
        <v>0</v>
      </c>
      <c r="AA365" s="93">
        <f>SUM('1:2'!AA365)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30100006</v>
      </c>
      <c r="B366" s="141" t="s">
        <v>198</v>
      </c>
      <c r="C366" s="241" t="s">
        <v>179</v>
      </c>
      <c r="D366" s="108">
        <v>4.8</v>
      </c>
      <c r="E366" s="17"/>
      <c r="F366" s="6"/>
      <c r="G366" s="93">
        <f>SUM('1:2'!G366)</f>
        <v>0</v>
      </c>
      <c r="H366" s="95">
        <f t="shared" si="136"/>
        <v>0</v>
      </c>
      <c r="I366" s="93">
        <f>SUM('1:2'!I366)</f>
        <v>0</v>
      </c>
      <c r="J366" s="31"/>
      <c r="K366" s="35">
        <f t="array" ref="K366">IF(ISERROR(G366/L366),"",G366/L366)</f>
        <v>0</v>
      </c>
      <c r="L366" s="87">
        <v>4</v>
      </c>
      <c r="M366" s="36">
        <f>IF(ISERROR(I366-K366),"",I366-K366)</f>
        <v>0</v>
      </c>
      <c r="N366" s="31"/>
      <c r="O366" s="93">
        <f>SUM('1:2'!O366)</f>
        <v>0</v>
      </c>
      <c r="P366" s="93">
        <f>SUM('1:2'!P366)</f>
        <v>0</v>
      </c>
      <c r="Q366" s="93">
        <f>SUM('1:2'!Q366)</f>
        <v>0</v>
      </c>
      <c r="R366" s="93">
        <f>SUM('1:2'!R366)</f>
        <v>0</v>
      </c>
      <c r="S366" s="93">
        <f>SUM('1:2'!S366)</f>
        <v>0</v>
      </c>
      <c r="T366" s="93">
        <f>SUM('1:2'!T366)</f>
        <v>0</v>
      </c>
      <c r="U366" s="93">
        <f>SUM('1:2'!U366)</f>
        <v>0</v>
      </c>
      <c r="V366" s="206"/>
      <c r="W366" s="33"/>
      <c r="X366" s="93">
        <f>SUM('1:2'!X366)</f>
        <v>0</v>
      </c>
      <c r="Y366" s="93">
        <f>SUM('1:2'!Y366)</f>
        <v>0</v>
      </c>
      <c r="Z366" s="93">
        <f>SUM('1:2'!Z366)</f>
        <v>0</v>
      </c>
      <c r="AA366" s="93">
        <f>SUM('1:2'!AA366)</f>
        <v>0</v>
      </c>
      <c r="AB366" s="358">
        <v>0.95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7.25">
      <c r="A367" s="316">
        <v>30100005</v>
      </c>
      <c r="B367" s="141" t="s">
        <v>198</v>
      </c>
      <c r="C367" s="241" t="s">
        <v>199</v>
      </c>
      <c r="D367" s="108">
        <v>4.8</v>
      </c>
      <c r="E367" s="17"/>
      <c r="F367" s="6"/>
      <c r="G367" s="93">
        <f>SUM('1:2'!G367)</f>
        <v>0</v>
      </c>
      <c r="H367" s="95">
        <f t="shared" si="136"/>
        <v>0</v>
      </c>
      <c r="I367" s="93">
        <f>SUM('1:2'!I367)</f>
        <v>0</v>
      </c>
      <c r="J367" s="31"/>
      <c r="K367" s="35">
        <f t="array" ref="K367">IF(ISERROR(G367/L367),"",G367/L367)</f>
        <v>0</v>
      </c>
      <c r="L367" s="87">
        <v>4</v>
      </c>
      <c r="M367" s="36">
        <f>IF(ISERROR(I367-K367),"",I367-K367)</f>
        <v>0</v>
      </c>
      <c r="N367" s="31"/>
      <c r="O367" s="93">
        <f>SUM('1:2'!O367)</f>
        <v>0</v>
      </c>
      <c r="P367" s="93">
        <f>SUM('1:2'!P367)</f>
        <v>0</v>
      </c>
      <c r="Q367" s="93">
        <f>SUM('1:2'!Q367)</f>
        <v>0</v>
      </c>
      <c r="R367" s="93">
        <f>SUM('1:2'!R367)</f>
        <v>0</v>
      </c>
      <c r="S367" s="93">
        <f>SUM('1:2'!S367)</f>
        <v>0</v>
      </c>
      <c r="T367" s="93">
        <f>SUM('1:2'!T367)</f>
        <v>0</v>
      </c>
      <c r="U367" s="93">
        <f>SUM('1:2'!U367)</f>
        <v>0</v>
      </c>
      <c r="V367" s="206"/>
      <c r="W367" s="33"/>
      <c r="X367" s="93">
        <f>SUM('1:2'!X367)</f>
        <v>0</v>
      </c>
      <c r="Y367" s="93">
        <f>SUM('1:2'!Y367)</f>
        <v>0</v>
      </c>
      <c r="Z367" s="93">
        <f>SUM('1:2'!Z367)</f>
        <v>0</v>
      </c>
      <c r="AA367" s="93">
        <f>SUM('1:2'!AA367)</f>
        <v>0</v>
      </c>
      <c r="AB367" s="358">
        <v>0.95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7.25">
      <c r="A368" s="316">
        <v>30100009</v>
      </c>
      <c r="B368" s="141" t="s">
        <v>200</v>
      </c>
      <c r="C368" s="126" t="s">
        <v>190</v>
      </c>
      <c r="D368" s="108">
        <v>4.99</v>
      </c>
      <c r="E368" s="17"/>
      <c r="F368" s="6"/>
      <c r="G368" s="93">
        <f>SUM('1:2'!G368)</f>
        <v>0</v>
      </c>
      <c r="H368" s="95">
        <f t="shared" si="136"/>
        <v>0</v>
      </c>
      <c r="I368" s="93">
        <f>SUM('1:2'!I368)</f>
        <v>0</v>
      </c>
      <c r="J368" s="31"/>
      <c r="K368" s="35">
        <f t="array" ref="K368">IF(ISERROR(G368/L368),"",G368/L368)</f>
        <v>0</v>
      </c>
      <c r="L368" s="87">
        <v>23.5</v>
      </c>
      <c r="M368" s="36">
        <f>IF(ISERROR(I368-K368),"",I368-K368)</f>
        <v>0</v>
      </c>
      <c r="N368" s="31"/>
      <c r="O368" s="93">
        <f>SUM('1:2'!O368)</f>
        <v>0</v>
      </c>
      <c r="P368" s="93">
        <f>SUM('1:2'!P368)</f>
        <v>0</v>
      </c>
      <c r="Q368" s="93">
        <f>SUM('1:2'!Q368)</f>
        <v>0</v>
      </c>
      <c r="R368" s="93">
        <f>SUM('1:2'!R368)</f>
        <v>0</v>
      </c>
      <c r="S368" s="93">
        <f>SUM('1:2'!S368)</f>
        <v>0</v>
      </c>
      <c r="T368" s="93">
        <f>SUM('1:2'!T368)</f>
        <v>0</v>
      </c>
      <c r="U368" s="93">
        <f>SUM('1:2'!U368)</f>
        <v>0</v>
      </c>
      <c r="V368" s="206"/>
      <c r="W368" s="33"/>
      <c r="X368" s="93">
        <f>SUM('1:2'!X368)</f>
        <v>0</v>
      </c>
      <c r="Y368" s="93">
        <f>SUM('1:2'!Y368)</f>
        <v>0</v>
      </c>
      <c r="Z368" s="93">
        <f>SUM('1:2'!Z368)</f>
        <v>0</v>
      </c>
      <c r="AA368" s="93">
        <f>SUM('1:2'!AA368)</f>
        <v>0</v>
      </c>
      <c r="AB368" s="358">
        <v>0.44</v>
      </c>
      <c r="AC368" s="269">
        <f t="shared" si="140"/>
        <v>0</v>
      </c>
      <c r="AD368" s="251"/>
      <c r="AE368" s="54"/>
      <c r="AF368" s="54"/>
      <c r="AG368" s="54"/>
      <c r="AH368" s="54"/>
      <c r="AI368" s="57"/>
      <c r="AJ368" s="57"/>
      <c r="AK368" s="57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</row>
    <row r="369" spans="1:53" ht="15.75">
      <c r="A369" s="299">
        <v>30200004</v>
      </c>
      <c r="B369" s="141" t="s">
        <v>200</v>
      </c>
      <c r="C369" s="126" t="s">
        <v>189</v>
      </c>
      <c r="D369" s="108">
        <v>4.99</v>
      </c>
      <c r="E369" s="17"/>
      <c r="F369" s="13"/>
      <c r="G369" s="93">
        <f>SUM('1:2'!G369)</f>
        <v>0</v>
      </c>
      <c r="H369" s="95">
        <f t="shared" si="136"/>
        <v>0</v>
      </c>
      <c r="I369" s="93">
        <f>SUM('1:2'!I369)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23.5</v>
      </c>
      <c r="M369" s="36">
        <f t="shared" ref="M369" si="142">IF(ISERROR(I369-K369),"",I369-K369)</f>
        <v>0</v>
      </c>
      <c r="N369" s="31">
        <f t="shared" ref="N369" si="143">SUM(O369:U369)</f>
        <v>0</v>
      </c>
      <c r="O369" s="93">
        <f>SUM('1:2'!O369)</f>
        <v>0</v>
      </c>
      <c r="P369" s="93">
        <f>SUM('1:2'!P369)</f>
        <v>0</v>
      </c>
      <c r="Q369" s="93">
        <f>SUM('1:2'!Q369)</f>
        <v>0</v>
      </c>
      <c r="R369" s="93">
        <f>SUM('1:2'!R369)</f>
        <v>0</v>
      </c>
      <c r="S369" s="93">
        <f>SUM('1:2'!S369)</f>
        <v>0</v>
      </c>
      <c r="T369" s="93">
        <f>SUM('1:2'!T369)</f>
        <v>0</v>
      </c>
      <c r="U369" s="93">
        <f>SUM('1:2'!U369)</f>
        <v>0</v>
      </c>
      <c r="V369" s="206">
        <f t="shared" ref="V369" si="144">SUM(X369:AA369)</f>
        <v>0</v>
      </c>
      <c r="W369" s="33" t="str">
        <f t="shared" ref="W369" si="145">IF(ISERROR(V369/G369),"",V369/G369)</f>
        <v/>
      </c>
      <c r="X369" s="93">
        <f>SUM('1:2'!X369)</f>
        <v>0</v>
      </c>
      <c r="Y369" s="93">
        <f>SUM('1:2'!Y369)</f>
        <v>0</v>
      </c>
      <c r="Z369" s="93">
        <f>SUM('1:2'!Z369)</f>
        <v>0</v>
      </c>
      <c r="AA369" s="93">
        <f>SUM('1:2'!AA369)</f>
        <v>0</v>
      </c>
      <c r="AB369" s="358">
        <v>0.44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5.75">
      <c r="A370" s="737" t="s">
        <v>70</v>
      </c>
      <c r="B370" s="738"/>
      <c r="C370" s="31" t="s">
        <v>71</v>
      </c>
      <c r="D370" s="30"/>
      <c r="E370" s="30"/>
      <c r="F370" s="30"/>
      <c r="G370" s="94">
        <f>SUM(G349:G369)</f>
        <v>0</v>
      </c>
      <c r="H370" s="30">
        <f>SUM(H349:H369)</f>
        <v>0</v>
      </c>
      <c r="I370" s="30">
        <f>SUM(I349:I369)</f>
        <v>0</v>
      </c>
      <c r="J370" s="31" t="str">
        <f t="array" ref="J370">IF(ISERROR(G370/I370),"",G370/I370)</f>
        <v/>
      </c>
      <c r="K370" s="30">
        <f>SUM(K349:K369)</f>
        <v>0</v>
      </c>
      <c r="L370" s="98"/>
      <c r="M370" s="89">
        <f t="shared" ref="M370:AA370" si="146">SUM(M349:M369)</f>
        <v>0</v>
      </c>
      <c r="N370" s="30">
        <f t="shared" si="146"/>
        <v>0</v>
      </c>
      <c r="O370" s="34">
        <f t="shared" si="146"/>
        <v>0</v>
      </c>
      <c r="P370" s="34">
        <f t="shared" si="146"/>
        <v>0</v>
      </c>
      <c r="Q370" s="34">
        <f t="shared" si="146"/>
        <v>0</v>
      </c>
      <c r="R370" s="34">
        <f t="shared" si="146"/>
        <v>0</v>
      </c>
      <c r="S370" s="34">
        <f t="shared" si="146"/>
        <v>0</v>
      </c>
      <c r="T370" s="34">
        <f t="shared" si="146"/>
        <v>0</v>
      </c>
      <c r="U370" s="34">
        <f t="shared" si="146"/>
        <v>0</v>
      </c>
      <c r="V370" s="206">
        <f t="shared" si="146"/>
        <v>0</v>
      </c>
      <c r="W370" s="33">
        <f t="shared" si="146"/>
        <v>0</v>
      </c>
      <c r="X370" s="92">
        <f t="shared" si="146"/>
        <v>0</v>
      </c>
      <c r="Y370" s="92">
        <f t="shared" si="146"/>
        <v>0</v>
      </c>
      <c r="Z370" s="92">
        <f t="shared" si="146"/>
        <v>0</v>
      </c>
      <c r="AA370" s="92">
        <f t="shared" si="146"/>
        <v>0</v>
      </c>
      <c r="AB370" s="358"/>
      <c r="AC370" s="273"/>
      <c r="AD370" s="58"/>
      <c r="AE370" s="70"/>
      <c r="AF370" s="70"/>
      <c r="AG370" s="70"/>
      <c r="AH370" s="70"/>
      <c r="AI370" s="58"/>
      <c r="AJ370" s="58"/>
      <c r="AK370" s="58"/>
      <c r="AL370" s="58"/>
      <c r="AM370" s="58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</row>
    <row r="371" spans="1:53" ht="17.25">
      <c r="A371" s="316">
        <v>30100012</v>
      </c>
      <c r="B371" s="61" t="s">
        <v>76</v>
      </c>
      <c r="C371" s="16" t="s">
        <v>73</v>
      </c>
      <c r="D371" s="17">
        <v>5.03</v>
      </c>
      <c r="E371" s="17"/>
      <c r="F371" s="6"/>
      <c r="G371" s="93">
        <f>SUM('1:2'!G371)</f>
        <v>0</v>
      </c>
      <c r="H371" s="246">
        <f t="shared" ref="H371:H427" si="147">D371*G371</f>
        <v>0</v>
      </c>
      <c r="I371" s="93">
        <f>SUM('1:2'!I371)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" si="148">IF(ISERROR(I371-K371),"",I371-K371)</f>
        <v>0</v>
      </c>
      <c r="N371" s="31">
        <f t="shared" ref="N371" si="149">SUM(O371:U371)</f>
        <v>0</v>
      </c>
      <c r="O371" s="93">
        <f>SUM('1:2'!O371)</f>
        <v>0</v>
      </c>
      <c r="P371" s="93">
        <f>SUM('1:2'!P371)</f>
        <v>0</v>
      </c>
      <c r="Q371" s="93">
        <f>SUM('1:2'!Q371)</f>
        <v>0</v>
      </c>
      <c r="R371" s="93">
        <f>SUM('1:2'!R371)</f>
        <v>0</v>
      </c>
      <c r="S371" s="93">
        <f>SUM('1:2'!S371)</f>
        <v>0</v>
      </c>
      <c r="T371" s="93">
        <f>SUM('1:2'!T371)</f>
        <v>0</v>
      </c>
      <c r="U371" s="93">
        <f>SUM('1:2'!U371)</f>
        <v>0</v>
      </c>
      <c r="V371" s="206">
        <f t="shared" ref="V371" si="150">SUM(X371:AA371)</f>
        <v>0</v>
      </c>
      <c r="W371" s="33" t="str">
        <f t="shared" ref="W371" si="151">IF(ISERROR(V371/G371),"",V371/G371)</f>
        <v/>
      </c>
      <c r="X371" s="93">
        <f>SUM('1:2'!X371)</f>
        <v>0</v>
      </c>
      <c r="Y371" s="93">
        <f>SUM('1:2'!Y371)</f>
        <v>0</v>
      </c>
      <c r="Z371" s="93">
        <f>SUM('1:2'!Z371)</f>
        <v>0</v>
      </c>
      <c r="AA371" s="93">
        <f>SUM('1:2'!AA371)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>
      <c r="A372" s="316">
        <v>30100011</v>
      </c>
      <c r="B372" s="190" t="s">
        <v>425</v>
      </c>
      <c r="C372" s="187" t="s">
        <v>427</v>
      </c>
      <c r="D372" s="17">
        <v>5.03</v>
      </c>
      <c r="E372" s="17"/>
      <c r="F372" s="6"/>
      <c r="G372" s="93"/>
      <c r="H372" s="246">
        <f t="shared" si="147"/>
        <v>0</v>
      </c>
      <c r="I372" s="93"/>
      <c r="J372" s="31"/>
      <c r="K372" s="35">
        <f t="array" ref="K372">IF(ISERROR(G372/L372),"",G372/L372)</f>
        <v>0</v>
      </c>
      <c r="L372" s="87">
        <v>52</v>
      </c>
      <c r="M372" s="36"/>
      <c r="N372" s="31"/>
      <c r="O372" s="93"/>
      <c r="P372" s="93"/>
      <c r="Q372" s="93"/>
      <c r="R372" s="93"/>
      <c r="S372" s="93"/>
      <c r="T372" s="93"/>
      <c r="U372" s="93"/>
      <c r="V372" s="206"/>
      <c r="W372" s="33"/>
      <c r="X372" s="93"/>
      <c r="Y372" s="93"/>
      <c r="Z372" s="93"/>
      <c r="AA372" s="93"/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30100010</v>
      </c>
      <c r="B373" s="61" t="s">
        <v>76</v>
      </c>
      <c r="C373" s="16" t="s">
        <v>60</v>
      </c>
      <c r="D373" s="17">
        <v>5.03</v>
      </c>
      <c r="E373" s="17"/>
      <c r="F373" s="6"/>
      <c r="G373" s="93">
        <f>SUM('1:2'!G373)</f>
        <v>0</v>
      </c>
      <c r="H373" s="246">
        <f t="shared" si="147"/>
        <v>0</v>
      </c>
      <c r="I373" s="93">
        <f>SUM('1:2'!I373)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ref="M373:M408" si="152">IF(ISERROR(I373-K373),"",I373-K373)</f>
        <v>0</v>
      </c>
      <c r="N373" s="31">
        <f t="shared" ref="N373:N375" si="153">SUM(O373:U373)</f>
        <v>0</v>
      </c>
      <c r="O373" s="93">
        <f>SUM('1:2'!O373)</f>
        <v>0</v>
      </c>
      <c r="P373" s="93">
        <f>SUM('1:2'!P373)</f>
        <v>0</v>
      </c>
      <c r="Q373" s="93">
        <f>SUM('1:2'!Q373)</f>
        <v>0</v>
      </c>
      <c r="R373" s="93">
        <f>SUM('1:2'!R373)</f>
        <v>0</v>
      </c>
      <c r="S373" s="93">
        <f>SUM('1:2'!S373)</f>
        <v>0</v>
      </c>
      <c r="T373" s="93">
        <f>SUM('1:2'!T373)</f>
        <v>0</v>
      </c>
      <c r="U373" s="93">
        <f>SUM('1:2'!U373)</f>
        <v>0</v>
      </c>
      <c r="V373" s="206">
        <f t="shared" ref="V373:V375" si="154">SUM(X373:AA373)</f>
        <v>0</v>
      </c>
      <c r="W373" s="33" t="str">
        <f t="shared" ref="W373:W375" si="155">IF(ISERROR(V373/G373),"",V373/G373)</f>
        <v/>
      </c>
      <c r="X373" s="93">
        <f>SUM('1:2'!X373)</f>
        <v>0</v>
      </c>
      <c r="Y373" s="93">
        <f>SUM('1:2'!Y373)</f>
        <v>0</v>
      </c>
      <c r="Z373" s="93">
        <f>SUM('1:2'!Z373)</f>
        <v>0</v>
      </c>
      <c r="AA373" s="93">
        <f>SUM('1:2'!AA373)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 customHeight="1">
      <c r="A374" s="316">
        <v>30100014</v>
      </c>
      <c r="B374" s="61" t="s">
        <v>76</v>
      </c>
      <c r="C374" s="16" t="s">
        <v>72</v>
      </c>
      <c r="D374" s="17">
        <v>5.03</v>
      </c>
      <c r="E374" s="17"/>
      <c r="F374" s="6"/>
      <c r="G374" s="93">
        <f>SUM('1:2'!G374)</f>
        <v>0</v>
      </c>
      <c r="H374" s="246">
        <f t="shared" si="147"/>
        <v>0</v>
      </c>
      <c r="I374" s="93">
        <f>SUM('1:2'!I374)</f>
        <v>0</v>
      </c>
      <c r="J374" s="31" t="str">
        <f t="array" ref="J374">IF(ISERROR(G374/I374),"",G374/I374)</f>
        <v/>
      </c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>
        <f t="shared" si="153"/>
        <v>0</v>
      </c>
      <c r="O374" s="93">
        <f>SUM('1:2'!O374)</f>
        <v>0</v>
      </c>
      <c r="P374" s="93">
        <f>SUM('1:2'!P374)</f>
        <v>0</v>
      </c>
      <c r="Q374" s="93">
        <f>SUM('1:2'!Q374)</f>
        <v>0</v>
      </c>
      <c r="R374" s="93">
        <f>SUM('1:2'!R374)</f>
        <v>0</v>
      </c>
      <c r="S374" s="93">
        <f>SUM('1:2'!S374)</f>
        <v>0</v>
      </c>
      <c r="T374" s="93">
        <f>SUM('1:2'!T374)</f>
        <v>0</v>
      </c>
      <c r="U374" s="93">
        <f>SUM('1:2'!U374)</f>
        <v>0</v>
      </c>
      <c r="V374" s="206">
        <f t="shared" si="154"/>
        <v>0</v>
      </c>
      <c r="W374" s="33" t="str">
        <f t="shared" si="155"/>
        <v/>
      </c>
      <c r="X374" s="93">
        <f>SUM('1:2'!X374)</f>
        <v>0</v>
      </c>
      <c r="Y374" s="93">
        <f>SUM('1:2'!Y374)</f>
        <v>0</v>
      </c>
      <c r="Z374" s="93">
        <f>SUM('1:2'!Z374)</f>
        <v>0</v>
      </c>
      <c r="AA374" s="93">
        <f>SUM('1:2'!AA374)</f>
        <v>0</v>
      </c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30100013</v>
      </c>
      <c r="B375" s="61" t="s">
        <v>76</v>
      </c>
      <c r="C375" s="16" t="s">
        <v>77</v>
      </c>
      <c r="D375" s="17">
        <v>5.03</v>
      </c>
      <c r="E375" s="17"/>
      <c r="F375" s="6"/>
      <c r="G375" s="93">
        <f>SUM('1:2'!G375)</f>
        <v>0</v>
      </c>
      <c r="H375" s="246">
        <f t="shared" si="147"/>
        <v>0</v>
      </c>
      <c r="I375" s="93">
        <f>SUM('1:2'!I375)</f>
        <v>0</v>
      </c>
      <c r="J375" s="31" t="str">
        <f t="array" ref="J375">IF(ISERROR(G375/I375),"",G375/I375)</f>
        <v/>
      </c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>
        <f t="shared" si="153"/>
        <v>0</v>
      </c>
      <c r="O375" s="93">
        <f>SUM('1:2'!O375)</f>
        <v>0</v>
      </c>
      <c r="P375" s="93">
        <f>SUM('1:2'!P375)</f>
        <v>0</v>
      </c>
      <c r="Q375" s="93">
        <f>SUM('1:2'!Q375)</f>
        <v>0</v>
      </c>
      <c r="R375" s="93">
        <f>SUM('1:2'!R375)</f>
        <v>0</v>
      </c>
      <c r="S375" s="93">
        <f>SUM('1:2'!S375)</f>
        <v>0</v>
      </c>
      <c r="T375" s="93">
        <f>SUM('1:2'!T375)</f>
        <v>0</v>
      </c>
      <c r="U375" s="93">
        <f>SUM('1:2'!U375)</f>
        <v>0</v>
      </c>
      <c r="V375" s="206">
        <f t="shared" si="154"/>
        <v>0</v>
      </c>
      <c r="W375" s="33" t="str">
        <f t="shared" si="155"/>
        <v/>
      </c>
      <c r="X375" s="93">
        <f>SUM('1:2'!X375)</f>
        <v>0</v>
      </c>
      <c r="Y375" s="93">
        <f>SUM('1:2'!Y375)</f>
        <v>0</v>
      </c>
      <c r="Z375" s="93">
        <f>SUM('1:2'!Z375)</f>
        <v>0</v>
      </c>
      <c r="AA375" s="93">
        <f>SUM('1:2'!AA375)</f>
        <v>0</v>
      </c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30100016</v>
      </c>
      <c r="B376" s="240" t="s">
        <v>414</v>
      </c>
      <c r="C376" s="187" t="s">
        <v>415</v>
      </c>
      <c r="D376" s="17"/>
      <c r="E376" s="17"/>
      <c r="F376" s="6"/>
      <c r="G376" s="93">
        <f>SUM('1:2'!G376)</f>
        <v>0</v>
      </c>
      <c r="H376" s="246">
        <f t="shared" si="147"/>
        <v>0</v>
      </c>
      <c r="I376" s="93">
        <f>SUM('1:2'!I376)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30100017</v>
      </c>
      <c r="B377" s="240" t="s">
        <v>414</v>
      </c>
      <c r="C377" s="187" t="s">
        <v>416</v>
      </c>
      <c r="D377" s="17"/>
      <c r="E377" s="17"/>
      <c r="F377" s="6"/>
      <c r="G377" s="93">
        <f>SUM('1:2'!G377)</f>
        <v>0</v>
      </c>
      <c r="H377" s="246">
        <f t="shared" si="147"/>
        <v>0</v>
      </c>
      <c r="I377" s="93">
        <f>SUM('1:2'!I377)</f>
        <v>0</v>
      </c>
      <c r="J377" s="31"/>
      <c r="K377" s="35">
        <f t="array" ref="K377">IF(ISERROR(G377/L377),"",G377/L377)</f>
        <v>0</v>
      </c>
      <c r="L377" s="87">
        <v>52</v>
      </c>
      <c r="M377" s="36">
        <f t="shared" si="152"/>
        <v>0</v>
      </c>
      <c r="N377" s="31"/>
      <c r="O377" s="93"/>
      <c r="P377" s="93"/>
      <c r="Q377" s="93"/>
      <c r="R377" s="93"/>
      <c r="S377" s="93"/>
      <c r="T377" s="93"/>
      <c r="U377" s="93"/>
      <c r="V377" s="206"/>
      <c r="W377" s="33"/>
      <c r="X377" s="93"/>
      <c r="Y377" s="93"/>
      <c r="Z377" s="93"/>
      <c r="AA377" s="93"/>
      <c r="AB377" s="358">
        <v>0.19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30100015</v>
      </c>
      <c r="B378" s="240" t="s">
        <v>414</v>
      </c>
      <c r="C378" s="187" t="s">
        <v>61</v>
      </c>
      <c r="D378" s="17"/>
      <c r="E378" s="17"/>
      <c r="F378" s="6"/>
      <c r="G378" s="93">
        <f>SUM('1:2'!G378)</f>
        <v>0</v>
      </c>
      <c r="H378" s="246">
        <f t="shared" si="147"/>
        <v>0</v>
      </c>
      <c r="I378" s="93">
        <f>SUM('1:2'!I378)</f>
        <v>0</v>
      </c>
      <c r="J378" s="31"/>
      <c r="K378" s="35">
        <f t="array" ref="K378">IF(ISERROR(G378/L378),"",G378/L378)</f>
        <v>0</v>
      </c>
      <c r="L378" s="87">
        <v>52</v>
      </c>
      <c r="M378" s="36">
        <f t="shared" si="152"/>
        <v>0</v>
      </c>
      <c r="N378" s="31"/>
      <c r="O378" s="93"/>
      <c r="P378" s="93"/>
      <c r="Q378" s="93"/>
      <c r="R378" s="93"/>
      <c r="S378" s="93"/>
      <c r="T378" s="93"/>
      <c r="U378" s="93"/>
      <c r="V378" s="206"/>
      <c r="W378" s="33"/>
      <c r="X378" s="93"/>
      <c r="Y378" s="93"/>
      <c r="Z378" s="93"/>
      <c r="AA378" s="93"/>
      <c r="AB378" s="358">
        <v>0.19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30100027</v>
      </c>
      <c r="B379" s="61" t="s">
        <v>78</v>
      </c>
      <c r="C379" s="16" t="s">
        <v>53</v>
      </c>
      <c r="D379" s="17">
        <v>5.08</v>
      </c>
      <c r="E379" s="17"/>
      <c r="F379" s="6"/>
      <c r="G379" s="93">
        <f>SUM('1:2'!G379)</f>
        <v>0</v>
      </c>
      <c r="H379" s="246">
        <f t="shared" si="147"/>
        <v>0</v>
      </c>
      <c r="I379" s="93">
        <f>SUM('1:2'!I379)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ref="N379:N394" si="156">SUM(O379:U379)</f>
        <v>0</v>
      </c>
      <c r="O379" s="93">
        <f>SUM('1:2'!O379)</f>
        <v>0</v>
      </c>
      <c r="P379" s="93">
        <f>SUM('1:2'!P379)</f>
        <v>0</v>
      </c>
      <c r="Q379" s="93">
        <f>SUM('1:2'!Q379)</f>
        <v>0</v>
      </c>
      <c r="R379" s="93">
        <f>SUM('1:2'!R379)</f>
        <v>0</v>
      </c>
      <c r="S379" s="93">
        <f>SUM('1:2'!S379)</f>
        <v>0</v>
      </c>
      <c r="T379" s="93">
        <f>SUM('1:2'!T379)</f>
        <v>0</v>
      </c>
      <c r="U379" s="93">
        <f>SUM('1:2'!U379)</f>
        <v>0</v>
      </c>
      <c r="V379" s="206">
        <f t="shared" ref="V379:V390" si="157">SUM(X379:AA379)</f>
        <v>0</v>
      </c>
      <c r="W379" s="33" t="str">
        <f t="shared" ref="W379:W390" si="158">IF(ISERROR(V379/G379),"",V379/G379)</f>
        <v/>
      </c>
      <c r="X379" s="93">
        <f>SUM('1:2'!X379)</f>
        <v>0</v>
      </c>
      <c r="Y379" s="93">
        <f>SUM('1:2'!Y379)</f>
        <v>0</v>
      </c>
      <c r="Z379" s="93">
        <f>SUM('1:2'!Z379)</f>
        <v>0</v>
      </c>
      <c r="AA379" s="93">
        <f>SUM('1:2'!AA379)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30100023</v>
      </c>
      <c r="B380" s="61" t="s">
        <v>78</v>
      </c>
      <c r="C380" s="16" t="s">
        <v>74</v>
      </c>
      <c r="D380" s="17">
        <v>5.08</v>
      </c>
      <c r="E380" s="17"/>
      <c r="F380" s="6"/>
      <c r="G380" s="93">
        <f>SUM('1:2'!G380)</f>
        <v>0</v>
      </c>
      <c r="H380" s="246">
        <f t="shared" si="147"/>
        <v>0</v>
      </c>
      <c r="I380" s="93">
        <f>SUM('1:2'!I380)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SUM('1:2'!O380)</f>
        <v>0</v>
      </c>
      <c r="P380" s="93">
        <f>SUM('1:2'!P380)</f>
        <v>0</v>
      </c>
      <c r="Q380" s="93">
        <f>SUM('1:2'!Q380)</f>
        <v>0</v>
      </c>
      <c r="R380" s="93">
        <f>SUM('1:2'!R380)</f>
        <v>0</v>
      </c>
      <c r="S380" s="93">
        <f>SUM('1:2'!S380)</f>
        <v>0</v>
      </c>
      <c r="T380" s="93">
        <f>SUM('1:2'!T380)</f>
        <v>0</v>
      </c>
      <c r="U380" s="93">
        <f>SUM('1:2'!U380)</f>
        <v>0</v>
      </c>
      <c r="V380" s="206">
        <f t="shared" si="157"/>
        <v>0</v>
      </c>
      <c r="W380" s="33" t="str">
        <f t="shared" si="158"/>
        <v/>
      </c>
      <c r="X380" s="93">
        <f>SUM('1:2'!X380)</f>
        <v>0</v>
      </c>
      <c r="Y380" s="93">
        <f>SUM('1:2'!Y380)</f>
        <v>0</v>
      </c>
      <c r="Z380" s="93">
        <f>SUM('1:2'!Z380)</f>
        <v>0</v>
      </c>
      <c r="AA380" s="93">
        <f>SUM('1:2'!AA380)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30100024</v>
      </c>
      <c r="B381" s="61" t="s">
        <v>78</v>
      </c>
      <c r="C381" s="16" t="s">
        <v>75</v>
      </c>
      <c r="D381" s="17">
        <v>5.08</v>
      </c>
      <c r="E381" s="17"/>
      <c r="F381" s="6"/>
      <c r="G381" s="93">
        <f>SUM('1:2'!G381)</f>
        <v>0</v>
      </c>
      <c r="H381" s="246">
        <f t="shared" si="147"/>
        <v>0</v>
      </c>
      <c r="I381" s="93">
        <f>SUM('1:2'!I381)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SUM('1:2'!O381)</f>
        <v>0</v>
      </c>
      <c r="P381" s="93">
        <f>SUM('1:2'!P381)</f>
        <v>0</v>
      </c>
      <c r="Q381" s="93">
        <f>SUM('1:2'!Q381)</f>
        <v>0</v>
      </c>
      <c r="R381" s="93">
        <f>SUM('1:2'!R381)</f>
        <v>0</v>
      </c>
      <c r="S381" s="93">
        <f>SUM('1:2'!S381)</f>
        <v>0</v>
      </c>
      <c r="T381" s="93">
        <f>SUM('1:2'!T381)</f>
        <v>0</v>
      </c>
      <c r="U381" s="93">
        <f>SUM('1:2'!U381)</f>
        <v>0</v>
      </c>
      <c r="V381" s="206">
        <f t="shared" si="157"/>
        <v>0</v>
      </c>
      <c r="W381" s="33" t="str">
        <f t="shared" si="158"/>
        <v/>
      </c>
      <c r="X381" s="93">
        <f>SUM('1:2'!X381)</f>
        <v>0</v>
      </c>
      <c r="Y381" s="93">
        <f>SUM('1:2'!Y381)</f>
        <v>0</v>
      </c>
      <c r="Z381" s="93">
        <f>SUM('1:2'!Z381)</f>
        <v>0</v>
      </c>
      <c r="AA381" s="93">
        <f>SUM('1:2'!AA381)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30100022</v>
      </c>
      <c r="B382" s="61" t="s">
        <v>78</v>
      </c>
      <c r="C382" s="16" t="s">
        <v>60</v>
      </c>
      <c r="D382" s="17">
        <v>5.08</v>
      </c>
      <c r="E382" s="17"/>
      <c r="F382" s="6"/>
      <c r="G382" s="93">
        <f>SUM('1:2'!G382)</f>
        <v>0</v>
      </c>
      <c r="H382" s="246">
        <f t="shared" si="147"/>
        <v>0</v>
      </c>
      <c r="I382" s="93">
        <f>SUM('1:2'!I382)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SUM('1:2'!O382)</f>
        <v>0</v>
      </c>
      <c r="P382" s="93">
        <f>SUM('1:2'!P382)</f>
        <v>0</v>
      </c>
      <c r="Q382" s="93">
        <f>SUM('1:2'!Q382)</f>
        <v>0</v>
      </c>
      <c r="R382" s="93">
        <f>SUM('1:2'!R382)</f>
        <v>0</v>
      </c>
      <c r="S382" s="93">
        <f>SUM('1:2'!S382)</f>
        <v>0</v>
      </c>
      <c r="T382" s="93">
        <f>SUM('1:2'!T382)</f>
        <v>0</v>
      </c>
      <c r="U382" s="93">
        <f>SUM('1:2'!U382)</f>
        <v>0</v>
      </c>
      <c r="V382" s="206">
        <f t="shared" si="157"/>
        <v>0</v>
      </c>
      <c r="W382" s="33" t="str">
        <f t="shared" si="158"/>
        <v/>
      </c>
      <c r="X382" s="93">
        <f>SUM('1:2'!X382)</f>
        <v>0</v>
      </c>
      <c r="Y382" s="93">
        <f>SUM('1:2'!Y382)</f>
        <v>0</v>
      </c>
      <c r="Z382" s="93">
        <f>SUM('1:2'!Z382)</f>
        <v>0</v>
      </c>
      <c r="AA382" s="93">
        <f>SUM('1:2'!AA382)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30100029</v>
      </c>
      <c r="B383" s="61" t="s">
        <v>78</v>
      </c>
      <c r="C383" s="16" t="s">
        <v>72</v>
      </c>
      <c r="D383" s="17">
        <v>5.08</v>
      </c>
      <c r="E383" s="17"/>
      <c r="F383" s="6"/>
      <c r="G383" s="93">
        <f>SUM('1:2'!G383)</f>
        <v>0</v>
      </c>
      <c r="H383" s="246">
        <f t="shared" si="147"/>
        <v>0</v>
      </c>
      <c r="I383" s="93">
        <f>SUM('1:2'!I383)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SUM('1:2'!O383)</f>
        <v>0</v>
      </c>
      <c r="P383" s="93">
        <f>SUM('1:2'!P383)</f>
        <v>0</v>
      </c>
      <c r="Q383" s="93">
        <f>SUM('1:2'!Q383)</f>
        <v>0</v>
      </c>
      <c r="R383" s="93">
        <f>SUM('1:2'!R383)</f>
        <v>0</v>
      </c>
      <c r="S383" s="93">
        <f>SUM('1:2'!S383)</f>
        <v>0</v>
      </c>
      <c r="T383" s="93">
        <f>SUM('1:2'!T383)</f>
        <v>0</v>
      </c>
      <c r="U383" s="93">
        <f>SUM('1:2'!U383)</f>
        <v>0</v>
      </c>
      <c r="V383" s="206">
        <f t="shared" si="157"/>
        <v>0</v>
      </c>
      <c r="W383" s="33" t="str">
        <f t="shared" si="158"/>
        <v/>
      </c>
      <c r="X383" s="93">
        <f>SUM('1:2'!X383)</f>
        <v>0</v>
      </c>
      <c r="Y383" s="93">
        <f>SUM('1:2'!Y383)</f>
        <v>0</v>
      </c>
      <c r="Z383" s="93">
        <f>SUM('1:2'!Z383)</f>
        <v>0</v>
      </c>
      <c r="AA383" s="93">
        <f>SUM('1:2'!AA383)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30100026</v>
      </c>
      <c r="B384" s="61" t="s">
        <v>78</v>
      </c>
      <c r="C384" s="16" t="s">
        <v>73</v>
      </c>
      <c r="D384" s="17">
        <v>5.08</v>
      </c>
      <c r="E384" s="17"/>
      <c r="F384" s="6"/>
      <c r="G384" s="93">
        <f>SUM('1:2'!G384)</f>
        <v>0</v>
      </c>
      <c r="H384" s="246">
        <f t="shared" si="147"/>
        <v>0</v>
      </c>
      <c r="I384" s="93">
        <f>SUM('1:2'!I384)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SUM('1:2'!O384)</f>
        <v>0</v>
      </c>
      <c r="P384" s="93">
        <f>SUM('1:2'!P384)</f>
        <v>0</v>
      </c>
      <c r="Q384" s="93">
        <f>SUM('1:2'!Q384)</f>
        <v>0</v>
      </c>
      <c r="R384" s="93">
        <f>SUM('1:2'!R384)</f>
        <v>0</v>
      </c>
      <c r="S384" s="93">
        <f>SUM('1:2'!S384)</f>
        <v>0</v>
      </c>
      <c r="T384" s="93">
        <f>SUM('1:2'!T384)</f>
        <v>0</v>
      </c>
      <c r="U384" s="93">
        <f>SUM('1:2'!U384)</f>
        <v>0</v>
      </c>
      <c r="V384" s="206">
        <f t="shared" si="157"/>
        <v>0</v>
      </c>
      <c r="W384" s="33" t="str">
        <f t="shared" si="158"/>
        <v/>
      </c>
      <c r="X384" s="93">
        <f>SUM('1:2'!X384)</f>
        <v>0</v>
      </c>
      <c r="Y384" s="93">
        <f>SUM('1:2'!Y384)</f>
        <v>0</v>
      </c>
      <c r="Z384" s="93">
        <f>SUM('1:2'!Z384)</f>
        <v>0</v>
      </c>
      <c r="AA384" s="93">
        <f>SUM('1:2'!AA384)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30100025</v>
      </c>
      <c r="B385" s="61" t="s">
        <v>78</v>
      </c>
      <c r="C385" s="16" t="s">
        <v>61</v>
      </c>
      <c r="D385" s="17">
        <v>5.08</v>
      </c>
      <c r="E385" s="17"/>
      <c r="F385" s="6"/>
      <c r="G385" s="93">
        <f>SUM('1:2'!G385)</f>
        <v>0</v>
      </c>
      <c r="H385" s="246">
        <f t="shared" si="147"/>
        <v>0</v>
      </c>
      <c r="I385" s="93">
        <f>SUM('1:2'!I385)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21</v>
      </c>
      <c r="M385" s="36">
        <f t="shared" si="152"/>
        <v>0</v>
      </c>
      <c r="N385" s="31">
        <f t="shared" si="156"/>
        <v>0</v>
      </c>
      <c r="O385" s="93">
        <f>SUM('1:2'!O385)</f>
        <v>0</v>
      </c>
      <c r="P385" s="93">
        <f>SUM('1:2'!P385)</f>
        <v>0</v>
      </c>
      <c r="Q385" s="93">
        <f>SUM('1:2'!Q385)</f>
        <v>0</v>
      </c>
      <c r="R385" s="93">
        <f>SUM('1:2'!R385)</f>
        <v>0</v>
      </c>
      <c r="S385" s="93">
        <f>SUM('1:2'!S385)</f>
        <v>0</v>
      </c>
      <c r="T385" s="93">
        <f>SUM('1:2'!T385)</f>
        <v>0</v>
      </c>
      <c r="U385" s="93">
        <f>SUM('1:2'!U385)</f>
        <v>0</v>
      </c>
      <c r="V385" s="206">
        <f t="shared" si="157"/>
        <v>0</v>
      </c>
      <c r="W385" s="33" t="str">
        <f t="shared" si="158"/>
        <v/>
      </c>
      <c r="X385" s="93">
        <f>SUM('1:2'!X385)</f>
        <v>0</v>
      </c>
      <c r="Y385" s="93">
        <f>SUM('1:2'!Y385)</f>
        <v>0</v>
      </c>
      <c r="Z385" s="93">
        <f>SUM('1:2'!Z385)</f>
        <v>0</v>
      </c>
      <c r="AA385" s="93">
        <f>SUM('1:2'!AA385)</f>
        <v>0</v>
      </c>
      <c r="AB385" s="358">
        <v>0.49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30100028</v>
      </c>
      <c r="B386" s="61" t="s">
        <v>78</v>
      </c>
      <c r="C386" s="16" t="s">
        <v>77</v>
      </c>
      <c r="D386" s="17">
        <v>5.08</v>
      </c>
      <c r="E386" s="17"/>
      <c r="F386" s="6"/>
      <c r="G386" s="93">
        <f>SUM('1:2'!G386)</f>
        <v>0</v>
      </c>
      <c r="H386" s="246">
        <f t="shared" si="147"/>
        <v>0</v>
      </c>
      <c r="I386" s="93">
        <f>SUM('1:2'!I386)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21</v>
      </c>
      <c r="M386" s="36">
        <f t="shared" si="152"/>
        <v>0</v>
      </c>
      <c r="N386" s="31">
        <f t="shared" si="156"/>
        <v>0</v>
      </c>
      <c r="O386" s="93">
        <f>SUM('1:2'!O386)</f>
        <v>0</v>
      </c>
      <c r="P386" s="93">
        <f>SUM('1:2'!P386)</f>
        <v>0</v>
      </c>
      <c r="Q386" s="93">
        <f>SUM('1:2'!Q386)</f>
        <v>0</v>
      </c>
      <c r="R386" s="93">
        <f>SUM('1:2'!R386)</f>
        <v>0</v>
      </c>
      <c r="S386" s="93">
        <f>SUM('1:2'!S386)</f>
        <v>0</v>
      </c>
      <c r="T386" s="93">
        <f>SUM('1:2'!T386)</f>
        <v>0</v>
      </c>
      <c r="U386" s="93">
        <f>SUM('1:2'!U386)</f>
        <v>0</v>
      </c>
      <c r="V386" s="206">
        <f t="shared" si="157"/>
        <v>0</v>
      </c>
      <c r="W386" s="33" t="str">
        <f t="shared" si="158"/>
        <v/>
      </c>
      <c r="X386" s="93">
        <f>SUM('1:2'!X386)</f>
        <v>0</v>
      </c>
      <c r="Y386" s="93">
        <f>SUM('1:2'!Y386)</f>
        <v>0</v>
      </c>
      <c r="Z386" s="93">
        <f>SUM('1:2'!Z386)</f>
        <v>0</v>
      </c>
      <c r="AA386" s="93">
        <f>SUM('1:2'!AA386)</f>
        <v>0</v>
      </c>
      <c r="AB386" s="358">
        <v>0.49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30100032</v>
      </c>
      <c r="B387" s="61" t="s">
        <v>79</v>
      </c>
      <c r="C387" s="16" t="s">
        <v>65</v>
      </c>
      <c r="D387" s="17">
        <v>5.03</v>
      </c>
      <c r="E387" s="17"/>
      <c r="F387" s="6"/>
      <c r="G387" s="93">
        <f>SUM('1:2'!G387)</f>
        <v>0</v>
      </c>
      <c r="H387" s="246">
        <f t="shared" si="147"/>
        <v>0</v>
      </c>
      <c r="I387" s="93">
        <f>SUM('1:2'!I387)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SUM('1:2'!O387)</f>
        <v>0</v>
      </c>
      <c r="P387" s="93">
        <f>SUM('1:2'!P387)</f>
        <v>0</v>
      </c>
      <c r="Q387" s="93">
        <f>SUM('1:2'!Q387)</f>
        <v>0</v>
      </c>
      <c r="R387" s="93">
        <f>SUM('1:2'!R387)</f>
        <v>0</v>
      </c>
      <c r="S387" s="93">
        <f>SUM('1:2'!S387)</f>
        <v>0</v>
      </c>
      <c r="T387" s="93">
        <f>SUM('1:2'!T387)</f>
        <v>0</v>
      </c>
      <c r="U387" s="93">
        <f>SUM('1:2'!U387)</f>
        <v>0</v>
      </c>
      <c r="V387" s="206">
        <f t="shared" si="157"/>
        <v>0</v>
      </c>
      <c r="W387" s="33" t="str">
        <f t="shared" si="158"/>
        <v/>
      </c>
      <c r="X387" s="93">
        <f>SUM('1:2'!X387)</f>
        <v>0</v>
      </c>
      <c r="Y387" s="93">
        <f>SUM('1:2'!Y387)</f>
        <v>0</v>
      </c>
      <c r="Z387" s="93">
        <f>SUM('1:2'!Z387)</f>
        <v>0</v>
      </c>
      <c r="AA387" s="93">
        <f>SUM('1:2'!AA387)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30100033</v>
      </c>
      <c r="B388" s="61" t="s">
        <v>79</v>
      </c>
      <c r="C388" s="16" t="s">
        <v>53</v>
      </c>
      <c r="D388" s="17">
        <v>5.03</v>
      </c>
      <c r="E388" s="17"/>
      <c r="F388" s="6"/>
      <c r="G388" s="93">
        <f>SUM('1:2'!G388)</f>
        <v>0</v>
      </c>
      <c r="H388" s="246">
        <f t="shared" si="147"/>
        <v>0</v>
      </c>
      <c r="I388" s="93">
        <f>SUM('1:2'!I388)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SUM('1:2'!O388)</f>
        <v>0</v>
      </c>
      <c r="P388" s="93">
        <f>SUM('1:2'!P388)</f>
        <v>0</v>
      </c>
      <c r="Q388" s="93">
        <f>SUM('1:2'!Q388)</f>
        <v>0</v>
      </c>
      <c r="R388" s="93">
        <f>SUM('1:2'!R388)</f>
        <v>0</v>
      </c>
      <c r="S388" s="93">
        <f>SUM('1:2'!S388)</f>
        <v>0</v>
      </c>
      <c r="T388" s="93">
        <f>SUM('1:2'!T388)</f>
        <v>0</v>
      </c>
      <c r="U388" s="93">
        <f>SUM('1:2'!U388)</f>
        <v>0</v>
      </c>
      <c r="V388" s="206">
        <f t="shared" si="157"/>
        <v>0</v>
      </c>
      <c r="W388" s="33" t="str">
        <f t="shared" si="158"/>
        <v/>
      </c>
      <c r="X388" s="93">
        <f>SUM('1:2'!X388)</f>
        <v>0</v>
      </c>
      <c r="Y388" s="93">
        <f>SUM('1:2'!Y388)</f>
        <v>0</v>
      </c>
      <c r="Z388" s="93">
        <f>SUM('1:2'!Z388)</f>
        <v>0</v>
      </c>
      <c r="AA388" s="93">
        <f>SUM('1:2'!AA388)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30100062</v>
      </c>
      <c r="B389" s="61" t="s">
        <v>79</v>
      </c>
      <c r="C389" s="16" t="s">
        <v>66</v>
      </c>
      <c r="D389" s="17">
        <v>5.03</v>
      </c>
      <c r="E389" s="17"/>
      <c r="F389" s="6"/>
      <c r="G389" s="93">
        <f>SUM('1:2'!G389)</f>
        <v>0</v>
      </c>
      <c r="H389" s="246">
        <f t="shared" si="147"/>
        <v>0</v>
      </c>
      <c r="I389" s="93">
        <f>SUM('1:2'!I389)</f>
        <v>0</v>
      </c>
      <c r="J389" s="31" t="str">
        <f t="array" ref="J389">IF(ISERROR(G389/I389),"",G389/I389)</f>
        <v/>
      </c>
      <c r="K389" s="35">
        <f t="array" ref="K389">IF(ISERROR(G389/L389),"",G389/L389)</f>
        <v>0</v>
      </c>
      <c r="L389" s="87">
        <v>56</v>
      </c>
      <c r="M389" s="36">
        <f t="shared" si="152"/>
        <v>0</v>
      </c>
      <c r="N389" s="31">
        <f t="shared" si="156"/>
        <v>0</v>
      </c>
      <c r="O389" s="93">
        <f>SUM('1:2'!O389)</f>
        <v>0</v>
      </c>
      <c r="P389" s="93">
        <f>SUM('1:2'!P389)</f>
        <v>0</v>
      </c>
      <c r="Q389" s="93">
        <f>SUM('1:2'!Q389)</f>
        <v>0</v>
      </c>
      <c r="R389" s="93">
        <f>SUM('1:2'!R389)</f>
        <v>0</v>
      </c>
      <c r="S389" s="93">
        <f>SUM('1:2'!S389)</f>
        <v>0</v>
      </c>
      <c r="T389" s="93">
        <f>SUM('1:2'!T389)</f>
        <v>0</v>
      </c>
      <c r="U389" s="93">
        <f>SUM('1:2'!U389)</f>
        <v>0</v>
      </c>
      <c r="V389" s="206">
        <f t="shared" si="157"/>
        <v>0</v>
      </c>
      <c r="W389" s="33" t="str">
        <f t="shared" si="158"/>
        <v/>
      </c>
      <c r="X389" s="93">
        <f>SUM('1:2'!X389)</f>
        <v>0</v>
      </c>
      <c r="Y389" s="93">
        <f>SUM('1:2'!Y389)</f>
        <v>0</v>
      </c>
      <c r="Z389" s="93">
        <f>SUM('1:2'!Z389)</f>
        <v>0</v>
      </c>
      <c r="AA389" s="93">
        <f>SUM('1:2'!AA389)</f>
        <v>0</v>
      </c>
      <c r="AB389" s="358">
        <v>0.18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30100031</v>
      </c>
      <c r="B390" s="61" t="s">
        <v>79</v>
      </c>
      <c r="C390" s="16" t="s">
        <v>74</v>
      </c>
      <c r="D390" s="17">
        <v>5.03</v>
      </c>
      <c r="E390" s="17"/>
      <c r="F390" s="6"/>
      <c r="G390" s="93">
        <f>SUM('1:2'!G390)</f>
        <v>0</v>
      </c>
      <c r="H390" s="246">
        <f t="shared" si="147"/>
        <v>0</v>
      </c>
      <c r="I390" s="93">
        <f>SUM('1:2'!I390)</f>
        <v>0</v>
      </c>
      <c r="J390" s="31" t="str">
        <f t="array" ref="J390">IF(ISERROR(G390/I390),"",G390/I390)</f>
        <v/>
      </c>
      <c r="K390" s="35">
        <f t="array" ref="K390">IF(ISERROR(G390/L390),"",G390/L390)</f>
        <v>0</v>
      </c>
      <c r="L390" s="87">
        <v>56</v>
      </c>
      <c r="M390" s="36">
        <f t="shared" si="152"/>
        <v>0</v>
      </c>
      <c r="N390" s="31">
        <f t="shared" si="156"/>
        <v>0</v>
      </c>
      <c r="O390" s="93">
        <f>SUM('1:2'!O390)</f>
        <v>0</v>
      </c>
      <c r="P390" s="93">
        <f>SUM('1:2'!P390)</f>
        <v>0</v>
      </c>
      <c r="Q390" s="93">
        <f>SUM('1:2'!Q390)</f>
        <v>0</v>
      </c>
      <c r="R390" s="93">
        <f>SUM('1:2'!R390)</f>
        <v>0</v>
      </c>
      <c r="S390" s="93">
        <f>SUM('1:2'!S390)</f>
        <v>0</v>
      </c>
      <c r="T390" s="93">
        <f>SUM('1:2'!T390)</f>
        <v>0</v>
      </c>
      <c r="U390" s="93">
        <f>SUM('1:2'!U390)</f>
        <v>0</v>
      </c>
      <c r="V390" s="206">
        <f t="shared" si="157"/>
        <v>0</v>
      </c>
      <c r="W390" s="33" t="str">
        <f t="shared" si="158"/>
        <v/>
      </c>
      <c r="X390" s="93">
        <f>SUM('1:2'!X390)</f>
        <v>0</v>
      </c>
      <c r="Y390" s="93">
        <f>SUM('1:2'!Y390)</f>
        <v>0</v>
      </c>
      <c r="Z390" s="93">
        <f>SUM('1:2'!Z390)</f>
        <v>0</v>
      </c>
      <c r="AA390" s="93">
        <f>SUM('1:2'!AA390)</f>
        <v>0</v>
      </c>
      <c r="AB390" s="358">
        <v>0.18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30100019</v>
      </c>
      <c r="B391" s="61" t="s">
        <v>385</v>
      </c>
      <c r="C391" s="16" t="s">
        <v>386</v>
      </c>
      <c r="D391" s="17">
        <v>5.03</v>
      </c>
      <c r="E391" s="17"/>
      <c r="F391" s="6"/>
      <c r="G391" s="93">
        <f>SUM('1:2'!G391)</f>
        <v>0</v>
      </c>
      <c r="H391" s="246">
        <f t="shared" si="147"/>
        <v>0</v>
      </c>
      <c r="I391" s="93">
        <f>SUM('1:2'!I391)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SUM('1:2'!O391)</f>
        <v>0</v>
      </c>
      <c r="P391" s="93">
        <f>SUM('1:2'!P391)</f>
        <v>0</v>
      </c>
      <c r="Q391" s="93">
        <f>SUM('1:2'!Q391)</f>
        <v>0</v>
      </c>
      <c r="R391" s="93">
        <f>SUM('1:2'!R391)</f>
        <v>0</v>
      </c>
      <c r="S391" s="93">
        <f>SUM('1:2'!S391)</f>
        <v>0</v>
      </c>
      <c r="T391" s="93">
        <f>SUM('1:2'!T391)</f>
        <v>0</v>
      </c>
      <c r="U391" s="93">
        <f>SUM('1:2'!U391)</f>
        <v>0</v>
      </c>
      <c r="V391" s="206"/>
      <c r="W391" s="33"/>
      <c r="X391" s="93">
        <f>SUM('1:2'!X391)</f>
        <v>0</v>
      </c>
      <c r="Y391" s="93">
        <f>SUM('1:2'!Y391)</f>
        <v>0</v>
      </c>
      <c r="Z391" s="93">
        <f>SUM('1:2'!Z391)</f>
        <v>0</v>
      </c>
      <c r="AA391" s="93">
        <f>SUM('1:2'!AA391)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30100020</v>
      </c>
      <c r="B392" s="61" t="s">
        <v>385</v>
      </c>
      <c r="C392" s="16" t="s">
        <v>387</v>
      </c>
      <c r="D392" s="17">
        <v>5.03</v>
      </c>
      <c r="E392" s="17"/>
      <c r="F392" s="6"/>
      <c r="G392" s="93">
        <f>SUM('1:2'!G392)</f>
        <v>0</v>
      </c>
      <c r="H392" s="246">
        <f t="shared" si="147"/>
        <v>0</v>
      </c>
      <c r="I392" s="93">
        <f>SUM('1:2'!I392)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SUM('1:2'!O392)</f>
        <v>0</v>
      </c>
      <c r="P392" s="93">
        <f>SUM('1:2'!P392)</f>
        <v>0</v>
      </c>
      <c r="Q392" s="93">
        <f>SUM('1:2'!Q392)</f>
        <v>0</v>
      </c>
      <c r="R392" s="93">
        <f>SUM('1:2'!R392)</f>
        <v>0</v>
      </c>
      <c r="S392" s="93">
        <f>SUM('1:2'!S392)</f>
        <v>0</v>
      </c>
      <c r="T392" s="93">
        <f>SUM('1:2'!T392)</f>
        <v>0</v>
      </c>
      <c r="U392" s="93">
        <f>SUM('1:2'!U392)</f>
        <v>0</v>
      </c>
      <c r="V392" s="206"/>
      <c r="W392" s="33"/>
      <c r="X392" s="93">
        <f>SUM('1:2'!X392)</f>
        <v>0</v>
      </c>
      <c r="Y392" s="93">
        <f>SUM('1:2'!Y392)</f>
        <v>0</v>
      </c>
      <c r="Z392" s="93">
        <f>SUM('1:2'!Z392)</f>
        <v>0</v>
      </c>
      <c r="AA392" s="93">
        <f>SUM('1:2'!AA392)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6">
        <v>30100021</v>
      </c>
      <c r="B393" s="190" t="s">
        <v>382</v>
      </c>
      <c r="C393" s="16" t="s">
        <v>389</v>
      </c>
      <c r="D393" s="17">
        <v>5.03</v>
      </c>
      <c r="E393" s="17"/>
      <c r="F393" s="6"/>
      <c r="G393" s="93">
        <f>SUM('1:2'!G393)</f>
        <v>0</v>
      </c>
      <c r="H393" s="246">
        <f t="shared" si="147"/>
        <v>0</v>
      </c>
      <c r="I393" s="93">
        <f>SUM('1:2'!I393)</f>
        <v>0</v>
      </c>
      <c r="J393" s="31"/>
      <c r="K393" s="35">
        <f t="array" ref="K393">IF(ISERROR(G393/L393),"",G393/L393)</f>
        <v>0</v>
      </c>
      <c r="L393" s="87">
        <v>54</v>
      </c>
      <c r="M393" s="36">
        <f t="shared" si="152"/>
        <v>0</v>
      </c>
      <c r="N393" s="31">
        <f t="shared" si="156"/>
        <v>0</v>
      </c>
      <c r="O393" s="93">
        <f>SUM('1:2'!O393)</f>
        <v>0</v>
      </c>
      <c r="P393" s="93">
        <f>SUM('1:2'!P393)</f>
        <v>0</v>
      </c>
      <c r="Q393" s="93">
        <f>SUM('1:2'!Q393)</f>
        <v>0</v>
      </c>
      <c r="R393" s="93">
        <f>SUM('1:2'!R393)</f>
        <v>0</v>
      </c>
      <c r="S393" s="93">
        <f>SUM('1:2'!S393)</f>
        <v>0</v>
      </c>
      <c r="T393" s="93">
        <f>SUM('1:2'!T393)</f>
        <v>0</v>
      </c>
      <c r="U393" s="93">
        <f>SUM('1:2'!U393)</f>
        <v>0</v>
      </c>
      <c r="V393" s="206"/>
      <c r="W393" s="33"/>
      <c r="X393" s="93">
        <f>SUM('1:2'!X393)</f>
        <v>0</v>
      </c>
      <c r="Y393" s="93">
        <f>SUM('1:2'!Y393)</f>
        <v>0</v>
      </c>
      <c r="Z393" s="93">
        <f>SUM('1:2'!Z393)</f>
        <v>0</v>
      </c>
      <c r="AA393" s="93">
        <f>SUM('1:2'!AA393)</f>
        <v>0</v>
      </c>
      <c r="AB393" s="358">
        <v>0.19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6">
        <v>30100018</v>
      </c>
      <c r="B394" s="190" t="s">
        <v>382</v>
      </c>
      <c r="C394" s="16" t="s">
        <v>391</v>
      </c>
      <c r="D394" s="17">
        <v>5.03</v>
      </c>
      <c r="E394" s="17"/>
      <c r="F394" s="6"/>
      <c r="G394" s="93">
        <f>SUM('1:2'!G394)</f>
        <v>0</v>
      </c>
      <c r="H394" s="246">
        <f t="shared" si="147"/>
        <v>0</v>
      </c>
      <c r="I394" s="93">
        <f>SUM('1:2'!I394)</f>
        <v>0</v>
      </c>
      <c r="J394" s="31"/>
      <c r="K394" s="35">
        <f t="array" ref="K394">IF(ISERROR(G394/L394),"",G394/L394)</f>
        <v>0</v>
      </c>
      <c r="L394" s="87">
        <v>54</v>
      </c>
      <c r="M394" s="36">
        <f t="shared" si="152"/>
        <v>0</v>
      </c>
      <c r="N394" s="31">
        <f t="shared" si="156"/>
        <v>0</v>
      </c>
      <c r="O394" s="93">
        <f>SUM('1:2'!O394)</f>
        <v>0</v>
      </c>
      <c r="P394" s="93">
        <f>SUM('1:2'!P394)</f>
        <v>0</v>
      </c>
      <c r="Q394" s="93">
        <f>SUM('1:2'!Q394)</f>
        <v>0</v>
      </c>
      <c r="R394" s="93">
        <f>SUM('1:2'!R394)</f>
        <v>0</v>
      </c>
      <c r="S394" s="93">
        <f>SUM('1:2'!S394)</f>
        <v>0</v>
      </c>
      <c r="T394" s="93">
        <f>SUM('1:2'!T394)</f>
        <v>0</v>
      </c>
      <c r="U394" s="93">
        <f>SUM('1:2'!U394)</f>
        <v>0</v>
      </c>
      <c r="V394" s="206"/>
      <c r="W394" s="33"/>
      <c r="X394" s="93">
        <f>SUM('1:2'!X394)</f>
        <v>0</v>
      </c>
      <c r="Y394" s="93">
        <f>SUM('1:2'!Y394)</f>
        <v>0</v>
      </c>
      <c r="Z394" s="93">
        <f>SUM('1:2'!Z394)</f>
        <v>0</v>
      </c>
      <c r="AA394" s="93">
        <f>SUM('1:2'!AA394)</f>
        <v>0</v>
      </c>
      <c r="AB394" s="358">
        <v>0.19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30700007</v>
      </c>
      <c r="B395" s="190" t="s">
        <v>418</v>
      </c>
      <c r="C395" s="187" t="s">
        <v>364</v>
      </c>
      <c r="D395" s="17">
        <v>5.03</v>
      </c>
      <c r="E395" s="17"/>
      <c r="F395" s="6"/>
      <c r="G395" s="93">
        <f>SUM('1:2'!G395)</f>
        <v>0</v>
      </c>
      <c r="H395" s="246">
        <f t="shared" si="147"/>
        <v>0</v>
      </c>
      <c r="I395" s="93">
        <f>SUM('1:2'!I395)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SUM('1:2'!O395)</f>
        <v>0</v>
      </c>
      <c r="P395" s="93">
        <f>SUM('1:2'!P395)</f>
        <v>0</v>
      </c>
      <c r="Q395" s="93">
        <f>SUM('1:2'!Q395)</f>
        <v>0</v>
      </c>
      <c r="R395" s="93">
        <f>SUM('1:2'!R395)</f>
        <v>0</v>
      </c>
      <c r="S395" s="93">
        <f>SUM('1:2'!S395)</f>
        <v>0</v>
      </c>
      <c r="T395" s="93">
        <f>SUM('1:2'!T395)</f>
        <v>0</v>
      </c>
      <c r="U395" s="93">
        <f>SUM('1:2'!U395)</f>
        <v>0</v>
      </c>
      <c r="V395" s="206"/>
      <c r="W395" s="33"/>
      <c r="X395" s="93">
        <f>SUM('1:2'!X395)</f>
        <v>0</v>
      </c>
      <c r="Y395" s="93">
        <f>SUM('1:2'!Y395)</f>
        <v>0</v>
      </c>
      <c r="Z395" s="93">
        <f>SUM('1:2'!Z395)</f>
        <v>0</v>
      </c>
      <c r="AA395" s="93">
        <f>SUM('1:2'!AA395)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30700006</v>
      </c>
      <c r="B396" s="190" t="s">
        <v>418</v>
      </c>
      <c r="C396" s="187" t="s">
        <v>365</v>
      </c>
      <c r="D396" s="17">
        <v>5.03</v>
      </c>
      <c r="E396" s="17"/>
      <c r="F396" s="6"/>
      <c r="G396" s="93">
        <f>SUM('1:2'!G396)</f>
        <v>0</v>
      </c>
      <c r="H396" s="246">
        <f t="shared" si="147"/>
        <v>0</v>
      </c>
      <c r="I396" s="93">
        <f>SUM('1:2'!I396)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SUM('1:2'!O396)</f>
        <v>0</v>
      </c>
      <c r="P396" s="93">
        <f>SUM('1:2'!P396)</f>
        <v>0</v>
      </c>
      <c r="Q396" s="93">
        <f>SUM('1:2'!Q396)</f>
        <v>0</v>
      </c>
      <c r="R396" s="93">
        <f>SUM('1:2'!R396)</f>
        <v>0</v>
      </c>
      <c r="S396" s="93">
        <f>SUM('1:2'!S396)</f>
        <v>0</v>
      </c>
      <c r="T396" s="93">
        <f>SUM('1:2'!T396)</f>
        <v>0</v>
      </c>
      <c r="U396" s="93">
        <f>SUM('1:2'!U396)</f>
        <v>0</v>
      </c>
      <c r="V396" s="206"/>
      <c r="W396" s="33"/>
      <c r="X396" s="93">
        <f>SUM('1:2'!X396)</f>
        <v>0</v>
      </c>
      <c r="Y396" s="93">
        <f>SUM('1:2'!Y396)</f>
        <v>0</v>
      </c>
      <c r="Z396" s="93">
        <f>SUM('1:2'!Z396)</f>
        <v>0</v>
      </c>
      <c r="AA396" s="93">
        <f>SUM('1:2'!AA396)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9">
        <v>30700008</v>
      </c>
      <c r="B397" s="190" t="s">
        <v>418</v>
      </c>
      <c r="C397" s="187" t="s">
        <v>366</v>
      </c>
      <c r="D397" s="17">
        <v>5.03</v>
      </c>
      <c r="E397" s="17"/>
      <c r="F397" s="6"/>
      <c r="G397" s="93">
        <f>SUM('1:2'!G397)</f>
        <v>0</v>
      </c>
      <c r="H397" s="246">
        <f t="shared" si="147"/>
        <v>0</v>
      </c>
      <c r="I397" s="93">
        <f>SUM('1:2'!I397)</f>
        <v>0</v>
      </c>
      <c r="J397" s="31"/>
      <c r="K397" s="35">
        <f t="array" ref="K397">IF(ISERROR(G397/L397),"",G397/L397)</f>
        <v>0</v>
      </c>
      <c r="L397" s="87">
        <v>4</v>
      </c>
      <c r="M397" s="36">
        <f t="shared" si="152"/>
        <v>0</v>
      </c>
      <c r="N397" s="31"/>
      <c r="O397" s="93">
        <f>SUM('1:2'!O397)</f>
        <v>0</v>
      </c>
      <c r="P397" s="93">
        <f>SUM('1:2'!P397)</f>
        <v>0</v>
      </c>
      <c r="Q397" s="93">
        <f>SUM('1:2'!Q397)</f>
        <v>0</v>
      </c>
      <c r="R397" s="93">
        <f>SUM('1:2'!R397)</f>
        <v>0</v>
      </c>
      <c r="S397" s="93">
        <f>SUM('1:2'!S397)</f>
        <v>0</v>
      </c>
      <c r="T397" s="93">
        <f>SUM('1:2'!T397)</f>
        <v>0</v>
      </c>
      <c r="U397" s="93">
        <f>SUM('1:2'!U397)</f>
        <v>0</v>
      </c>
      <c r="V397" s="206"/>
      <c r="W397" s="33"/>
      <c r="X397" s="93">
        <f>SUM('1:2'!X397)</f>
        <v>0</v>
      </c>
      <c r="Y397" s="93">
        <f>SUM('1:2'!Y397)</f>
        <v>0</v>
      </c>
      <c r="Z397" s="93">
        <f>SUM('1:2'!Z397)</f>
        <v>0</v>
      </c>
      <c r="AA397" s="93">
        <f>SUM('1:2'!AA397)</f>
        <v>0</v>
      </c>
      <c r="AB397" s="361">
        <v>0.94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9">
        <v>30700009</v>
      </c>
      <c r="B398" s="190" t="s">
        <v>418</v>
      </c>
      <c r="C398" s="187" t="s">
        <v>367</v>
      </c>
      <c r="D398" s="17">
        <v>5.03</v>
      </c>
      <c r="E398" s="17"/>
      <c r="F398" s="6"/>
      <c r="G398" s="93">
        <f>SUM('1:2'!G398)</f>
        <v>0</v>
      </c>
      <c r="H398" s="246">
        <f t="shared" si="147"/>
        <v>0</v>
      </c>
      <c r="I398" s="93">
        <f>SUM('1:2'!I398)</f>
        <v>0</v>
      </c>
      <c r="J398" s="31"/>
      <c r="K398" s="35">
        <f t="array" ref="K398">IF(ISERROR(G398/L398),"",G398/L398)</f>
        <v>0</v>
      </c>
      <c r="L398" s="87">
        <v>4</v>
      </c>
      <c r="M398" s="36">
        <f t="shared" si="152"/>
        <v>0</v>
      </c>
      <c r="N398" s="31"/>
      <c r="O398" s="93">
        <f>SUM('1:2'!O398)</f>
        <v>0</v>
      </c>
      <c r="P398" s="93">
        <f>SUM('1:2'!P398)</f>
        <v>0</v>
      </c>
      <c r="Q398" s="93">
        <f>SUM('1:2'!Q398)</f>
        <v>0</v>
      </c>
      <c r="R398" s="93">
        <f>SUM('1:2'!R398)</f>
        <v>0</v>
      </c>
      <c r="S398" s="93">
        <f>SUM('1:2'!S398)</f>
        <v>0</v>
      </c>
      <c r="T398" s="93">
        <f>SUM('1:2'!T398)</f>
        <v>0</v>
      </c>
      <c r="U398" s="93">
        <f>SUM('1:2'!U398)</f>
        <v>0</v>
      </c>
      <c r="V398" s="206"/>
      <c r="W398" s="33"/>
      <c r="X398" s="93">
        <f>SUM('1:2'!X398)</f>
        <v>0</v>
      </c>
      <c r="Y398" s="93">
        <f>SUM('1:2'!Y398)</f>
        <v>0</v>
      </c>
      <c r="Z398" s="93">
        <f>SUM('1:2'!Z398)</f>
        <v>0</v>
      </c>
      <c r="AA398" s="93">
        <f>SUM('1:2'!AA398)</f>
        <v>0</v>
      </c>
      <c r="AB398" s="361">
        <v>0.94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30100036</v>
      </c>
      <c r="B399" s="62" t="s">
        <v>80</v>
      </c>
      <c r="C399" s="16" t="s">
        <v>61</v>
      </c>
      <c r="D399" s="17">
        <v>5.03</v>
      </c>
      <c r="E399" s="17"/>
      <c r="F399" s="6"/>
      <c r="G399" s="93">
        <f>SUM('1:2'!G399)</f>
        <v>0</v>
      </c>
      <c r="H399" s="246">
        <f t="shared" si="147"/>
        <v>0</v>
      </c>
      <c r="I399" s="93">
        <f>SUM('1:2'!I399)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ref="N399:N408" si="159">SUM(O399:U399)</f>
        <v>0</v>
      </c>
      <c r="O399" s="93">
        <f>SUM('1:2'!O399)</f>
        <v>0</v>
      </c>
      <c r="P399" s="93">
        <f>SUM('1:2'!P399)</f>
        <v>0</v>
      </c>
      <c r="Q399" s="93">
        <f>SUM('1:2'!Q399)</f>
        <v>0</v>
      </c>
      <c r="R399" s="93">
        <f>SUM('1:2'!R399)</f>
        <v>0</v>
      </c>
      <c r="S399" s="93">
        <f>SUM('1:2'!S399)</f>
        <v>0</v>
      </c>
      <c r="T399" s="93">
        <f>SUM('1:2'!T399)</f>
        <v>0</v>
      </c>
      <c r="U399" s="93">
        <f>SUM('1:2'!U399)</f>
        <v>0</v>
      </c>
      <c r="V399" s="206">
        <f t="shared" ref="V399:V408" si="160">SUM(X399:AA399)</f>
        <v>0</v>
      </c>
      <c r="W399" s="33" t="str">
        <f t="shared" ref="W399:W408" si="161">IF(ISERROR(V399/G399),"",V399/G399)</f>
        <v/>
      </c>
      <c r="X399" s="93">
        <f>SUM('1:2'!X399)</f>
        <v>0</v>
      </c>
      <c r="Y399" s="93">
        <f>SUM('1:2'!Y399)</f>
        <v>0</v>
      </c>
      <c r="Z399" s="93">
        <f>SUM('1:2'!Z399)</f>
        <v>0</v>
      </c>
      <c r="AA399" s="93">
        <f>SUM('1:2'!AA399)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30100034</v>
      </c>
      <c r="B400" s="62" t="s">
        <v>80</v>
      </c>
      <c r="C400" s="16" t="s">
        <v>60</v>
      </c>
      <c r="D400" s="17">
        <v>5.03</v>
      </c>
      <c r="E400" s="17"/>
      <c r="F400" s="6"/>
      <c r="G400" s="93">
        <f>SUM('1:2'!G400)</f>
        <v>0</v>
      </c>
      <c r="H400" s="246">
        <f t="shared" si="147"/>
        <v>0</v>
      </c>
      <c r="I400" s="93">
        <f>SUM('1:2'!I400)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40</v>
      </c>
      <c r="M400" s="36">
        <f t="shared" si="152"/>
        <v>0</v>
      </c>
      <c r="N400" s="31">
        <f t="shared" si="159"/>
        <v>0</v>
      </c>
      <c r="O400" s="93">
        <f>SUM('1:2'!O400)</f>
        <v>0</v>
      </c>
      <c r="P400" s="93">
        <f>SUM('1:2'!P400)</f>
        <v>0</v>
      </c>
      <c r="Q400" s="93">
        <f>SUM('1:2'!Q400)</f>
        <v>0</v>
      </c>
      <c r="R400" s="93">
        <f>SUM('1:2'!R400)</f>
        <v>0</v>
      </c>
      <c r="S400" s="93">
        <f>SUM('1:2'!S400)</f>
        <v>0</v>
      </c>
      <c r="T400" s="93">
        <f>SUM('1:2'!T400)</f>
        <v>0</v>
      </c>
      <c r="U400" s="93">
        <f>SUM('1:2'!U400)</f>
        <v>0</v>
      </c>
      <c r="V400" s="206">
        <f t="shared" si="160"/>
        <v>0</v>
      </c>
      <c r="W400" s="33" t="str">
        <f t="shared" si="161"/>
        <v/>
      </c>
      <c r="X400" s="93">
        <f>SUM('1:2'!X400)</f>
        <v>0</v>
      </c>
      <c r="Y400" s="93">
        <f>SUM('1:2'!Y400)</f>
        <v>0</v>
      </c>
      <c r="Z400" s="93">
        <f>SUM('1:2'!Z400)</f>
        <v>0</v>
      </c>
      <c r="AA400" s="93">
        <f>SUM('1:2'!AA400)</f>
        <v>0</v>
      </c>
      <c r="AB400" s="358">
        <v>0.19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30100035</v>
      </c>
      <c r="B401" s="62" t="s">
        <v>80</v>
      </c>
      <c r="C401" s="16" t="s">
        <v>65</v>
      </c>
      <c r="D401" s="17">
        <v>5.03</v>
      </c>
      <c r="E401" s="17"/>
      <c r="F401" s="6"/>
      <c r="G401" s="93">
        <f>SUM('1:2'!G401)</f>
        <v>0</v>
      </c>
      <c r="H401" s="246">
        <f t="shared" si="147"/>
        <v>0</v>
      </c>
      <c r="I401" s="93">
        <f>SUM('1:2'!I401)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40</v>
      </c>
      <c r="M401" s="36">
        <f t="shared" si="152"/>
        <v>0</v>
      </c>
      <c r="N401" s="31">
        <f t="shared" si="159"/>
        <v>0</v>
      </c>
      <c r="O401" s="93">
        <f>SUM('1:2'!O401)</f>
        <v>0</v>
      </c>
      <c r="P401" s="93">
        <f>SUM('1:2'!P401)</f>
        <v>0</v>
      </c>
      <c r="Q401" s="93">
        <f>SUM('1:2'!Q401)</f>
        <v>0</v>
      </c>
      <c r="R401" s="93">
        <f>SUM('1:2'!R401)</f>
        <v>0</v>
      </c>
      <c r="S401" s="93">
        <f>SUM('1:2'!S401)</f>
        <v>0</v>
      </c>
      <c r="T401" s="93">
        <f>SUM('1:2'!T401)</f>
        <v>0</v>
      </c>
      <c r="U401" s="93">
        <f>SUM('1:2'!U401)</f>
        <v>0</v>
      </c>
      <c r="V401" s="206">
        <f t="shared" si="160"/>
        <v>0</v>
      </c>
      <c r="W401" s="33" t="str">
        <f t="shared" si="161"/>
        <v/>
      </c>
      <c r="X401" s="93">
        <f>SUM('1:2'!X401)</f>
        <v>0</v>
      </c>
      <c r="Y401" s="93">
        <f>SUM('1:2'!Y401)</f>
        <v>0</v>
      </c>
      <c r="Z401" s="93">
        <f>SUM('1:2'!Z401)</f>
        <v>0</v>
      </c>
      <c r="AA401" s="93">
        <f>SUM('1:2'!AA401)</f>
        <v>0</v>
      </c>
      <c r="AB401" s="358">
        <v>0.19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30100040</v>
      </c>
      <c r="B402" s="62" t="s">
        <v>81</v>
      </c>
      <c r="C402" s="16" t="s">
        <v>82</v>
      </c>
      <c r="D402" s="17">
        <v>5.03</v>
      </c>
      <c r="E402" s="17"/>
      <c r="F402" s="6"/>
      <c r="G402" s="93">
        <f>SUM('1:2'!G402)</f>
        <v>0</v>
      </c>
      <c r="H402" s="246">
        <f t="shared" si="147"/>
        <v>0</v>
      </c>
      <c r="I402" s="93">
        <f>SUM('1:2'!I402)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SUM('1:2'!O402)</f>
        <v>0</v>
      </c>
      <c r="P402" s="93">
        <f>SUM('1:2'!P402)</f>
        <v>0</v>
      </c>
      <c r="Q402" s="93">
        <f>SUM('1:2'!Q402)</f>
        <v>0</v>
      </c>
      <c r="R402" s="93">
        <f>SUM('1:2'!R402)</f>
        <v>0</v>
      </c>
      <c r="S402" s="93">
        <f>SUM('1:2'!S402)</f>
        <v>0</v>
      </c>
      <c r="T402" s="93">
        <f>SUM('1:2'!T402)</f>
        <v>0</v>
      </c>
      <c r="U402" s="93">
        <f>SUM('1:2'!U402)</f>
        <v>0</v>
      </c>
      <c r="V402" s="206">
        <f t="shared" si="160"/>
        <v>0</v>
      </c>
      <c r="W402" s="33" t="str">
        <f t="shared" si="161"/>
        <v/>
      </c>
      <c r="X402" s="93">
        <f>SUM('1:2'!X402)</f>
        <v>0</v>
      </c>
      <c r="Y402" s="93">
        <f>SUM('1:2'!Y402)</f>
        <v>0</v>
      </c>
      <c r="Z402" s="93">
        <f>SUM('1:2'!Z402)</f>
        <v>0</v>
      </c>
      <c r="AA402" s="93">
        <f>SUM('1:2'!AA402)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30100039</v>
      </c>
      <c r="B403" s="62" t="s">
        <v>81</v>
      </c>
      <c r="C403" s="16" t="s">
        <v>60</v>
      </c>
      <c r="D403" s="17">
        <v>5.03</v>
      </c>
      <c r="E403" s="17"/>
      <c r="F403" s="6"/>
      <c r="G403" s="93">
        <f>SUM('1:2'!G403)</f>
        <v>0</v>
      </c>
      <c r="H403" s="246">
        <f t="shared" si="147"/>
        <v>0</v>
      </c>
      <c r="I403" s="93">
        <f>SUM('1:2'!I403)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SUM('1:2'!O403)</f>
        <v>0</v>
      </c>
      <c r="P403" s="93">
        <f>SUM('1:2'!P403)</f>
        <v>0</v>
      </c>
      <c r="Q403" s="93">
        <f>SUM('1:2'!Q403)</f>
        <v>0</v>
      </c>
      <c r="R403" s="93">
        <f>SUM('1:2'!R403)</f>
        <v>0</v>
      </c>
      <c r="S403" s="93">
        <f>SUM('1:2'!S403)</f>
        <v>0</v>
      </c>
      <c r="T403" s="93">
        <f>SUM('1:2'!T403)</f>
        <v>0</v>
      </c>
      <c r="U403" s="93">
        <f>SUM('1:2'!U403)</f>
        <v>0</v>
      </c>
      <c r="V403" s="206">
        <f t="shared" si="160"/>
        <v>0</v>
      </c>
      <c r="W403" s="33" t="str">
        <f t="shared" si="161"/>
        <v/>
      </c>
      <c r="X403" s="93">
        <f>SUM('1:2'!X403)</f>
        <v>0</v>
      </c>
      <c r="Y403" s="93">
        <f>SUM('1:2'!Y403)</f>
        <v>0</v>
      </c>
      <c r="Z403" s="93">
        <f>SUM('1:2'!Z403)</f>
        <v>0</v>
      </c>
      <c r="AA403" s="93">
        <f>SUM('1:2'!AA403)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30100042</v>
      </c>
      <c r="B404" s="62" t="s">
        <v>81</v>
      </c>
      <c r="C404" s="16" t="s">
        <v>61</v>
      </c>
      <c r="D404" s="17">
        <v>5.03</v>
      </c>
      <c r="E404" s="17"/>
      <c r="F404" s="6"/>
      <c r="G404" s="93">
        <f>SUM('1:2'!G404)</f>
        <v>0</v>
      </c>
      <c r="H404" s="246">
        <f t="shared" si="147"/>
        <v>0</v>
      </c>
      <c r="I404" s="93">
        <f>SUM('1:2'!I404)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SUM('1:2'!O404)</f>
        <v>0</v>
      </c>
      <c r="P404" s="93">
        <f>SUM('1:2'!P404)</f>
        <v>0</v>
      </c>
      <c r="Q404" s="93">
        <f>SUM('1:2'!Q404)</f>
        <v>0</v>
      </c>
      <c r="R404" s="93">
        <f>SUM('1:2'!R404)</f>
        <v>0</v>
      </c>
      <c r="S404" s="93">
        <f>SUM('1:2'!S404)</f>
        <v>0</v>
      </c>
      <c r="T404" s="93">
        <f>SUM('1:2'!T404)</f>
        <v>0</v>
      </c>
      <c r="U404" s="93">
        <f>SUM('1:2'!U404)</f>
        <v>0</v>
      </c>
      <c r="V404" s="206">
        <f t="shared" si="160"/>
        <v>0</v>
      </c>
      <c r="W404" s="33" t="str">
        <f t="shared" si="161"/>
        <v/>
      </c>
      <c r="X404" s="93">
        <f>SUM('1:2'!X404)</f>
        <v>0</v>
      </c>
      <c r="Y404" s="93">
        <f>SUM('1:2'!Y404)</f>
        <v>0</v>
      </c>
      <c r="Z404" s="93">
        <f>SUM('1:2'!Z404)</f>
        <v>0</v>
      </c>
      <c r="AA404" s="93">
        <f>SUM('1:2'!AA404)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30100041</v>
      </c>
      <c r="B405" s="62" t="s">
        <v>81</v>
      </c>
      <c r="C405" s="16" t="s">
        <v>65</v>
      </c>
      <c r="D405" s="17">
        <v>5.03</v>
      </c>
      <c r="E405" s="17"/>
      <c r="F405" s="6"/>
      <c r="G405" s="93">
        <f>SUM('1:2'!G405)</f>
        <v>0</v>
      </c>
      <c r="H405" s="246">
        <f t="shared" si="147"/>
        <v>0</v>
      </c>
      <c r="I405" s="93">
        <f>SUM('1:2'!I405)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SUM('1:2'!O405)</f>
        <v>0</v>
      </c>
      <c r="P405" s="93">
        <f>SUM('1:2'!P405)</f>
        <v>0</v>
      </c>
      <c r="Q405" s="93">
        <f>SUM('1:2'!Q405)</f>
        <v>0</v>
      </c>
      <c r="R405" s="93">
        <f>SUM('1:2'!R405)</f>
        <v>0</v>
      </c>
      <c r="S405" s="93">
        <f>SUM('1:2'!S405)</f>
        <v>0</v>
      </c>
      <c r="T405" s="93">
        <f>SUM('1:2'!T405)</f>
        <v>0</v>
      </c>
      <c r="U405" s="93">
        <f>SUM('1:2'!U405)</f>
        <v>0</v>
      </c>
      <c r="V405" s="206">
        <f t="shared" si="160"/>
        <v>0</v>
      </c>
      <c r="W405" s="33" t="str">
        <f t="shared" si="161"/>
        <v/>
      </c>
      <c r="X405" s="93">
        <f>SUM('1:2'!X405)</f>
        <v>0</v>
      </c>
      <c r="Y405" s="93">
        <f>SUM('1:2'!Y405)</f>
        <v>0</v>
      </c>
      <c r="Z405" s="93">
        <f>SUM('1:2'!Z405)</f>
        <v>0</v>
      </c>
      <c r="AA405" s="93">
        <f>SUM('1:2'!AA405)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30100045</v>
      </c>
      <c r="B406" s="62" t="s">
        <v>83</v>
      </c>
      <c r="C406" s="16" t="s">
        <v>73</v>
      </c>
      <c r="D406" s="17">
        <v>5.03</v>
      </c>
      <c r="E406" s="17"/>
      <c r="F406" s="6"/>
      <c r="G406" s="93">
        <f>SUM('1:2'!G406)</f>
        <v>0</v>
      </c>
      <c r="H406" s="246">
        <f t="shared" si="147"/>
        <v>0</v>
      </c>
      <c r="I406" s="93">
        <f>SUM('1:2'!I406)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SUM('1:2'!O406)</f>
        <v>0</v>
      </c>
      <c r="P406" s="93">
        <f>SUM('1:2'!P406)</f>
        <v>0</v>
      </c>
      <c r="Q406" s="93">
        <f>SUM('1:2'!Q406)</f>
        <v>0</v>
      </c>
      <c r="R406" s="93">
        <f>SUM('1:2'!R406)</f>
        <v>0</v>
      </c>
      <c r="S406" s="93">
        <f>SUM('1:2'!S406)</f>
        <v>0</v>
      </c>
      <c r="T406" s="93">
        <f>SUM('1:2'!T406)</f>
        <v>0</v>
      </c>
      <c r="U406" s="93">
        <f>SUM('1:2'!U406)</f>
        <v>0</v>
      </c>
      <c r="V406" s="206">
        <f t="shared" si="160"/>
        <v>0</v>
      </c>
      <c r="W406" s="33" t="str">
        <f t="shared" si="161"/>
        <v/>
      </c>
      <c r="X406" s="93">
        <f>SUM('1:2'!X406)</f>
        <v>0</v>
      </c>
      <c r="Y406" s="93">
        <f>SUM('1:2'!Y406)</f>
        <v>0</v>
      </c>
      <c r="Z406" s="93">
        <f>SUM('1:2'!Z406)</f>
        <v>0</v>
      </c>
      <c r="AA406" s="93">
        <f>SUM('1:2'!AA406)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30100044</v>
      </c>
      <c r="B407" s="62" t="s">
        <v>83</v>
      </c>
      <c r="C407" s="16" t="s">
        <v>61</v>
      </c>
      <c r="D407" s="17">
        <v>5.03</v>
      </c>
      <c r="E407" s="17"/>
      <c r="F407" s="6"/>
      <c r="G407" s="93">
        <f>SUM('1:2'!G407)</f>
        <v>0</v>
      </c>
      <c r="H407" s="246">
        <f t="shared" si="147"/>
        <v>0</v>
      </c>
      <c r="I407" s="93">
        <f>SUM('1:2'!I407)</f>
        <v>0</v>
      </c>
      <c r="J407" s="31" t="str">
        <f t="array" ref="J407">IF(ISERROR(G407/I407),"",G407/I407)</f>
        <v/>
      </c>
      <c r="K407" s="35">
        <f t="array" ref="K407">IF(ISERROR(G407/L407),"",G407/L407)</f>
        <v>0</v>
      </c>
      <c r="L407" s="87">
        <v>50</v>
      </c>
      <c r="M407" s="36">
        <f t="shared" si="152"/>
        <v>0</v>
      </c>
      <c r="N407" s="31">
        <f t="shared" si="159"/>
        <v>0</v>
      </c>
      <c r="O407" s="93">
        <f>SUM('1:2'!O407)</f>
        <v>0</v>
      </c>
      <c r="P407" s="93">
        <f>SUM('1:2'!P407)</f>
        <v>0</v>
      </c>
      <c r="Q407" s="93">
        <f>SUM('1:2'!Q407)</f>
        <v>0</v>
      </c>
      <c r="R407" s="93">
        <f>SUM('1:2'!R407)</f>
        <v>0</v>
      </c>
      <c r="S407" s="93">
        <f>SUM('1:2'!S407)</f>
        <v>0</v>
      </c>
      <c r="T407" s="93">
        <f>SUM('1:2'!T407)</f>
        <v>0</v>
      </c>
      <c r="U407" s="93">
        <f>SUM('1:2'!U407)</f>
        <v>0</v>
      </c>
      <c r="V407" s="206">
        <f t="shared" si="160"/>
        <v>0</v>
      </c>
      <c r="W407" s="33" t="str">
        <f t="shared" si="161"/>
        <v/>
      </c>
      <c r="X407" s="93">
        <f>SUM('1:2'!X407)</f>
        <v>0</v>
      </c>
      <c r="Y407" s="93">
        <f>SUM('1:2'!Y407)</f>
        <v>0</v>
      </c>
      <c r="Z407" s="93">
        <f>SUM('1:2'!Z407)</f>
        <v>0</v>
      </c>
      <c r="AA407" s="93">
        <f>SUM('1:2'!AA407)</f>
        <v>0</v>
      </c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30100046</v>
      </c>
      <c r="B408" s="62" t="s">
        <v>83</v>
      </c>
      <c r="C408" s="16" t="s">
        <v>77</v>
      </c>
      <c r="D408" s="17">
        <v>5.03</v>
      </c>
      <c r="E408" s="17"/>
      <c r="F408" s="6"/>
      <c r="G408" s="93">
        <f>SUM('1:2'!G408)</f>
        <v>0</v>
      </c>
      <c r="H408" s="246">
        <f t="shared" si="147"/>
        <v>0</v>
      </c>
      <c r="I408" s="93">
        <f>SUM('1:2'!I408)</f>
        <v>0</v>
      </c>
      <c r="J408" s="31" t="str">
        <f t="array" ref="J408">IF(ISERROR(G408/I408),"",G408/I408)</f>
        <v/>
      </c>
      <c r="K408" s="35">
        <f t="array" ref="K408">IF(ISERROR(G408/L408),"",G408/L408)</f>
        <v>0</v>
      </c>
      <c r="L408" s="87">
        <v>50</v>
      </c>
      <c r="M408" s="36">
        <f t="shared" si="152"/>
        <v>0</v>
      </c>
      <c r="N408" s="31">
        <f t="shared" si="159"/>
        <v>0</v>
      </c>
      <c r="O408" s="93">
        <f>SUM('1:2'!O408)</f>
        <v>0</v>
      </c>
      <c r="P408" s="93">
        <f>SUM('1:2'!P408)</f>
        <v>0</v>
      </c>
      <c r="Q408" s="93">
        <f>SUM('1:2'!Q408)</f>
        <v>0</v>
      </c>
      <c r="R408" s="93">
        <f>SUM('1:2'!R408)</f>
        <v>0</v>
      </c>
      <c r="S408" s="93">
        <f>SUM('1:2'!S408)</f>
        <v>0</v>
      </c>
      <c r="T408" s="93">
        <f>SUM('1:2'!T408)</f>
        <v>0</v>
      </c>
      <c r="U408" s="93">
        <f>SUM('1:2'!U408)</f>
        <v>0</v>
      </c>
      <c r="V408" s="206">
        <f t="shared" si="160"/>
        <v>0</v>
      </c>
      <c r="W408" s="33" t="str">
        <f t="shared" si="161"/>
        <v/>
      </c>
      <c r="X408" s="93">
        <f>SUM('1:2'!X408)</f>
        <v>0</v>
      </c>
      <c r="Y408" s="93">
        <f>SUM('1:2'!Y408)</f>
        <v>0</v>
      </c>
      <c r="Z408" s="93">
        <f>SUM('1:2'!Z408)</f>
        <v>0</v>
      </c>
      <c r="AA408" s="93">
        <f>SUM('1:2'!AA408)</f>
        <v>0</v>
      </c>
      <c r="AB408" s="358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30100043</v>
      </c>
      <c r="B409" s="192" t="s">
        <v>429</v>
      </c>
      <c r="C409" s="187" t="s">
        <v>427</v>
      </c>
      <c r="D409" s="17">
        <v>50.3</v>
      </c>
      <c r="E409" s="17"/>
      <c r="F409" s="6"/>
      <c r="G409" s="93"/>
      <c r="H409" s="246">
        <f t="shared" si="147"/>
        <v>0</v>
      </c>
      <c r="I409" s="93"/>
      <c r="J409" s="31"/>
      <c r="K409" s="35">
        <f t="array" ref="K409">IF(ISERROR(G409/L409),"",G409/L409)</f>
        <v>0</v>
      </c>
      <c r="L409" s="87">
        <v>50</v>
      </c>
      <c r="M409" s="36"/>
      <c r="N409" s="31"/>
      <c r="O409" s="93"/>
      <c r="P409" s="93"/>
      <c r="Q409" s="93"/>
      <c r="R409" s="93"/>
      <c r="S409" s="93"/>
      <c r="T409" s="93"/>
      <c r="U409" s="93"/>
      <c r="V409" s="206"/>
      <c r="W409" s="33"/>
      <c r="X409" s="93"/>
      <c r="Y409" s="93"/>
      <c r="Z409" s="93"/>
      <c r="AA409" s="93"/>
      <c r="AB409" s="358">
        <v>0.21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30100064</v>
      </c>
      <c r="B410" s="192" t="s">
        <v>400</v>
      </c>
      <c r="C410" s="187" t="s">
        <v>398</v>
      </c>
      <c r="D410" s="17">
        <v>5</v>
      </c>
      <c r="E410" s="17"/>
      <c r="F410" s="6"/>
      <c r="G410" s="93">
        <f>SUM('1:2'!G410)</f>
        <v>0</v>
      </c>
      <c r="H410" s="246">
        <f t="shared" si="147"/>
        <v>0</v>
      </c>
      <c r="I410" s="93">
        <f>SUM('1:2'!I410)</f>
        <v>0</v>
      </c>
      <c r="J410" s="31"/>
      <c r="K410" s="35"/>
      <c r="L410" s="87">
        <v>50</v>
      </c>
      <c r="M410" s="36"/>
      <c r="N410" s="31"/>
      <c r="O410" s="93">
        <f>SUM('1:2'!O410)</f>
        <v>0</v>
      </c>
      <c r="P410" s="93">
        <f>SUM('1:2'!P410)</f>
        <v>0</v>
      </c>
      <c r="Q410" s="93">
        <f>SUM('1:2'!Q410)</f>
        <v>0</v>
      </c>
      <c r="R410" s="93">
        <f>SUM('1:2'!R410)</f>
        <v>0</v>
      </c>
      <c r="S410" s="93">
        <f>SUM('1:2'!S410)</f>
        <v>0</v>
      </c>
      <c r="T410" s="93">
        <f>SUM('1:2'!T410)</f>
        <v>0</v>
      </c>
      <c r="U410" s="93">
        <f>SUM('1:2'!U410)</f>
        <v>0</v>
      </c>
      <c r="V410" s="206"/>
      <c r="W410" s="33"/>
      <c r="X410" s="93">
        <f>SUM('1:2'!X410)</f>
        <v>0</v>
      </c>
      <c r="Y410" s="93">
        <f>SUM('1:2'!Y410)</f>
        <v>0</v>
      </c>
      <c r="Z410" s="93">
        <f>SUM('1:2'!Z410)</f>
        <v>0</v>
      </c>
      <c r="AA410" s="93">
        <f>SUM('1:2'!AA410)</f>
        <v>0</v>
      </c>
      <c r="AB410" s="361">
        <v>0.21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>
        <v>30100049</v>
      </c>
      <c r="B411" s="62" t="s">
        <v>84</v>
      </c>
      <c r="C411" s="16" t="s">
        <v>64</v>
      </c>
      <c r="D411" s="17">
        <v>5.03</v>
      </c>
      <c r="E411" s="17"/>
      <c r="F411" s="6"/>
      <c r="G411" s="93">
        <f>SUM('1:2'!G411)</f>
        <v>0</v>
      </c>
      <c r="H411" s="246">
        <f t="shared" si="147"/>
        <v>0</v>
      </c>
      <c r="I411" s="93">
        <f>SUM('1:2'!I411)</f>
        <v>0</v>
      </c>
      <c r="J411" s="31" t="str">
        <f t="array" ref="J411">IF(ISERROR(G411/I411),"",G411/I411)</f>
        <v/>
      </c>
      <c r="K411" s="35">
        <f t="array" ref="K411">IF(ISERROR(G411/L411),"",G411/L411)</f>
        <v>0</v>
      </c>
      <c r="L411" s="87">
        <v>21.5</v>
      </c>
      <c r="M411" s="36">
        <f t="shared" ref="M411:M412" si="162">IF(ISERROR(I411-K411),"",I411-K411)</f>
        <v>0</v>
      </c>
      <c r="N411" s="31">
        <f t="shared" ref="N411:N412" si="163">SUM(O411:U411)</f>
        <v>0</v>
      </c>
      <c r="O411" s="93">
        <f>SUM('1:2'!O411)</f>
        <v>0</v>
      </c>
      <c r="P411" s="93">
        <f>SUM('1:2'!P411)</f>
        <v>0</v>
      </c>
      <c r="Q411" s="93">
        <f>SUM('1:2'!Q411)</f>
        <v>0</v>
      </c>
      <c r="R411" s="93">
        <f>SUM('1:2'!R411)</f>
        <v>0</v>
      </c>
      <c r="S411" s="93">
        <f>SUM('1:2'!S411)</f>
        <v>0</v>
      </c>
      <c r="T411" s="93">
        <f>SUM('1:2'!T411)</f>
        <v>0</v>
      </c>
      <c r="U411" s="93">
        <f>SUM('1:2'!U411)</f>
        <v>0</v>
      </c>
      <c r="V411" s="206">
        <f t="shared" ref="V411:V412" si="164">SUM(X411:AA411)</f>
        <v>0</v>
      </c>
      <c r="W411" s="33" t="str">
        <f t="shared" ref="W411:W412" si="165">IF(ISERROR(V411/G411),"",V411/G411)</f>
        <v/>
      </c>
      <c r="X411" s="93">
        <f>SUM('1:2'!X411)</f>
        <v>0</v>
      </c>
      <c r="Y411" s="93">
        <f>SUM('1:2'!Y411)</f>
        <v>0</v>
      </c>
      <c r="Z411" s="93">
        <f>SUM('1:2'!Z411)</f>
        <v>0</v>
      </c>
      <c r="AA411" s="93">
        <f>SUM('1:2'!AA411)</f>
        <v>0</v>
      </c>
      <c r="AB411" s="358">
        <v>0.49</v>
      </c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30100050</v>
      </c>
      <c r="B412" s="62" t="s">
        <v>84</v>
      </c>
      <c r="C412" s="16" t="s">
        <v>65</v>
      </c>
      <c r="D412" s="17">
        <v>5.03</v>
      </c>
      <c r="E412" s="17"/>
      <c r="F412" s="6"/>
      <c r="G412" s="93">
        <f>SUM('1:2'!G412)</f>
        <v>0</v>
      </c>
      <c r="H412" s="246">
        <f t="shared" si="147"/>
        <v>0</v>
      </c>
      <c r="I412" s="93">
        <f>SUM('1:2'!I412)</f>
        <v>0</v>
      </c>
      <c r="J412" s="31" t="str">
        <f t="array" ref="J412">IF(ISERROR(G412/I412),"",G412/I412)</f>
        <v/>
      </c>
      <c r="K412" s="35">
        <f t="array" ref="K412">IF(ISERROR(G412/L412),"",G412/L412)</f>
        <v>0</v>
      </c>
      <c r="L412" s="87">
        <v>21.5</v>
      </c>
      <c r="M412" s="36">
        <f t="shared" si="162"/>
        <v>0</v>
      </c>
      <c r="N412" s="31">
        <f t="shared" si="163"/>
        <v>0</v>
      </c>
      <c r="O412" s="93">
        <f>SUM('1:2'!O412)</f>
        <v>0</v>
      </c>
      <c r="P412" s="93">
        <f>SUM('1:2'!P412)</f>
        <v>0</v>
      </c>
      <c r="Q412" s="93">
        <f>SUM('1:2'!Q412)</f>
        <v>0</v>
      </c>
      <c r="R412" s="93">
        <f>SUM('1:2'!R412)</f>
        <v>0</v>
      </c>
      <c r="S412" s="93">
        <f>SUM('1:2'!S412)</f>
        <v>0</v>
      </c>
      <c r="T412" s="93">
        <f>SUM('1:2'!T412)</f>
        <v>0</v>
      </c>
      <c r="U412" s="93">
        <f>SUM('1:2'!U412)</f>
        <v>0</v>
      </c>
      <c r="V412" s="206">
        <f t="shared" si="164"/>
        <v>0</v>
      </c>
      <c r="W412" s="33" t="str">
        <f t="shared" si="165"/>
        <v/>
      </c>
      <c r="X412" s="93">
        <f>SUM('1:2'!X412)</f>
        <v>0</v>
      </c>
      <c r="Y412" s="93">
        <f>SUM('1:2'!Y412)</f>
        <v>0</v>
      </c>
      <c r="Z412" s="93">
        <f>SUM('1:2'!Z412)</f>
        <v>0</v>
      </c>
      <c r="AA412" s="93">
        <f>SUM('1:2'!AA412)</f>
        <v>0</v>
      </c>
      <c r="AB412" s="358">
        <v>0.49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/>
      <c r="B413" s="192" t="s">
        <v>360</v>
      </c>
      <c r="C413" s="187" t="s">
        <v>361</v>
      </c>
      <c r="D413" s="17"/>
      <c r="E413" s="17"/>
      <c r="F413" s="6"/>
      <c r="G413" s="93">
        <f>SUM('1:2'!G413)</f>
        <v>0</v>
      </c>
      <c r="H413" s="246">
        <f t="shared" si="147"/>
        <v>0</v>
      </c>
      <c r="I413" s="93">
        <f>SUM('1:2'!I413)</f>
        <v>0</v>
      </c>
      <c r="J413" s="31"/>
      <c r="K413" s="35"/>
      <c r="L413" s="87"/>
      <c r="M413" s="36"/>
      <c r="N413" s="31"/>
      <c r="O413" s="93">
        <f>SUM('1:2'!O413)</f>
        <v>0</v>
      </c>
      <c r="P413" s="93">
        <f>SUM('1:2'!P413)</f>
        <v>0</v>
      </c>
      <c r="Q413" s="93">
        <f>SUM('1:2'!Q413)</f>
        <v>0</v>
      </c>
      <c r="R413" s="93">
        <f>SUM('1:2'!R413)</f>
        <v>0</v>
      </c>
      <c r="S413" s="93">
        <f>SUM('1:2'!S413)</f>
        <v>0</v>
      </c>
      <c r="T413" s="93">
        <f>SUM('1:2'!T413)</f>
        <v>0</v>
      </c>
      <c r="U413" s="93">
        <f>SUM('1:2'!U413)</f>
        <v>0</v>
      </c>
      <c r="V413" s="206"/>
      <c r="W413" s="33"/>
      <c r="X413" s="93">
        <f>SUM('1:2'!X413)</f>
        <v>0</v>
      </c>
      <c r="Y413" s="93">
        <f>SUM('1:2'!Y413)</f>
        <v>0</v>
      </c>
      <c r="Z413" s="93">
        <f>SUM('1:2'!Z413)</f>
        <v>0</v>
      </c>
      <c r="AA413" s="93">
        <f>SUM('1:2'!AA413)</f>
        <v>0</v>
      </c>
      <c r="AB413" s="358"/>
      <c r="AC413" s="269">
        <f t="shared" si="140"/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30100055</v>
      </c>
      <c r="B414" s="63" t="s">
        <v>85</v>
      </c>
      <c r="C414" s="16" t="s">
        <v>60</v>
      </c>
      <c r="D414" s="17">
        <v>5.0599999999999996</v>
      </c>
      <c r="E414" s="17"/>
      <c r="F414" s="6"/>
      <c r="G414" s="93">
        <f>SUM('1:2'!G414)</f>
        <v>0</v>
      </c>
      <c r="H414" s="246">
        <f t="shared" si="147"/>
        <v>0</v>
      </c>
      <c r="I414" s="93">
        <f>SUM('1:2'!I414)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ref="M414:M427" si="166">IF(ISERROR(I414-K414),"",I414-K414)</f>
        <v/>
      </c>
      <c r="N414" s="31">
        <f t="shared" ref="N414:N417" si="167">SUM(O414:U414)</f>
        <v>0</v>
      </c>
      <c r="O414" s="93">
        <f>SUM('1:2'!O414)</f>
        <v>0</v>
      </c>
      <c r="P414" s="93">
        <f>SUM('1:2'!P414)</f>
        <v>0</v>
      </c>
      <c r="Q414" s="93">
        <f>SUM('1:2'!Q414)</f>
        <v>0</v>
      </c>
      <c r="R414" s="93">
        <f>SUM('1:2'!R414)</f>
        <v>0</v>
      </c>
      <c r="S414" s="93">
        <f>SUM('1:2'!S414)</f>
        <v>0</v>
      </c>
      <c r="T414" s="93">
        <f>SUM('1:2'!T414)</f>
        <v>0</v>
      </c>
      <c r="U414" s="93">
        <f>SUM('1:2'!U414)</f>
        <v>0</v>
      </c>
      <c r="V414" s="206">
        <f t="shared" ref="V414:V417" si="168">SUM(X414:AA414)</f>
        <v>0</v>
      </c>
      <c r="W414" s="33" t="str">
        <f t="shared" ref="W414:W417" si="169">IF(ISERROR(V414/G414),"",V414/G414)</f>
        <v/>
      </c>
      <c r="X414" s="93">
        <f>SUM('1:2'!X414)</f>
        <v>0</v>
      </c>
      <c r="Y414" s="93">
        <f>SUM('1:2'!Y414)</f>
        <v>0</v>
      </c>
      <c r="Z414" s="93">
        <f>SUM('1:2'!Z414)</f>
        <v>0</v>
      </c>
      <c r="AA414" s="93">
        <f>SUM('1:2'!AA414)</f>
        <v>0</v>
      </c>
      <c r="AB414" s="358">
        <v>0.43</v>
      </c>
      <c r="AC414" s="269">
        <f t="shared" si="14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30100056</v>
      </c>
      <c r="B415" s="63" t="s">
        <v>85</v>
      </c>
      <c r="C415" s="16" t="s">
        <v>74</v>
      </c>
      <c r="D415" s="17">
        <v>5.0599999999999996</v>
      </c>
      <c r="E415" s="17"/>
      <c r="F415" s="6"/>
      <c r="G415" s="93">
        <f>SUM('1:2'!G415)</f>
        <v>0</v>
      </c>
      <c r="H415" s="246">
        <f t="shared" si="147"/>
        <v>0</v>
      </c>
      <c r="I415" s="93">
        <f>SUM('1:2'!I415)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SUM('1:2'!O415)</f>
        <v>0</v>
      </c>
      <c r="P415" s="93">
        <f>SUM('1:2'!P415)</f>
        <v>0</v>
      </c>
      <c r="Q415" s="93">
        <f>SUM('1:2'!Q415)</f>
        <v>0</v>
      </c>
      <c r="R415" s="93">
        <f>SUM('1:2'!R415)</f>
        <v>0</v>
      </c>
      <c r="S415" s="93">
        <f>SUM('1:2'!S415)</f>
        <v>0</v>
      </c>
      <c r="T415" s="93">
        <f>SUM('1:2'!T415)</f>
        <v>0</v>
      </c>
      <c r="U415" s="93">
        <f>SUM('1:2'!U415)</f>
        <v>0</v>
      </c>
      <c r="V415" s="206">
        <f t="shared" si="168"/>
        <v>0</v>
      </c>
      <c r="W415" s="33" t="str">
        <f t="shared" si="169"/>
        <v/>
      </c>
      <c r="X415" s="93">
        <f>SUM('1:2'!X415)</f>
        <v>0</v>
      </c>
      <c r="Y415" s="93">
        <f>SUM('1:2'!Y415)</f>
        <v>0</v>
      </c>
      <c r="Z415" s="93">
        <f>SUM('1:2'!Z415)</f>
        <v>0</v>
      </c>
      <c r="AA415" s="93">
        <f>SUM('1:2'!AA415)</f>
        <v>0</v>
      </c>
      <c r="AB415" s="358">
        <v>0.43</v>
      </c>
      <c r="AC415" s="269">
        <f t="shared" ref="AC415:AC480" si="170">AB415*G415</f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7.25">
      <c r="A416" s="316">
        <v>30100057</v>
      </c>
      <c r="B416" s="63" t="s">
        <v>85</v>
      </c>
      <c r="C416" s="16" t="s">
        <v>65</v>
      </c>
      <c r="D416" s="17">
        <v>5.0599999999999996</v>
      </c>
      <c r="E416" s="17"/>
      <c r="F416" s="6"/>
      <c r="G416" s="93">
        <f>SUM('1:2'!G416)</f>
        <v>0</v>
      </c>
      <c r="H416" s="246">
        <f t="shared" si="147"/>
        <v>0</v>
      </c>
      <c r="I416" s="93">
        <f>SUM('1:2'!I416)</f>
        <v>0</v>
      </c>
      <c r="J416" s="31" t="str">
        <f t="array" ref="J416">IF(ISERROR(G416/I416),"",G416/I416)</f>
        <v/>
      </c>
      <c r="K416" s="35" t="str">
        <f t="array" ref="K416">IF(ISERROR(G416/L416),"",G416/L416)</f>
        <v/>
      </c>
      <c r="L416" s="87"/>
      <c r="M416" s="36" t="str">
        <f t="shared" si="166"/>
        <v/>
      </c>
      <c r="N416" s="31">
        <f t="shared" si="167"/>
        <v>0</v>
      </c>
      <c r="O416" s="93">
        <f>SUM('1:2'!O416)</f>
        <v>0</v>
      </c>
      <c r="P416" s="93">
        <f>SUM('1:2'!P416)</f>
        <v>0</v>
      </c>
      <c r="Q416" s="93">
        <f>SUM('1:2'!Q416)</f>
        <v>0</v>
      </c>
      <c r="R416" s="93">
        <f>SUM('1:2'!R416)</f>
        <v>0</v>
      </c>
      <c r="S416" s="93">
        <f>SUM('1:2'!S416)</f>
        <v>0</v>
      </c>
      <c r="T416" s="93">
        <f>SUM('1:2'!T416)</f>
        <v>0</v>
      </c>
      <c r="U416" s="93">
        <f>SUM('1:2'!U416)</f>
        <v>0</v>
      </c>
      <c r="V416" s="206">
        <f t="shared" si="168"/>
        <v>0</v>
      </c>
      <c r="W416" s="33" t="str">
        <f t="shared" si="169"/>
        <v/>
      </c>
      <c r="X416" s="93">
        <f>SUM('1:2'!X416)</f>
        <v>0</v>
      </c>
      <c r="Y416" s="93">
        <f>SUM('1:2'!Y416)</f>
        <v>0</v>
      </c>
      <c r="Z416" s="93">
        <f>SUM('1:2'!Z416)</f>
        <v>0</v>
      </c>
      <c r="AA416" s="93">
        <f>SUM('1:2'!AA416)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7.25">
      <c r="A417" s="316">
        <v>30100058</v>
      </c>
      <c r="B417" s="63" t="s">
        <v>85</v>
      </c>
      <c r="C417" s="16" t="s">
        <v>61</v>
      </c>
      <c r="D417" s="17">
        <v>5.0599999999999996</v>
      </c>
      <c r="E417" s="17"/>
      <c r="F417" s="6"/>
      <c r="G417" s="93">
        <f>SUM('1:2'!G417)</f>
        <v>0</v>
      </c>
      <c r="H417" s="246">
        <f t="shared" si="147"/>
        <v>0</v>
      </c>
      <c r="I417" s="93">
        <f>SUM('1:2'!I417)</f>
        <v>0</v>
      </c>
      <c r="J417" s="31" t="str">
        <f t="array" ref="J417">IF(ISERROR(G417/I417),"",G417/I417)</f>
        <v/>
      </c>
      <c r="K417" s="35" t="str">
        <f t="array" ref="K417">IF(ISERROR(G417/L417),"",G417/L417)</f>
        <v/>
      </c>
      <c r="L417" s="87"/>
      <c r="M417" s="36" t="str">
        <f t="shared" si="166"/>
        <v/>
      </c>
      <c r="N417" s="31">
        <f t="shared" si="167"/>
        <v>0</v>
      </c>
      <c r="O417" s="93">
        <f>SUM('1:2'!O417)</f>
        <v>0</v>
      </c>
      <c r="P417" s="93">
        <f>SUM('1:2'!P417)</f>
        <v>0</v>
      </c>
      <c r="Q417" s="93">
        <f>SUM('1:2'!Q417)</f>
        <v>0</v>
      </c>
      <c r="R417" s="93">
        <f>SUM('1:2'!R417)</f>
        <v>0</v>
      </c>
      <c r="S417" s="93">
        <f>SUM('1:2'!S417)</f>
        <v>0</v>
      </c>
      <c r="T417" s="93">
        <f>SUM('1:2'!T417)</f>
        <v>0</v>
      </c>
      <c r="U417" s="93">
        <f>SUM('1:2'!U417)</f>
        <v>0</v>
      </c>
      <c r="V417" s="206">
        <f t="shared" si="168"/>
        <v>0</v>
      </c>
      <c r="W417" s="33" t="str">
        <f t="shared" si="169"/>
        <v/>
      </c>
      <c r="X417" s="93">
        <f>SUM('1:2'!X417)</f>
        <v>0</v>
      </c>
      <c r="Y417" s="93">
        <f>SUM('1:2'!Y417)</f>
        <v>0</v>
      </c>
      <c r="Z417" s="93">
        <f>SUM('1:2'!Z417)</f>
        <v>0</v>
      </c>
      <c r="AA417" s="93">
        <f>SUM('1:2'!AA417)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30600013</v>
      </c>
      <c r="B418" s="197" t="s">
        <v>368</v>
      </c>
      <c r="C418" s="187" t="s">
        <v>374</v>
      </c>
      <c r="D418" s="17"/>
      <c r="E418" s="17"/>
      <c r="F418" s="6"/>
      <c r="G418" s="93">
        <f>SUM('1:2'!G418)</f>
        <v>0</v>
      </c>
      <c r="H418" s="246">
        <f t="shared" si="147"/>
        <v>0</v>
      </c>
      <c r="I418" s="93">
        <f>SUM('1:2'!I418)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SUM('1:2'!O418)</f>
        <v>0</v>
      </c>
      <c r="P418" s="93">
        <f>SUM('1:2'!P418)</f>
        <v>0</v>
      </c>
      <c r="Q418" s="93">
        <f>SUM('1:2'!Q418)</f>
        <v>0</v>
      </c>
      <c r="R418" s="93">
        <f>SUM('1:2'!R418)</f>
        <v>0</v>
      </c>
      <c r="S418" s="93">
        <f>SUM('1:2'!S418)</f>
        <v>0</v>
      </c>
      <c r="T418" s="93">
        <f>SUM('1:2'!T418)</f>
        <v>0</v>
      </c>
      <c r="U418" s="93">
        <f>SUM('1:2'!U418)</f>
        <v>0</v>
      </c>
      <c r="V418" s="206"/>
      <c r="W418" s="33"/>
      <c r="X418" s="93">
        <f>SUM('1:2'!X418)</f>
        <v>0</v>
      </c>
      <c r="Y418" s="93">
        <f>SUM('1:2'!Y418)</f>
        <v>0</v>
      </c>
      <c r="Z418" s="93">
        <f>SUM('1:2'!Z418)</f>
        <v>0</v>
      </c>
      <c r="AA418" s="93">
        <f>SUM('1:2'!AA418)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30600014</v>
      </c>
      <c r="B419" s="197" t="s">
        <v>368</v>
      </c>
      <c r="C419" s="187" t="s">
        <v>369</v>
      </c>
      <c r="D419" s="17"/>
      <c r="E419" s="17"/>
      <c r="F419" s="6"/>
      <c r="G419" s="93">
        <f>SUM('1:2'!G419)</f>
        <v>0</v>
      </c>
      <c r="H419" s="246">
        <f t="shared" si="147"/>
        <v>0</v>
      </c>
      <c r="I419" s="93">
        <f>SUM('1:2'!I419)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SUM('1:2'!O419)</f>
        <v>0</v>
      </c>
      <c r="P419" s="93">
        <f>SUM('1:2'!P419)</f>
        <v>0</v>
      </c>
      <c r="Q419" s="93">
        <f>SUM('1:2'!Q419)</f>
        <v>0</v>
      </c>
      <c r="R419" s="93">
        <f>SUM('1:2'!R419)</f>
        <v>0</v>
      </c>
      <c r="S419" s="93">
        <f>SUM('1:2'!S419)</f>
        <v>0</v>
      </c>
      <c r="T419" s="93">
        <f>SUM('1:2'!T419)</f>
        <v>0</v>
      </c>
      <c r="U419" s="93">
        <f>SUM('1:2'!U419)</f>
        <v>0</v>
      </c>
      <c r="V419" s="206"/>
      <c r="W419" s="33"/>
      <c r="X419" s="93">
        <f>SUM('1:2'!X419)</f>
        <v>0</v>
      </c>
      <c r="Y419" s="93">
        <f>SUM('1:2'!Y419)</f>
        <v>0</v>
      </c>
      <c r="Z419" s="93">
        <f>SUM('1:2'!Z419)</f>
        <v>0</v>
      </c>
      <c r="AA419" s="93">
        <f>SUM('1:2'!AA419)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30600012</v>
      </c>
      <c r="B420" s="197" t="s">
        <v>368</v>
      </c>
      <c r="C420" s="187" t="s">
        <v>370</v>
      </c>
      <c r="D420" s="17"/>
      <c r="E420" s="17"/>
      <c r="F420" s="6"/>
      <c r="G420" s="93">
        <f>SUM('1:2'!G420)</f>
        <v>0</v>
      </c>
      <c r="H420" s="246">
        <f t="shared" si="147"/>
        <v>0</v>
      </c>
      <c r="I420" s="93">
        <f>SUM('1:2'!I420)</f>
        <v>0</v>
      </c>
      <c r="J420" s="31"/>
      <c r="K420" s="35">
        <f t="array" ref="K420">IF(ISERROR(G420/L420),"",G420/L420)</f>
        <v>0</v>
      </c>
      <c r="L420" s="87">
        <v>24</v>
      </c>
      <c r="M420" s="36">
        <f t="shared" si="166"/>
        <v>0</v>
      </c>
      <c r="N420" s="31"/>
      <c r="O420" s="93">
        <f>SUM('1:2'!O420)</f>
        <v>0</v>
      </c>
      <c r="P420" s="93">
        <f>SUM('1:2'!P420)</f>
        <v>0</v>
      </c>
      <c r="Q420" s="93">
        <f>SUM('1:2'!Q420)</f>
        <v>0</v>
      </c>
      <c r="R420" s="93">
        <f>SUM('1:2'!R420)</f>
        <v>0</v>
      </c>
      <c r="S420" s="93">
        <f>SUM('1:2'!S420)</f>
        <v>0</v>
      </c>
      <c r="T420" s="93">
        <f>SUM('1:2'!T420)</f>
        <v>0</v>
      </c>
      <c r="U420" s="93">
        <f>SUM('1:2'!U420)</f>
        <v>0</v>
      </c>
      <c r="V420" s="206"/>
      <c r="W420" s="33"/>
      <c r="X420" s="93">
        <f>SUM('1:2'!X420)</f>
        <v>0</v>
      </c>
      <c r="Y420" s="93">
        <f>SUM('1:2'!Y420)</f>
        <v>0</v>
      </c>
      <c r="Z420" s="93">
        <f>SUM('1:2'!Z420)</f>
        <v>0</v>
      </c>
      <c r="AA420" s="93">
        <f>SUM('1:2'!AA420)</f>
        <v>0</v>
      </c>
      <c r="AB420" s="358">
        <v>0.43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30600011</v>
      </c>
      <c r="B421" s="197" t="s">
        <v>368</v>
      </c>
      <c r="C421" s="187" t="s">
        <v>371</v>
      </c>
      <c r="D421" s="17"/>
      <c r="E421" s="17"/>
      <c r="F421" s="6"/>
      <c r="G421" s="93">
        <f>SUM('1:2'!G421)</f>
        <v>0</v>
      </c>
      <c r="H421" s="246">
        <f t="shared" si="147"/>
        <v>0</v>
      </c>
      <c r="I421" s="93">
        <f>SUM('1:2'!I421)</f>
        <v>0</v>
      </c>
      <c r="J421" s="31"/>
      <c r="K421" s="35">
        <f t="array" ref="K421">IF(ISERROR(G421/L421),"",G421/L421)</f>
        <v>0</v>
      </c>
      <c r="L421" s="87">
        <v>24</v>
      </c>
      <c r="M421" s="36">
        <f t="shared" si="166"/>
        <v>0</v>
      </c>
      <c r="N421" s="31"/>
      <c r="O421" s="93">
        <f>SUM('1:2'!O421)</f>
        <v>0</v>
      </c>
      <c r="P421" s="93">
        <f>SUM('1:2'!P421)</f>
        <v>0</v>
      </c>
      <c r="Q421" s="93">
        <f>SUM('1:2'!Q421)</f>
        <v>0</v>
      </c>
      <c r="R421" s="93">
        <f>SUM('1:2'!R421)</f>
        <v>0</v>
      </c>
      <c r="S421" s="93">
        <f>SUM('1:2'!S421)</f>
        <v>0</v>
      </c>
      <c r="T421" s="93">
        <f>SUM('1:2'!T421)</f>
        <v>0</v>
      </c>
      <c r="U421" s="93">
        <f>SUM('1:2'!U421)</f>
        <v>0</v>
      </c>
      <c r="V421" s="206"/>
      <c r="W421" s="33"/>
      <c r="X421" s="93">
        <f>SUM('1:2'!X421)</f>
        <v>0</v>
      </c>
      <c r="Y421" s="93">
        <f>SUM('1:2'!Y421)</f>
        <v>0</v>
      </c>
      <c r="Z421" s="93">
        <f>SUM('1:2'!Z421)</f>
        <v>0</v>
      </c>
      <c r="AA421" s="93">
        <f>SUM('1:2'!AA421)</f>
        <v>0</v>
      </c>
      <c r="AB421" s="358">
        <v>0.43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30300002</v>
      </c>
      <c r="B422" s="197" t="s">
        <v>407</v>
      </c>
      <c r="C422" s="187" t="s">
        <v>408</v>
      </c>
      <c r="D422" s="17"/>
      <c r="E422" s="17"/>
      <c r="F422" s="6"/>
      <c r="G422" s="93">
        <f>SUM('1:2'!G422)</f>
        <v>0</v>
      </c>
      <c r="H422" s="246">
        <f t="shared" si="147"/>
        <v>0</v>
      </c>
      <c r="I422" s="93">
        <f>SUM('1:2'!I422)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30300001</v>
      </c>
      <c r="B423" s="197" t="s">
        <v>407</v>
      </c>
      <c r="C423" s="187" t="s">
        <v>409</v>
      </c>
      <c r="D423" s="17"/>
      <c r="E423" s="17"/>
      <c r="F423" s="6"/>
      <c r="G423" s="93">
        <f>SUM('1:2'!G423)</f>
        <v>0</v>
      </c>
      <c r="H423" s="246">
        <f t="shared" si="147"/>
        <v>0</v>
      </c>
      <c r="I423" s="93">
        <f>SUM('1:2'!I423)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/>
      <c r="P423" s="93"/>
      <c r="Q423" s="93"/>
      <c r="R423" s="93"/>
      <c r="S423" s="93"/>
      <c r="T423" s="93"/>
      <c r="U423" s="93"/>
      <c r="V423" s="206"/>
      <c r="W423" s="33"/>
      <c r="X423" s="93"/>
      <c r="Y423" s="93"/>
      <c r="Z423" s="93"/>
      <c r="AA423" s="93"/>
      <c r="AB423" s="361">
        <v>0.69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30300003</v>
      </c>
      <c r="B424" s="197" t="s">
        <v>407</v>
      </c>
      <c r="C424" s="187" t="s">
        <v>410</v>
      </c>
      <c r="D424" s="17"/>
      <c r="E424" s="17"/>
      <c r="F424" s="6"/>
      <c r="G424" s="93">
        <f>SUM('1:2'!G424)</f>
        <v>0</v>
      </c>
      <c r="H424" s="246">
        <f t="shared" si="147"/>
        <v>0</v>
      </c>
      <c r="I424" s="93">
        <f>SUM('1:2'!I424)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/>
      <c r="P424" s="93"/>
      <c r="Q424" s="93"/>
      <c r="R424" s="93"/>
      <c r="S424" s="93"/>
      <c r="T424" s="93"/>
      <c r="U424" s="93"/>
      <c r="V424" s="206"/>
      <c r="W424" s="33"/>
      <c r="X424" s="93"/>
      <c r="Y424" s="93"/>
      <c r="Z424" s="93"/>
      <c r="AA424" s="93"/>
      <c r="AB424" s="361">
        <v>0.69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30300005</v>
      </c>
      <c r="B425" s="63" t="s">
        <v>362</v>
      </c>
      <c r="C425" s="16" t="s">
        <v>337</v>
      </c>
      <c r="D425" s="17"/>
      <c r="E425" s="17"/>
      <c r="F425" s="6"/>
      <c r="G425" s="93">
        <f>SUM('1:2'!G425)</f>
        <v>0</v>
      </c>
      <c r="H425" s="246">
        <f t="shared" si="147"/>
        <v>0</v>
      </c>
      <c r="I425" s="93">
        <f>SUM('1:2'!I425)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SUM('1:2'!O425)</f>
        <v>0</v>
      </c>
      <c r="P425" s="93">
        <f>SUM('1:2'!P425)</f>
        <v>0</v>
      </c>
      <c r="Q425" s="93">
        <f>SUM('1:2'!Q425)</f>
        <v>0</v>
      </c>
      <c r="R425" s="93">
        <f>SUM('1:2'!R425)</f>
        <v>0</v>
      </c>
      <c r="S425" s="93">
        <f>SUM('1:2'!S425)</f>
        <v>0</v>
      </c>
      <c r="T425" s="93">
        <f>SUM('1:2'!T425)</f>
        <v>0</v>
      </c>
      <c r="U425" s="93">
        <f>SUM('1:2'!U425)</f>
        <v>0</v>
      </c>
      <c r="V425" s="206"/>
      <c r="W425" s="33"/>
      <c r="X425" s="93">
        <f>SUM('1:2'!X425)</f>
        <v>0</v>
      </c>
      <c r="Y425" s="93">
        <f>SUM('1:2'!Y425)</f>
        <v>0</v>
      </c>
      <c r="Z425" s="93">
        <f>SUM('1:2'!Z425)</f>
        <v>0</v>
      </c>
      <c r="AA425" s="93">
        <f>SUM('1:2'!AA425)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" customHeight="1">
      <c r="A426" s="318">
        <v>30300004</v>
      </c>
      <c r="B426" s="63" t="s">
        <v>362</v>
      </c>
      <c r="C426" s="16" t="s">
        <v>339</v>
      </c>
      <c r="D426" s="17"/>
      <c r="E426" s="17"/>
      <c r="F426" s="6"/>
      <c r="G426" s="93">
        <f>SUM('1:2'!G426)</f>
        <v>0</v>
      </c>
      <c r="H426" s="246">
        <f t="shared" si="147"/>
        <v>0</v>
      </c>
      <c r="I426" s="93">
        <f>SUM('1:2'!I426)</f>
        <v>0</v>
      </c>
      <c r="J426" s="31"/>
      <c r="K426" s="35">
        <f t="array" ref="K426">IF(ISERROR(G426/L426),"",G426/L426)</f>
        <v>0</v>
      </c>
      <c r="L426" s="87">
        <v>4</v>
      </c>
      <c r="M426" s="36">
        <f t="shared" si="166"/>
        <v>0</v>
      </c>
      <c r="N426" s="31"/>
      <c r="O426" s="93">
        <f>SUM('1:2'!O426)</f>
        <v>0</v>
      </c>
      <c r="P426" s="93">
        <f>SUM('1:2'!P426)</f>
        <v>0</v>
      </c>
      <c r="Q426" s="93">
        <f>SUM('1:2'!Q426)</f>
        <v>0</v>
      </c>
      <c r="R426" s="93">
        <f>SUM('1:2'!R426)</f>
        <v>0</v>
      </c>
      <c r="S426" s="93">
        <f>SUM('1:2'!S426)</f>
        <v>0</v>
      </c>
      <c r="T426" s="93">
        <f>SUM('1:2'!T426)</f>
        <v>0</v>
      </c>
      <c r="U426" s="93">
        <f>SUM('1:2'!U426)</f>
        <v>0</v>
      </c>
      <c r="V426" s="206"/>
      <c r="W426" s="33"/>
      <c r="X426" s="93">
        <f>SUM('1:2'!X426)</f>
        <v>0</v>
      </c>
      <c r="Y426" s="93">
        <f>SUM('1:2'!Y426)</f>
        <v>0</v>
      </c>
      <c r="Z426" s="93">
        <f>SUM('1:2'!Z426)</f>
        <v>0</v>
      </c>
      <c r="AA426" s="93">
        <f>SUM('1:2'!AA426)</f>
        <v>0</v>
      </c>
      <c r="AB426" s="358">
        <v>0.95</v>
      </c>
      <c r="AC426" s="269">
        <f t="shared" si="170"/>
        <v>0</v>
      </c>
      <c r="AD426" s="251"/>
      <c r="AE426" s="54"/>
      <c r="AF426" s="54"/>
      <c r="AG426" s="54"/>
      <c r="AH426" s="5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5" customHeight="1">
      <c r="A427" s="318">
        <v>30300006</v>
      </c>
      <c r="B427" s="63" t="s">
        <v>362</v>
      </c>
      <c r="C427" s="16" t="s">
        <v>341</v>
      </c>
      <c r="D427" s="17"/>
      <c r="E427" s="17"/>
      <c r="F427" s="6"/>
      <c r="G427" s="93">
        <f>SUM('1:2'!G427)</f>
        <v>0</v>
      </c>
      <c r="H427" s="246">
        <f t="shared" si="147"/>
        <v>0</v>
      </c>
      <c r="I427" s="93">
        <f>SUM('1:2'!I427)</f>
        <v>0</v>
      </c>
      <c r="J427" s="31"/>
      <c r="K427" s="35">
        <f t="array" ref="K427">IF(ISERROR(G427/L427),"",G427/L427)</f>
        <v>0</v>
      </c>
      <c r="L427" s="87">
        <v>4</v>
      </c>
      <c r="M427" s="36">
        <f t="shared" si="166"/>
        <v>0</v>
      </c>
      <c r="N427" s="31"/>
      <c r="O427" s="93">
        <f>SUM('1:2'!O427)</f>
        <v>0</v>
      </c>
      <c r="P427" s="93">
        <f>SUM('1:2'!P427)</f>
        <v>0</v>
      </c>
      <c r="Q427" s="93">
        <f>SUM('1:2'!Q427)</f>
        <v>0</v>
      </c>
      <c r="R427" s="93">
        <f>SUM('1:2'!R427)</f>
        <v>0</v>
      </c>
      <c r="S427" s="93">
        <f>SUM('1:2'!S427)</f>
        <v>0</v>
      </c>
      <c r="T427" s="93">
        <f>SUM('1:2'!T427)</f>
        <v>0</v>
      </c>
      <c r="U427" s="93">
        <f>SUM('1:2'!U427)</f>
        <v>0</v>
      </c>
      <c r="V427" s="206"/>
      <c r="W427" s="33"/>
      <c r="X427" s="93">
        <f>SUM('1:2'!X427)</f>
        <v>0</v>
      </c>
      <c r="Y427" s="93">
        <f>SUM('1:2'!Y427)</f>
        <v>0</v>
      </c>
      <c r="Z427" s="93">
        <f>SUM('1:2'!Z427)</f>
        <v>0</v>
      </c>
      <c r="AA427" s="93">
        <f>SUM('1:2'!AA427)</f>
        <v>0</v>
      </c>
      <c r="AB427" s="358">
        <v>0.95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5.75">
      <c r="A428" s="739" t="s">
        <v>86</v>
      </c>
      <c r="B428" s="739"/>
      <c r="C428" s="243" t="s">
        <v>71</v>
      </c>
      <c r="D428" s="20"/>
      <c r="E428" s="20"/>
      <c r="F428" s="32"/>
      <c r="G428" s="94">
        <f>SUM(G371:G427)</f>
        <v>0</v>
      </c>
      <c r="H428" s="30">
        <f>SUM(H371:H427)</f>
        <v>0</v>
      </c>
      <c r="I428" s="30">
        <f>SUM(I371:I427)</f>
        <v>0</v>
      </c>
      <c r="J428" s="31" t="str">
        <f t="array" ref="J428">IF(ISERROR(G428/I428),"",G428/I428)</f>
        <v/>
      </c>
      <c r="K428" s="30">
        <f>SUM(K371:K427)</f>
        <v>0</v>
      </c>
      <c r="L428" s="87"/>
      <c r="M428" s="89">
        <f t="shared" ref="M428:V428" si="171">SUM(M371:M427)</f>
        <v>0</v>
      </c>
      <c r="N428" s="30">
        <f t="shared" si="171"/>
        <v>0</v>
      </c>
      <c r="O428" s="91">
        <f t="shared" si="171"/>
        <v>0</v>
      </c>
      <c r="P428" s="91">
        <f t="shared" si="171"/>
        <v>0</v>
      </c>
      <c r="Q428" s="91">
        <f t="shared" si="171"/>
        <v>0</v>
      </c>
      <c r="R428" s="91">
        <f t="shared" si="171"/>
        <v>0</v>
      </c>
      <c r="S428" s="92">
        <f t="shared" si="171"/>
        <v>0</v>
      </c>
      <c r="T428" s="91">
        <f t="shared" si="171"/>
        <v>0</v>
      </c>
      <c r="U428" s="91">
        <f t="shared" si="171"/>
        <v>0</v>
      </c>
      <c r="V428" s="206">
        <f t="shared" si="171"/>
        <v>0</v>
      </c>
      <c r="W428" s="33" t="str">
        <f t="shared" ref="W428:W435" si="172">IF(ISERROR(V428/G428),"",V428/G428)</f>
        <v/>
      </c>
      <c r="X428" s="92">
        <f>SUM(X371:X427)</f>
        <v>0</v>
      </c>
      <c r="Y428" s="92">
        <f>SUM(Y371:Y427)</f>
        <v>0</v>
      </c>
      <c r="Z428" s="92">
        <f>SUM(Z371:Z427)</f>
        <v>0</v>
      </c>
      <c r="AA428" s="92">
        <f>SUM(AA371:AA427)</f>
        <v>0</v>
      </c>
      <c r="AB428" s="75"/>
      <c r="AC428" s="273"/>
      <c r="AD428" s="251"/>
      <c r="AE428" s="74"/>
      <c r="AF428" s="74"/>
      <c r="AG428" s="74"/>
      <c r="AH428" s="7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30400012</v>
      </c>
      <c r="B429" s="61" t="s">
        <v>87</v>
      </c>
      <c r="C429" s="16" t="s">
        <v>53</v>
      </c>
      <c r="D429" s="17">
        <v>5.03</v>
      </c>
      <c r="E429" s="17"/>
      <c r="F429" s="6"/>
      <c r="G429" s="93">
        <f>SUM('1:2'!G429)</f>
        <v>841</v>
      </c>
      <c r="H429" s="246">
        <f>D429*G429</f>
        <v>4230.2300000000005</v>
      </c>
      <c r="I429" s="93">
        <f>SUM('1:2'!I429)</f>
        <v>65</v>
      </c>
      <c r="J429" s="31">
        <f t="array" ref="J429">IF(ISERROR(G429/I429),"",G429/I429)</f>
        <v>12.938461538461539</v>
      </c>
      <c r="K429" s="35">
        <f t="array" ref="K429">IF(ISERROR(G429/L429),"",G429/L429)</f>
        <v>95.568181818181813</v>
      </c>
      <c r="L429" s="87">
        <v>8.8000000000000007</v>
      </c>
      <c r="M429" s="36">
        <f t="shared" ref="M429:M436" si="173">IF(ISERROR(I429-K429),"",I429-K429)</f>
        <v>-30.568181818181813</v>
      </c>
      <c r="N429" s="31">
        <f t="shared" ref="N429:N436" si="174">SUM(O429:U429)</f>
        <v>0</v>
      </c>
      <c r="O429" s="93">
        <f>SUM('1:2'!O429)</f>
        <v>0</v>
      </c>
      <c r="P429" s="93">
        <f>SUM('1:2'!P429)</f>
        <v>0</v>
      </c>
      <c r="Q429" s="93">
        <f>SUM('1:2'!Q429)</f>
        <v>0</v>
      </c>
      <c r="R429" s="93">
        <f>SUM('1:2'!R429)</f>
        <v>0</v>
      </c>
      <c r="S429" s="93">
        <f>SUM('1:2'!S429)</f>
        <v>0</v>
      </c>
      <c r="T429" s="93">
        <f>SUM('1:2'!T429)</f>
        <v>0</v>
      </c>
      <c r="U429" s="93">
        <f>SUM('1:2'!U429)</f>
        <v>0</v>
      </c>
      <c r="V429" s="206">
        <f t="shared" ref="V429:V435" si="175">SUM(X429:AA429)</f>
        <v>0</v>
      </c>
      <c r="W429" s="33">
        <f t="shared" si="172"/>
        <v>0</v>
      </c>
      <c r="X429" s="93">
        <f>SUM('1:2'!X429)</f>
        <v>0</v>
      </c>
      <c r="Y429" s="93">
        <f>SUM('1:2'!Y429)</f>
        <v>0</v>
      </c>
      <c r="Z429" s="93">
        <f>SUM('1:2'!Z429)</f>
        <v>0</v>
      </c>
      <c r="AA429" s="93">
        <f>SUM('1:2'!AA429)</f>
        <v>0</v>
      </c>
      <c r="AB429" s="358">
        <v>1.18</v>
      </c>
      <c r="AC429" s="269">
        <f t="shared" si="170"/>
        <v>992.38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30400010</v>
      </c>
      <c r="B430" s="61" t="s">
        <v>87</v>
      </c>
      <c r="C430" s="16" t="s">
        <v>60</v>
      </c>
      <c r="D430" s="17">
        <v>5.03</v>
      </c>
      <c r="E430" s="17"/>
      <c r="F430" s="6"/>
      <c r="G430" s="93">
        <f>SUM('1:2'!G430)</f>
        <v>0</v>
      </c>
      <c r="H430" s="246">
        <f t="shared" ref="H430:H462" si="176">D430*G430</f>
        <v>0</v>
      </c>
      <c r="I430" s="93">
        <f>SUM('1:2'!I430)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8.8000000000000007</v>
      </c>
      <c r="M430" s="36">
        <f t="shared" si="173"/>
        <v>0</v>
      </c>
      <c r="N430" s="31">
        <f t="shared" si="174"/>
        <v>0</v>
      </c>
      <c r="O430" s="93">
        <f>SUM('1:2'!O430)</f>
        <v>0</v>
      </c>
      <c r="P430" s="93">
        <f>SUM('1:2'!P430)</f>
        <v>0</v>
      </c>
      <c r="Q430" s="93">
        <f>SUM('1:2'!Q430)</f>
        <v>0</v>
      </c>
      <c r="R430" s="93">
        <f>SUM('1:2'!R430)</f>
        <v>0</v>
      </c>
      <c r="S430" s="93">
        <f>SUM('1:2'!S430)</f>
        <v>0</v>
      </c>
      <c r="T430" s="93">
        <f>SUM('1:2'!T430)</f>
        <v>0</v>
      </c>
      <c r="U430" s="93">
        <f>SUM('1:2'!U430)</f>
        <v>0</v>
      </c>
      <c r="V430" s="206">
        <f t="shared" si="175"/>
        <v>0</v>
      </c>
      <c r="W430" s="33" t="str">
        <f t="shared" si="172"/>
        <v/>
      </c>
      <c r="X430" s="93">
        <f>SUM('1:2'!X430)</f>
        <v>0</v>
      </c>
      <c r="Y430" s="93">
        <f>SUM('1:2'!Y430)</f>
        <v>0</v>
      </c>
      <c r="Z430" s="93">
        <f>SUM('1:2'!Z430)</f>
        <v>0</v>
      </c>
      <c r="AA430" s="93">
        <f>SUM('1:2'!AA430)</f>
        <v>0</v>
      </c>
      <c r="AB430" s="358">
        <v>1.18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30400011</v>
      </c>
      <c r="B431" s="61" t="s">
        <v>87</v>
      </c>
      <c r="C431" s="16" t="s">
        <v>74</v>
      </c>
      <c r="D431" s="17">
        <v>5.03</v>
      </c>
      <c r="E431" s="17"/>
      <c r="F431" s="6"/>
      <c r="G431" s="93">
        <f>SUM('1:2'!G431)</f>
        <v>0</v>
      </c>
      <c r="H431" s="246">
        <f t="shared" si="176"/>
        <v>0</v>
      </c>
      <c r="I431" s="93">
        <f>SUM('1:2'!I431)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8.8000000000000007</v>
      </c>
      <c r="M431" s="36">
        <f t="shared" si="173"/>
        <v>0</v>
      </c>
      <c r="N431" s="31">
        <f t="shared" si="174"/>
        <v>0</v>
      </c>
      <c r="O431" s="93">
        <f>SUM('1:2'!O431)</f>
        <v>0</v>
      </c>
      <c r="P431" s="93">
        <f>SUM('1:2'!P431)</f>
        <v>0</v>
      </c>
      <c r="Q431" s="93">
        <f>SUM('1:2'!Q431)</f>
        <v>0</v>
      </c>
      <c r="R431" s="93">
        <f>SUM('1:2'!R431)</f>
        <v>0</v>
      </c>
      <c r="S431" s="93">
        <f>SUM('1:2'!S431)</f>
        <v>0</v>
      </c>
      <c r="T431" s="93">
        <f>SUM('1:2'!T431)</f>
        <v>0</v>
      </c>
      <c r="U431" s="93">
        <f>SUM('1:2'!U431)</f>
        <v>0</v>
      </c>
      <c r="V431" s="206">
        <f t="shared" si="175"/>
        <v>0</v>
      </c>
      <c r="W431" s="33" t="str">
        <f t="shared" si="172"/>
        <v/>
      </c>
      <c r="X431" s="93">
        <f>SUM('1:2'!X431)</f>
        <v>0</v>
      </c>
      <c r="Y431" s="93">
        <f>SUM('1:2'!Y431)</f>
        <v>0</v>
      </c>
      <c r="Z431" s="93">
        <f>SUM('1:2'!Z431)</f>
        <v>0</v>
      </c>
      <c r="AA431" s="93">
        <f>SUM('1:2'!AA431)</f>
        <v>0</v>
      </c>
      <c r="AB431" s="358">
        <v>1.18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30400014</v>
      </c>
      <c r="B432" s="215" t="s">
        <v>513</v>
      </c>
      <c r="C432" s="16" t="s">
        <v>53</v>
      </c>
      <c r="D432" s="17">
        <v>5.03</v>
      </c>
      <c r="E432" s="17"/>
      <c r="F432" s="6"/>
      <c r="G432" s="93">
        <f>SUM('1:2'!G432)</f>
        <v>0</v>
      </c>
      <c r="H432" s="246">
        <f t="shared" si="176"/>
        <v>0</v>
      </c>
      <c r="I432" s="93">
        <f>SUM('1:2'!I432)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SUM('1:2'!O432)</f>
        <v>0</v>
      </c>
      <c r="P432" s="93">
        <f>SUM('1:2'!P432)</f>
        <v>0</v>
      </c>
      <c r="Q432" s="93">
        <f>SUM('1:2'!Q432)</f>
        <v>0</v>
      </c>
      <c r="R432" s="93">
        <f>SUM('1:2'!R432)</f>
        <v>0</v>
      </c>
      <c r="S432" s="93">
        <f>SUM('1:2'!S432)</f>
        <v>0</v>
      </c>
      <c r="T432" s="93">
        <f>SUM('1:2'!T432)</f>
        <v>0</v>
      </c>
      <c r="U432" s="93">
        <f>SUM('1:2'!U432)</f>
        <v>0</v>
      </c>
      <c r="V432" s="206">
        <f t="shared" si="175"/>
        <v>0</v>
      </c>
      <c r="W432" s="33" t="str">
        <f t="shared" si="172"/>
        <v/>
      </c>
      <c r="X432" s="93">
        <f>SUM('1:2'!X432)</f>
        <v>0</v>
      </c>
      <c r="Y432" s="93">
        <f>SUM('1:2'!Y432)</f>
        <v>0</v>
      </c>
      <c r="Z432" s="93">
        <f>SUM('1:2'!Z432)</f>
        <v>0</v>
      </c>
      <c r="AA432" s="93">
        <f>SUM('1:2'!AA432)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30400013</v>
      </c>
      <c r="B433" s="215" t="s">
        <v>473</v>
      </c>
      <c r="C433" s="16" t="s">
        <v>72</v>
      </c>
      <c r="D433" s="17">
        <v>5.03</v>
      </c>
      <c r="E433" s="17"/>
      <c r="F433" s="6"/>
      <c r="G433" s="93">
        <f>SUM('1:2'!G433)</f>
        <v>0</v>
      </c>
      <c r="H433" s="246">
        <f t="shared" si="176"/>
        <v>0</v>
      </c>
      <c r="I433" s="93">
        <f>SUM('1:2'!I433)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SUM('1:2'!O433)</f>
        <v>0</v>
      </c>
      <c r="P433" s="93">
        <f>SUM('1:2'!P433)</f>
        <v>0</v>
      </c>
      <c r="Q433" s="93">
        <f>SUM('1:2'!Q433)</f>
        <v>0</v>
      </c>
      <c r="R433" s="93">
        <f>SUM('1:2'!R433)</f>
        <v>0</v>
      </c>
      <c r="S433" s="93">
        <f>SUM('1:2'!S433)</f>
        <v>0</v>
      </c>
      <c r="T433" s="93">
        <f>SUM('1:2'!T433)</f>
        <v>0</v>
      </c>
      <c r="U433" s="93">
        <f>SUM('1:2'!U433)</f>
        <v>0</v>
      </c>
      <c r="V433" s="206">
        <f t="shared" si="175"/>
        <v>0</v>
      </c>
      <c r="W433" s="33" t="str">
        <f t="shared" si="172"/>
        <v/>
      </c>
      <c r="X433" s="93">
        <f>SUM('1:2'!X433)</f>
        <v>0</v>
      </c>
      <c r="Y433" s="93">
        <f>SUM('1:2'!Y433)</f>
        <v>0</v>
      </c>
      <c r="Z433" s="93">
        <f>SUM('1:2'!Z433)</f>
        <v>0</v>
      </c>
      <c r="AA433" s="93">
        <f>SUM('1:2'!AA433)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30400016</v>
      </c>
      <c r="B434" s="215" t="s">
        <v>513</v>
      </c>
      <c r="C434" s="16" t="s">
        <v>60</v>
      </c>
      <c r="D434" s="17">
        <v>5.03</v>
      </c>
      <c r="E434" s="17"/>
      <c r="F434" s="6"/>
      <c r="G434" s="93">
        <f>SUM('1:2'!G434)</f>
        <v>57</v>
      </c>
      <c r="H434" s="246">
        <f t="shared" si="176"/>
        <v>286.71000000000004</v>
      </c>
      <c r="I434" s="93">
        <f>SUM('1:2'!I434)</f>
        <v>31.5</v>
      </c>
      <c r="J434" s="31">
        <f t="array" ref="J434">IF(ISERROR(G434/I434),"",G434/I434)</f>
        <v>1.8095238095238095</v>
      </c>
      <c r="K434" s="35">
        <f t="array" ref="K434">IF(ISERROR(G434/L434),"",G434/L434)</f>
        <v>6.129032258064516</v>
      </c>
      <c r="L434" s="87">
        <v>9.3000000000000007</v>
      </c>
      <c r="M434" s="36">
        <f t="shared" si="173"/>
        <v>25.370967741935484</v>
      </c>
      <c r="N434" s="31">
        <f t="shared" si="174"/>
        <v>0</v>
      </c>
      <c r="O434" s="93">
        <f>SUM('1:2'!O434)</f>
        <v>0</v>
      </c>
      <c r="P434" s="93">
        <f>SUM('1:2'!P434)</f>
        <v>0</v>
      </c>
      <c r="Q434" s="93">
        <f>SUM('1:2'!Q434)</f>
        <v>0</v>
      </c>
      <c r="R434" s="93">
        <f>SUM('1:2'!R434)</f>
        <v>0</v>
      </c>
      <c r="S434" s="93">
        <f>SUM('1:2'!S434)</f>
        <v>0</v>
      </c>
      <c r="T434" s="93">
        <f>SUM('1:2'!T434)</f>
        <v>0</v>
      </c>
      <c r="U434" s="93">
        <f>SUM('1:2'!U434)</f>
        <v>0</v>
      </c>
      <c r="V434" s="206">
        <f t="shared" si="175"/>
        <v>0</v>
      </c>
      <c r="W434" s="33">
        <f t="shared" si="172"/>
        <v>0</v>
      </c>
      <c r="X434" s="93">
        <f>SUM('1:2'!X434)</f>
        <v>0</v>
      </c>
      <c r="Y434" s="93">
        <f>SUM('1:2'!Y434)</f>
        <v>0</v>
      </c>
      <c r="Z434" s="93">
        <f>SUM('1:2'!Z434)</f>
        <v>0</v>
      </c>
      <c r="AA434" s="93">
        <f>SUM('1:2'!AA434)</f>
        <v>0</v>
      </c>
      <c r="AB434" s="358">
        <v>1.1100000000000001</v>
      </c>
      <c r="AC434" s="269">
        <f t="shared" si="170"/>
        <v>63.27</v>
      </c>
      <c r="AD434" s="251"/>
      <c r="AE434" s="54"/>
      <c r="AF434" s="54"/>
      <c r="AG434" s="54"/>
      <c r="AH434" s="54"/>
      <c r="AI434" s="57"/>
      <c r="AJ434" s="57"/>
      <c r="AK434" s="57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</row>
    <row r="435" spans="1:53" ht="17.25">
      <c r="A435" s="320">
        <v>30400017</v>
      </c>
      <c r="B435" s="215" t="s">
        <v>513</v>
      </c>
      <c r="C435" s="16" t="s">
        <v>66</v>
      </c>
      <c r="D435" s="17">
        <v>5.03</v>
      </c>
      <c r="E435" s="17"/>
      <c r="F435" s="6"/>
      <c r="G435" s="93">
        <f>SUM('1:2'!G435)</f>
        <v>0</v>
      </c>
      <c r="H435" s="246">
        <f t="shared" si="176"/>
        <v>0</v>
      </c>
      <c r="I435" s="93">
        <f>SUM('1:2'!I435)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9.3000000000000007</v>
      </c>
      <c r="M435" s="36">
        <f t="shared" si="173"/>
        <v>0</v>
      </c>
      <c r="N435" s="31">
        <f t="shared" si="174"/>
        <v>0</v>
      </c>
      <c r="O435" s="93">
        <f>SUM('1:2'!O435)</f>
        <v>0</v>
      </c>
      <c r="P435" s="93">
        <f>SUM('1:2'!P435)</f>
        <v>0</v>
      </c>
      <c r="Q435" s="93">
        <f>SUM('1:2'!Q435)</f>
        <v>0</v>
      </c>
      <c r="R435" s="93">
        <f>SUM('1:2'!R435)</f>
        <v>0</v>
      </c>
      <c r="S435" s="93">
        <f>SUM('1:2'!S435)</f>
        <v>0</v>
      </c>
      <c r="T435" s="93">
        <f>SUM('1:2'!T435)</f>
        <v>0</v>
      </c>
      <c r="U435" s="93">
        <f>SUM('1:2'!U435)</f>
        <v>0</v>
      </c>
      <c r="V435" s="206">
        <f t="shared" si="175"/>
        <v>0</v>
      </c>
      <c r="W435" s="33" t="str">
        <f t="shared" si="172"/>
        <v/>
      </c>
      <c r="X435" s="93">
        <f>SUM('1:2'!X435)</f>
        <v>0</v>
      </c>
      <c r="Y435" s="93">
        <f>SUM('1:2'!Y435)</f>
        <v>0</v>
      </c>
      <c r="Z435" s="93">
        <f>SUM('1:2'!Z435)</f>
        <v>0</v>
      </c>
      <c r="AA435" s="93">
        <f>SUM('1:2'!AA435)</f>
        <v>0</v>
      </c>
      <c r="AB435" s="358">
        <v>1.1100000000000001</v>
      </c>
      <c r="AC435" s="269">
        <f t="shared" si="170"/>
        <v>0</v>
      </c>
      <c r="AD435" s="251"/>
      <c r="AE435" s="54"/>
      <c r="AF435" s="54"/>
      <c r="AG435" s="54"/>
      <c r="AH435" s="54"/>
      <c r="AI435" s="57"/>
      <c r="AJ435" s="57"/>
      <c r="AK435" s="57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</row>
    <row r="436" spans="1:53" ht="17.25">
      <c r="A436" s="320">
        <v>30400015</v>
      </c>
      <c r="B436" s="65" t="s">
        <v>512</v>
      </c>
      <c r="C436" s="16" t="s">
        <v>177</v>
      </c>
      <c r="D436" s="17">
        <v>5.03</v>
      </c>
      <c r="E436" s="17"/>
      <c r="F436" s="6"/>
      <c r="G436" s="93">
        <f>SUM('1:2'!G436)</f>
        <v>834</v>
      </c>
      <c r="H436" s="246">
        <f t="shared" si="176"/>
        <v>4195.0200000000004</v>
      </c>
      <c r="I436" s="93">
        <f>SUM('1:2'!I436)</f>
        <v>77</v>
      </c>
      <c r="J436" s="31"/>
      <c r="K436" s="35">
        <f t="array" ref="K436">IF(ISERROR(G436/L436),"",G436/L436)</f>
        <v>89.677419354838705</v>
      </c>
      <c r="L436" s="87">
        <v>9.3000000000000007</v>
      </c>
      <c r="M436" s="36">
        <f t="shared" si="173"/>
        <v>-12.677419354838705</v>
      </c>
      <c r="N436" s="31">
        <f t="shared" si="174"/>
        <v>0</v>
      </c>
      <c r="O436" s="93">
        <f>SUM('1:2'!O436)</f>
        <v>0</v>
      </c>
      <c r="P436" s="93">
        <f>SUM('1:2'!P436)</f>
        <v>0</v>
      </c>
      <c r="Q436" s="93">
        <f>SUM('1:2'!Q436)</f>
        <v>0</v>
      </c>
      <c r="R436" s="93">
        <f>SUM('1:2'!R436)</f>
        <v>0</v>
      </c>
      <c r="S436" s="93">
        <f>SUM('1:2'!S436)</f>
        <v>0</v>
      </c>
      <c r="T436" s="93">
        <f>SUM('1:2'!T436)</f>
        <v>0</v>
      </c>
      <c r="U436" s="93">
        <f>SUM('1:2'!U436)</f>
        <v>0</v>
      </c>
      <c r="V436" s="207"/>
      <c r="W436" s="33"/>
      <c r="X436" s="93">
        <f>SUM('1:2'!X436)</f>
        <v>0</v>
      </c>
      <c r="Y436" s="93">
        <f>SUM('1:2'!Y436)</f>
        <v>0</v>
      </c>
      <c r="Z436" s="93">
        <f>SUM('1:2'!Z436)</f>
        <v>0</v>
      </c>
      <c r="AA436" s="93">
        <f>SUM('1:2'!AA436)</f>
        <v>0</v>
      </c>
      <c r="AB436" s="358">
        <v>0.84</v>
      </c>
      <c r="AC436" s="269">
        <f t="shared" si="170"/>
        <v>700.56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30600004</v>
      </c>
      <c r="B437" s="65" t="s">
        <v>162</v>
      </c>
      <c r="C437" s="16" t="s">
        <v>53</v>
      </c>
      <c r="D437" s="17">
        <v>5.03</v>
      </c>
      <c r="E437" s="17"/>
      <c r="F437" s="6"/>
      <c r="G437" s="93">
        <f>SUM('1:2'!G437)</f>
        <v>0</v>
      </c>
      <c r="H437" s="246">
        <f t="shared" si="176"/>
        <v>0</v>
      </c>
      <c r="I437" s="93">
        <f>SUM('1:2'!I437)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SUM('1:2'!O437)</f>
        <v>0</v>
      </c>
      <c r="P437" s="93">
        <f>SUM('1:2'!P437)</f>
        <v>0</v>
      </c>
      <c r="Q437" s="93">
        <f>SUM('1:2'!Q437)</f>
        <v>0</v>
      </c>
      <c r="R437" s="93">
        <f>SUM('1:2'!R437)</f>
        <v>0</v>
      </c>
      <c r="S437" s="93">
        <f>SUM('1:2'!S437)</f>
        <v>0</v>
      </c>
      <c r="T437" s="93">
        <f>SUM('1:2'!T437)</f>
        <v>0</v>
      </c>
      <c r="U437" s="93">
        <f>SUM('1:2'!U437)</f>
        <v>0</v>
      </c>
      <c r="V437" s="207">
        <f>SUM(X437:AA437)</f>
        <v>0</v>
      </c>
      <c r="W437" s="33" t="str">
        <f>IF(ISERROR(V437/G437),"",V437/G437)</f>
        <v/>
      </c>
      <c r="X437" s="93">
        <f>SUM('1:2'!X437)</f>
        <v>0</v>
      </c>
      <c r="Y437" s="93">
        <f>SUM('1:2'!Y437)</f>
        <v>0</v>
      </c>
      <c r="Z437" s="93">
        <f>SUM('1:2'!Z437)</f>
        <v>0</v>
      </c>
      <c r="AA437" s="93">
        <f>SUM('1:2'!AA437)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30600001</v>
      </c>
      <c r="B438" s="65" t="s">
        <v>162</v>
      </c>
      <c r="C438" s="16" t="s">
        <v>55</v>
      </c>
      <c r="D438" s="17">
        <v>5.03</v>
      </c>
      <c r="E438" s="17"/>
      <c r="F438" s="6"/>
      <c r="G438" s="93">
        <f>SUM('1:2'!G438)</f>
        <v>0</v>
      </c>
      <c r="H438" s="246">
        <f t="shared" si="176"/>
        <v>0</v>
      </c>
      <c r="I438" s="93">
        <f>SUM('1:2'!I438)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SUM('1:2'!O438)</f>
        <v>0</v>
      </c>
      <c r="P438" s="93">
        <f>SUM('1:2'!P438)</f>
        <v>0</v>
      </c>
      <c r="Q438" s="93">
        <f>SUM('1:2'!Q438)</f>
        <v>0</v>
      </c>
      <c r="R438" s="93">
        <f>SUM('1:2'!R438)</f>
        <v>0</v>
      </c>
      <c r="S438" s="93">
        <f>SUM('1:2'!S438)</f>
        <v>0</v>
      </c>
      <c r="T438" s="93">
        <f>SUM('1:2'!T438)</f>
        <v>0</v>
      </c>
      <c r="U438" s="93">
        <f>SUM('1:2'!U438)</f>
        <v>0</v>
      </c>
      <c r="V438" s="207">
        <f>SUM(X438:AA438)</f>
        <v>0</v>
      </c>
      <c r="W438" s="33" t="str">
        <f>IF(ISERROR(V438/G438),"",V438/G438)</f>
        <v/>
      </c>
      <c r="X438" s="93">
        <f>SUM('1:2'!X438)</f>
        <v>0</v>
      </c>
      <c r="Y438" s="93">
        <f>SUM('1:2'!Y438)</f>
        <v>0</v>
      </c>
      <c r="Z438" s="93">
        <f>SUM('1:2'!Z438)</f>
        <v>0</v>
      </c>
      <c r="AA438" s="93">
        <f>SUM('1:2'!AA438)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30600002</v>
      </c>
      <c r="B439" s="65" t="s">
        <v>162</v>
      </c>
      <c r="C439" s="16" t="s">
        <v>60</v>
      </c>
      <c r="D439" s="17">
        <v>5.03</v>
      </c>
      <c r="E439" s="17"/>
      <c r="F439" s="6"/>
      <c r="G439" s="93">
        <f>SUM('1:2'!G439)</f>
        <v>0</v>
      </c>
      <c r="H439" s="246">
        <f t="shared" si="176"/>
        <v>0</v>
      </c>
      <c r="I439" s="93">
        <f>SUM('1:2'!I439)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8</v>
      </c>
      <c r="M439" s="36">
        <f>IF(ISERROR(I439-K439),"",I439-K439)</f>
        <v>0</v>
      </c>
      <c r="N439" s="31">
        <f>SUM(O439:U439)</f>
        <v>0</v>
      </c>
      <c r="O439" s="93">
        <f>SUM('1:2'!O439)</f>
        <v>0</v>
      </c>
      <c r="P439" s="93">
        <f>SUM('1:2'!P439)</f>
        <v>0</v>
      </c>
      <c r="Q439" s="93">
        <f>SUM('1:2'!Q439)</f>
        <v>0</v>
      </c>
      <c r="R439" s="93">
        <f>SUM('1:2'!R439)</f>
        <v>0</v>
      </c>
      <c r="S439" s="93">
        <f>SUM('1:2'!S439)</f>
        <v>0</v>
      </c>
      <c r="T439" s="93">
        <f>SUM('1:2'!T439)</f>
        <v>0</v>
      </c>
      <c r="U439" s="93">
        <f>SUM('1:2'!U439)</f>
        <v>0</v>
      </c>
      <c r="V439" s="207">
        <f>SUM(X439:AA439)</f>
        <v>0</v>
      </c>
      <c r="W439" s="33" t="str">
        <f>IF(ISERROR(V439/G439),"",V439/G439)</f>
        <v/>
      </c>
      <c r="X439" s="93">
        <f>SUM('1:2'!X439)</f>
        <v>0</v>
      </c>
      <c r="Y439" s="93">
        <f>SUM('1:2'!Y439)</f>
        <v>0</v>
      </c>
      <c r="Z439" s="93">
        <f>SUM('1:2'!Z439)</f>
        <v>0</v>
      </c>
      <c r="AA439" s="93">
        <f>SUM('1:2'!AA439)</f>
        <v>0</v>
      </c>
      <c r="AB439" s="358">
        <v>1.06</v>
      </c>
      <c r="AC439" s="269">
        <f t="shared" si="170"/>
        <v>0</v>
      </c>
      <c r="AD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</row>
    <row r="440" spans="1:53" ht="17.25">
      <c r="A440" s="321">
        <v>30600003</v>
      </c>
      <c r="B440" s="65" t="s">
        <v>162</v>
      </c>
      <c r="C440" s="195" t="s">
        <v>89</v>
      </c>
      <c r="D440" s="17">
        <v>5.03</v>
      </c>
      <c r="E440" s="17"/>
      <c r="F440" s="6"/>
      <c r="G440" s="93">
        <f>SUM('1:2'!G440)</f>
        <v>0</v>
      </c>
      <c r="H440" s="246">
        <f t="shared" si="176"/>
        <v>0</v>
      </c>
      <c r="I440" s="93">
        <f>SUM('1:2'!I440)</f>
        <v>0</v>
      </c>
      <c r="J440" s="31" t="str">
        <f t="array" ref="J440">IF(ISERROR(G440/I440),"",G440/I440)</f>
        <v/>
      </c>
      <c r="K440" s="35">
        <f t="array" ref="K440">IF(ISERROR(G440/L440),"",G440/L440)</f>
        <v>0</v>
      </c>
      <c r="L440" s="87">
        <v>8</v>
      </c>
      <c r="M440" s="36">
        <f>IF(ISERROR(I440-K440),"",I440-K440)</f>
        <v>0</v>
      </c>
      <c r="N440" s="31">
        <f>SUM(O440:U440)</f>
        <v>0</v>
      </c>
      <c r="O440" s="93">
        <f>SUM('1:2'!O440)</f>
        <v>0</v>
      </c>
      <c r="P440" s="93">
        <f>SUM('1:2'!P440)</f>
        <v>0</v>
      </c>
      <c r="Q440" s="93">
        <f>SUM('1:2'!Q440)</f>
        <v>0</v>
      </c>
      <c r="R440" s="93">
        <f>SUM('1:2'!R440)</f>
        <v>0</v>
      </c>
      <c r="S440" s="93">
        <f>SUM('1:2'!S440)</f>
        <v>0</v>
      </c>
      <c r="T440" s="93">
        <f>SUM('1:2'!T440)</f>
        <v>0</v>
      </c>
      <c r="U440" s="93">
        <f>SUM('1:2'!U440)</f>
        <v>0</v>
      </c>
      <c r="V440" s="207">
        <f>SUM(X440:AA440)</f>
        <v>0</v>
      </c>
      <c r="W440" s="33" t="str">
        <f>IF(ISERROR(V440/G440),"",V440/G440)</f>
        <v/>
      </c>
      <c r="X440" s="93">
        <f>SUM('1:2'!X440)</f>
        <v>0</v>
      </c>
      <c r="Y440" s="93">
        <f>SUM('1:2'!Y440)</f>
        <v>0</v>
      </c>
      <c r="Z440" s="93">
        <f>SUM('1:2'!Z440)</f>
        <v>0</v>
      </c>
      <c r="AA440" s="93">
        <f>SUM('1:2'!AA440)</f>
        <v>0</v>
      </c>
      <c r="AB440" s="358">
        <v>1.06</v>
      </c>
      <c r="AC440" s="269">
        <f t="shared" si="170"/>
        <v>0</v>
      </c>
      <c r="AD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</row>
    <row r="441" spans="1:53" ht="17.25">
      <c r="A441" s="321">
        <v>30400030</v>
      </c>
      <c r="B441" s="65" t="s">
        <v>88</v>
      </c>
      <c r="C441" s="16" t="s">
        <v>53</v>
      </c>
      <c r="D441" s="17">
        <v>5.03</v>
      </c>
      <c r="E441" s="17"/>
      <c r="F441" s="6"/>
      <c r="G441" s="93">
        <f>SUM('1:2'!G441)</f>
        <v>0</v>
      </c>
      <c r="H441" s="246">
        <f t="shared" si="176"/>
        <v>0</v>
      </c>
      <c r="I441" s="93">
        <f>SUM('1:2'!I441)</f>
        <v>0</v>
      </c>
      <c r="J441" s="31" t="str">
        <f t="array" ref="J441">IF(ISERROR(G441/I441),"",G441/I441)</f>
        <v/>
      </c>
      <c r="K441" s="35">
        <f t="array" ref="K441">IF(ISERROR(G441/L441),"",G441/L441)</f>
        <v>0</v>
      </c>
      <c r="L441" s="87">
        <v>10</v>
      </c>
      <c r="M441" s="36">
        <f t="shared" ref="M441:M462" si="177">IF(ISERROR(I441-K441),"",I441-K441)</f>
        <v>0</v>
      </c>
      <c r="N441" s="31">
        <f t="shared" ref="N441:N456" si="178">SUM(O441:U441)</f>
        <v>0</v>
      </c>
      <c r="O441" s="93">
        <f>SUM('1:2'!O441)</f>
        <v>0</v>
      </c>
      <c r="P441" s="93">
        <f>SUM('1:2'!P441)</f>
        <v>0</v>
      </c>
      <c r="Q441" s="93">
        <f>SUM('1:2'!Q441)</f>
        <v>0</v>
      </c>
      <c r="R441" s="93">
        <f>SUM('1:2'!R441)</f>
        <v>0</v>
      </c>
      <c r="S441" s="93">
        <f>SUM('1:2'!S441)</f>
        <v>0</v>
      </c>
      <c r="T441" s="93">
        <f>SUM('1:2'!T441)</f>
        <v>0</v>
      </c>
      <c r="U441" s="93">
        <f>SUM('1:2'!U441)</f>
        <v>0</v>
      </c>
      <c r="V441" s="206">
        <f t="shared" ref="V441:V448" si="179">SUM(X441:AA441)</f>
        <v>0</v>
      </c>
      <c r="W441" s="33" t="str">
        <f t="shared" ref="W441:W448" si="180">IF(ISERROR(V441/G441),"",V441/G441)</f>
        <v/>
      </c>
      <c r="X441" s="93">
        <f>SUM('1:2'!X441)</f>
        <v>0</v>
      </c>
      <c r="Y441" s="93">
        <f>SUM('1:2'!Y441)</f>
        <v>0</v>
      </c>
      <c r="Z441" s="93">
        <f>SUM('1:2'!Z441)</f>
        <v>0</v>
      </c>
      <c r="AA441" s="93">
        <f>SUM('1:2'!AA441)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/>
      <c r="B442" s="65" t="s">
        <v>88</v>
      </c>
      <c r="C442" s="16" t="s">
        <v>72</v>
      </c>
      <c r="D442" s="17">
        <v>5.03</v>
      </c>
      <c r="E442" s="17"/>
      <c r="F442" s="6"/>
      <c r="G442" s="93">
        <f>SUM('1:2'!G442)</f>
        <v>0</v>
      </c>
      <c r="H442" s="246">
        <f t="shared" si="176"/>
        <v>0</v>
      </c>
      <c r="I442" s="93">
        <f>SUM('1:2'!I442)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SUM('1:2'!O442)</f>
        <v>0</v>
      </c>
      <c r="P442" s="93">
        <f>SUM('1:2'!P442)</f>
        <v>0</v>
      </c>
      <c r="Q442" s="93">
        <f>SUM('1:2'!Q442)</f>
        <v>0</v>
      </c>
      <c r="R442" s="93">
        <f>SUM('1:2'!R442)</f>
        <v>0</v>
      </c>
      <c r="S442" s="93">
        <f>SUM('1:2'!S442)</f>
        <v>0</v>
      </c>
      <c r="T442" s="93">
        <f>SUM('1:2'!T442)</f>
        <v>0</v>
      </c>
      <c r="U442" s="93">
        <f>SUM('1:2'!U442)</f>
        <v>0</v>
      </c>
      <c r="V442" s="206">
        <f t="shared" si="179"/>
        <v>0</v>
      </c>
      <c r="W442" s="33" t="str">
        <f t="shared" si="180"/>
        <v/>
      </c>
      <c r="X442" s="93">
        <f>SUM('1:2'!X442)</f>
        <v>0</v>
      </c>
      <c r="Y442" s="93">
        <f>SUM('1:2'!Y442)</f>
        <v>0</v>
      </c>
      <c r="Z442" s="93">
        <f>SUM('1:2'!Z442)</f>
        <v>0</v>
      </c>
      <c r="AA442" s="93">
        <f>SUM('1:2'!AA442)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/>
      <c r="B443" s="65" t="s">
        <v>88</v>
      </c>
      <c r="C443" s="16" t="s">
        <v>60</v>
      </c>
      <c r="D443" s="17">
        <v>5.03</v>
      </c>
      <c r="E443" s="17"/>
      <c r="F443" s="6"/>
      <c r="G443" s="93">
        <f>SUM('1:2'!G443)</f>
        <v>0</v>
      </c>
      <c r="H443" s="246">
        <f t="shared" si="176"/>
        <v>0</v>
      </c>
      <c r="I443" s="93">
        <f>SUM('1:2'!I443)</f>
        <v>0</v>
      </c>
      <c r="J443" s="31" t="str">
        <f t="array" ref="J443">IF(ISERROR(G443/I443),"",G443/I443)</f>
        <v/>
      </c>
      <c r="K443" s="35" t="str">
        <f t="array" ref="K443">IF(ISERROR(G443/L443),"",G443/L443)</f>
        <v/>
      </c>
      <c r="L443" s="87"/>
      <c r="M443" s="36" t="str">
        <f t="shared" si="177"/>
        <v/>
      </c>
      <c r="N443" s="31">
        <f t="shared" si="178"/>
        <v>0</v>
      </c>
      <c r="O443" s="93">
        <f>SUM('1:2'!O443)</f>
        <v>0</v>
      </c>
      <c r="P443" s="93">
        <f>SUM('1:2'!P443)</f>
        <v>0</v>
      </c>
      <c r="Q443" s="93">
        <f>SUM('1:2'!Q443)</f>
        <v>0</v>
      </c>
      <c r="R443" s="93">
        <f>SUM('1:2'!R443)</f>
        <v>0</v>
      </c>
      <c r="S443" s="93">
        <f>SUM('1:2'!S443)</f>
        <v>0</v>
      </c>
      <c r="T443" s="93">
        <f>SUM('1:2'!T443)</f>
        <v>0</v>
      </c>
      <c r="U443" s="93">
        <f>SUM('1:2'!U443)</f>
        <v>0</v>
      </c>
      <c r="V443" s="206">
        <f t="shared" si="179"/>
        <v>0</v>
      </c>
      <c r="W443" s="33" t="str">
        <f t="shared" si="180"/>
        <v/>
      </c>
      <c r="X443" s="93">
        <f>SUM('1:2'!X443)</f>
        <v>0</v>
      </c>
      <c r="Y443" s="93">
        <f>SUM('1:2'!Y443)</f>
        <v>0</v>
      </c>
      <c r="Z443" s="93">
        <f>SUM('1:2'!Z443)</f>
        <v>0</v>
      </c>
      <c r="AA443" s="93">
        <f>SUM('1:2'!AA443)</f>
        <v>0</v>
      </c>
      <c r="AB443" s="358">
        <v>1.04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30401031</v>
      </c>
      <c r="B444" s="65" t="s">
        <v>88</v>
      </c>
      <c r="C444" s="16" t="s">
        <v>66</v>
      </c>
      <c r="D444" s="17">
        <v>5.03</v>
      </c>
      <c r="E444" s="17"/>
      <c r="F444" s="6"/>
      <c r="G444" s="93">
        <f>SUM('1:2'!G444)</f>
        <v>0</v>
      </c>
      <c r="H444" s="246">
        <f t="shared" si="176"/>
        <v>0</v>
      </c>
      <c r="I444" s="93">
        <f>SUM('1:2'!I444)</f>
        <v>0</v>
      </c>
      <c r="J444" s="31" t="str">
        <f t="array" ref="J444">IF(ISERROR(G444/I444),"",G444/I444)</f>
        <v/>
      </c>
      <c r="K444" s="35" t="str">
        <f t="array" ref="K444">IF(ISERROR(G444/L444),"",G444/L444)</f>
        <v/>
      </c>
      <c r="L444" s="87"/>
      <c r="M444" s="36" t="str">
        <f t="shared" si="177"/>
        <v/>
      </c>
      <c r="N444" s="31">
        <f t="shared" si="178"/>
        <v>0</v>
      </c>
      <c r="O444" s="93">
        <f>SUM('1:2'!O444)</f>
        <v>0</v>
      </c>
      <c r="P444" s="93">
        <f>SUM('1:2'!P444)</f>
        <v>0</v>
      </c>
      <c r="Q444" s="93">
        <f>SUM('1:2'!Q444)</f>
        <v>0</v>
      </c>
      <c r="R444" s="93">
        <f>SUM('1:2'!R444)</f>
        <v>0</v>
      </c>
      <c r="S444" s="93">
        <f>SUM('1:2'!S444)</f>
        <v>0</v>
      </c>
      <c r="T444" s="93">
        <f>SUM('1:2'!T444)</f>
        <v>0</v>
      </c>
      <c r="U444" s="93">
        <f>SUM('1:2'!U444)</f>
        <v>0</v>
      </c>
      <c r="V444" s="206">
        <f t="shared" si="179"/>
        <v>0</v>
      </c>
      <c r="W444" s="33" t="str">
        <f t="shared" si="180"/>
        <v/>
      </c>
      <c r="X444" s="93">
        <f>SUM('1:2'!X444)</f>
        <v>0</v>
      </c>
      <c r="Y444" s="93">
        <f>SUM('1:2'!Y444)</f>
        <v>0</v>
      </c>
      <c r="Z444" s="93">
        <f>SUM('1:2'!Z444)</f>
        <v>0</v>
      </c>
      <c r="AA444" s="93">
        <f>SUM('1:2'!AA444)</f>
        <v>0</v>
      </c>
      <c r="AB444" s="358">
        <v>1.04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30600005</v>
      </c>
      <c r="B445" s="61" t="s">
        <v>90</v>
      </c>
      <c r="C445" s="16" t="s">
        <v>55</v>
      </c>
      <c r="D445" s="17">
        <v>9.36</v>
      </c>
      <c r="E445" s="17"/>
      <c r="F445" s="6"/>
      <c r="G445" s="93">
        <f>SUM('1:2'!G445)</f>
        <v>0</v>
      </c>
      <c r="H445" s="246">
        <f t="shared" si="176"/>
        <v>0</v>
      </c>
      <c r="I445" s="93">
        <f>SUM('1:2'!I445)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SUM('1:2'!O445)</f>
        <v>0</v>
      </c>
      <c r="P445" s="93">
        <f>SUM('1:2'!P445)</f>
        <v>0</v>
      </c>
      <c r="Q445" s="93">
        <f>SUM('1:2'!Q445)</f>
        <v>0</v>
      </c>
      <c r="R445" s="93">
        <f>SUM('1:2'!R445)</f>
        <v>0</v>
      </c>
      <c r="S445" s="93">
        <f>SUM('1:2'!S445)</f>
        <v>0</v>
      </c>
      <c r="T445" s="93">
        <f>SUM('1:2'!T445)</f>
        <v>0</v>
      </c>
      <c r="U445" s="93">
        <f>SUM('1:2'!U445)</f>
        <v>0</v>
      </c>
      <c r="V445" s="206">
        <f t="shared" si="179"/>
        <v>0</v>
      </c>
      <c r="W445" s="33" t="str">
        <f t="shared" si="180"/>
        <v/>
      </c>
      <c r="X445" s="93">
        <f>SUM('1:2'!X445)</f>
        <v>0</v>
      </c>
      <c r="Y445" s="93">
        <f>SUM('1:2'!Y445)</f>
        <v>0</v>
      </c>
      <c r="Z445" s="93">
        <f>SUM('1:2'!Z445)</f>
        <v>0</v>
      </c>
      <c r="AA445" s="93">
        <f>SUM('1:2'!AA445)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30600008</v>
      </c>
      <c r="B446" s="61" t="s">
        <v>90</v>
      </c>
      <c r="C446" s="16" t="s">
        <v>53</v>
      </c>
      <c r="D446" s="17">
        <v>9.36</v>
      </c>
      <c r="E446" s="17"/>
      <c r="F446" s="6"/>
      <c r="G446" s="93">
        <f>SUM('1:2'!G446)</f>
        <v>0</v>
      </c>
      <c r="H446" s="246">
        <f t="shared" si="176"/>
        <v>0</v>
      </c>
      <c r="I446" s="93">
        <f>SUM('1:2'!I446)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SUM('1:2'!O446)</f>
        <v>0</v>
      </c>
      <c r="P446" s="93">
        <f>SUM('1:2'!P446)</f>
        <v>0</v>
      </c>
      <c r="Q446" s="93">
        <f>SUM('1:2'!Q446)</f>
        <v>0</v>
      </c>
      <c r="R446" s="93">
        <f>SUM('1:2'!R446)</f>
        <v>0</v>
      </c>
      <c r="S446" s="93">
        <f>SUM('1:2'!S446)</f>
        <v>0</v>
      </c>
      <c r="T446" s="93">
        <f>SUM('1:2'!T446)</f>
        <v>0</v>
      </c>
      <c r="U446" s="93">
        <f>SUM('1:2'!U446)</f>
        <v>0</v>
      </c>
      <c r="V446" s="206">
        <f t="shared" si="179"/>
        <v>0</v>
      </c>
      <c r="W446" s="33" t="str">
        <f t="shared" si="180"/>
        <v/>
      </c>
      <c r="X446" s="93">
        <f>SUM('1:2'!X446)</f>
        <v>0</v>
      </c>
      <c r="Y446" s="93">
        <f>SUM('1:2'!Y446)</f>
        <v>0</v>
      </c>
      <c r="Z446" s="93">
        <f>SUM('1:2'!Z446)</f>
        <v>0</v>
      </c>
      <c r="AA446" s="93">
        <f>SUM('1:2'!AA446)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1">
        <v>30600007</v>
      </c>
      <c r="B447" s="61" t="s">
        <v>90</v>
      </c>
      <c r="C447" s="16" t="s">
        <v>89</v>
      </c>
      <c r="D447" s="17">
        <v>9.36</v>
      </c>
      <c r="E447" s="17"/>
      <c r="F447" s="6"/>
      <c r="G447" s="93">
        <f>SUM('1:2'!G447)</f>
        <v>0</v>
      </c>
      <c r="H447" s="246">
        <f t="shared" si="176"/>
        <v>0</v>
      </c>
      <c r="I447" s="93">
        <f>SUM('1:2'!I447)</f>
        <v>0</v>
      </c>
      <c r="J447" s="31" t="str">
        <f t="array" ref="J447">IF(ISERROR(G447/I447),"",G447/I447)</f>
        <v/>
      </c>
      <c r="K447" s="35">
        <f t="array" ref="K447">IF(ISERROR(G447/L447),"",G447/L447)</f>
        <v>0</v>
      </c>
      <c r="L447" s="87">
        <v>6</v>
      </c>
      <c r="M447" s="36">
        <f t="shared" si="177"/>
        <v>0</v>
      </c>
      <c r="N447" s="31">
        <f t="shared" si="178"/>
        <v>0</v>
      </c>
      <c r="O447" s="93">
        <f>SUM('1:2'!O447)</f>
        <v>0</v>
      </c>
      <c r="P447" s="93">
        <f>SUM('1:2'!P447)</f>
        <v>0</v>
      </c>
      <c r="Q447" s="93">
        <f>SUM('1:2'!Q447)</f>
        <v>0</v>
      </c>
      <c r="R447" s="93">
        <f>SUM('1:2'!R447)</f>
        <v>0</v>
      </c>
      <c r="S447" s="93">
        <f>SUM('1:2'!S447)</f>
        <v>0</v>
      </c>
      <c r="T447" s="93">
        <f>SUM('1:2'!T447)</f>
        <v>0</v>
      </c>
      <c r="U447" s="93">
        <f>SUM('1:2'!U447)</f>
        <v>0</v>
      </c>
      <c r="V447" s="206">
        <f t="shared" si="179"/>
        <v>0</v>
      </c>
      <c r="W447" s="33" t="str">
        <f t="shared" si="180"/>
        <v/>
      </c>
      <c r="X447" s="93">
        <f>SUM('1:2'!X447)</f>
        <v>0</v>
      </c>
      <c r="Y447" s="93">
        <f>SUM('1:2'!Y447)</f>
        <v>0</v>
      </c>
      <c r="Z447" s="93">
        <f>SUM('1:2'!Z447)</f>
        <v>0</v>
      </c>
      <c r="AA447" s="93">
        <f>SUM('1:2'!AA447)</f>
        <v>0</v>
      </c>
      <c r="AB447" s="358">
        <v>1.29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1">
        <v>30600006</v>
      </c>
      <c r="B448" s="61" t="s">
        <v>90</v>
      </c>
      <c r="C448" s="16" t="s">
        <v>60</v>
      </c>
      <c r="D448" s="17">
        <v>9.36</v>
      </c>
      <c r="E448" s="17"/>
      <c r="F448" s="6"/>
      <c r="G448" s="93">
        <f>SUM('1:2'!G448)</f>
        <v>0</v>
      </c>
      <c r="H448" s="246">
        <f t="shared" si="176"/>
        <v>0</v>
      </c>
      <c r="I448" s="93">
        <f>SUM('1:2'!I448)</f>
        <v>0</v>
      </c>
      <c r="J448" s="31" t="str">
        <f t="array" ref="J448">IF(ISERROR(G448/I448),"",G448/I448)</f>
        <v/>
      </c>
      <c r="K448" s="35">
        <f t="array" ref="K448">IF(ISERROR(G448/L448),"",G448/L448)</f>
        <v>0</v>
      </c>
      <c r="L448" s="87">
        <v>6</v>
      </c>
      <c r="M448" s="36">
        <f t="shared" si="177"/>
        <v>0</v>
      </c>
      <c r="N448" s="31">
        <f t="shared" si="178"/>
        <v>0</v>
      </c>
      <c r="O448" s="93">
        <f>SUM('1:2'!O448)</f>
        <v>0</v>
      </c>
      <c r="P448" s="93">
        <f>SUM('1:2'!P448)</f>
        <v>0</v>
      </c>
      <c r="Q448" s="93">
        <f>SUM('1:2'!Q448)</f>
        <v>0</v>
      </c>
      <c r="R448" s="93">
        <f>SUM('1:2'!R448)</f>
        <v>0</v>
      </c>
      <c r="S448" s="93">
        <f>SUM('1:2'!S448)</f>
        <v>0</v>
      </c>
      <c r="T448" s="93">
        <f>SUM('1:2'!T448)</f>
        <v>0</v>
      </c>
      <c r="U448" s="93">
        <f>SUM('1:2'!U448)</f>
        <v>0</v>
      </c>
      <c r="V448" s="206">
        <f t="shared" si="179"/>
        <v>0</v>
      </c>
      <c r="W448" s="33" t="str">
        <f t="shared" si="180"/>
        <v/>
      </c>
      <c r="X448" s="93">
        <f>SUM('1:2'!X448)</f>
        <v>0</v>
      </c>
      <c r="Y448" s="93">
        <f>SUM('1:2'!Y448)</f>
        <v>0</v>
      </c>
      <c r="Z448" s="93">
        <f>SUM('1:2'!Z448)</f>
        <v>0</v>
      </c>
      <c r="AA448" s="93">
        <f>SUM('1:2'!AA448)</f>
        <v>0</v>
      </c>
      <c r="AB448" s="358">
        <v>1.29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30400026</v>
      </c>
      <c r="B449" s="190" t="s">
        <v>393</v>
      </c>
      <c r="C449" s="187" t="s">
        <v>395</v>
      </c>
      <c r="D449" s="17">
        <v>5</v>
      </c>
      <c r="E449" s="17"/>
      <c r="F449" s="6"/>
      <c r="G449" s="93">
        <f>SUM('1:2'!G449)</f>
        <v>0</v>
      </c>
      <c r="H449" s="246">
        <f t="shared" si="176"/>
        <v>0</v>
      </c>
      <c r="I449" s="93">
        <f>SUM('1:2'!I449)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SUM('1:2'!O449)</f>
        <v>0</v>
      </c>
      <c r="P449" s="93">
        <f>SUM('1:2'!P449)</f>
        <v>0</v>
      </c>
      <c r="Q449" s="93">
        <f>SUM('1:2'!Q449)</f>
        <v>0</v>
      </c>
      <c r="R449" s="93">
        <f>SUM('1:2'!R449)</f>
        <v>0</v>
      </c>
      <c r="S449" s="93">
        <f>SUM('1:2'!S449)</f>
        <v>0</v>
      </c>
      <c r="T449" s="93">
        <f>SUM('1:2'!T449)</f>
        <v>0</v>
      </c>
      <c r="U449" s="93">
        <f>SUM('1:2'!U449)</f>
        <v>0</v>
      </c>
      <c r="V449" s="206"/>
      <c r="W449" s="33"/>
      <c r="X449" s="93">
        <f>SUM('1:2'!X449)</f>
        <v>0</v>
      </c>
      <c r="Y449" s="93">
        <f>SUM('1:2'!Y449)</f>
        <v>0</v>
      </c>
      <c r="Z449" s="93">
        <f>SUM('1:2'!Z449)</f>
        <v>0</v>
      </c>
      <c r="AA449" s="93">
        <f>SUM('1:2'!AA449)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>
        <v>30400028</v>
      </c>
      <c r="B450" s="190" t="s">
        <v>393</v>
      </c>
      <c r="C450" s="187" t="s">
        <v>402</v>
      </c>
      <c r="D450" s="17">
        <v>5</v>
      </c>
      <c r="E450" s="17"/>
      <c r="F450" s="6"/>
      <c r="G450" s="93">
        <f>SUM('1:2'!G450)</f>
        <v>0</v>
      </c>
      <c r="H450" s="246">
        <f t="shared" si="176"/>
        <v>0</v>
      </c>
      <c r="I450" s="93">
        <f>SUM('1:2'!I450)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SUM('1:2'!O450)</f>
        <v>0</v>
      </c>
      <c r="P450" s="93">
        <f>SUM('1:2'!P450)</f>
        <v>0</v>
      </c>
      <c r="Q450" s="93">
        <f>SUM('1:2'!Q450)</f>
        <v>0</v>
      </c>
      <c r="R450" s="93">
        <f>SUM('1:2'!R450)</f>
        <v>0</v>
      </c>
      <c r="S450" s="93">
        <f>SUM('1:2'!S450)</f>
        <v>0</v>
      </c>
      <c r="T450" s="93">
        <f>SUM('1:2'!T450)</f>
        <v>0</v>
      </c>
      <c r="U450" s="93">
        <f>SUM('1:2'!U450)</f>
        <v>0</v>
      </c>
      <c r="V450" s="206"/>
      <c r="W450" s="33"/>
      <c r="X450" s="93">
        <f>SUM('1:2'!X450)</f>
        <v>0</v>
      </c>
      <c r="Y450" s="93">
        <f>SUM('1:2'!Y450)</f>
        <v>0</v>
      </c>
      <c r="Z450" s="93">
        <f>SUM('1:2'!Z450)</f>
        <v>0</v>
      </c>
      <c r="AA450" s="93">
        <f>SUM('1:2'!AA450)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30400027</v>
      </c>
      <c r="B451" s="190" t="s">
        <v>404</v>
      </c>
      <c r="C451" s="187" t="s">
        <v>405</v>
      </c>
      <c r="D451" s="17">
        <v>5</v>
      </c>
      <c r="E451" s="17"/>
      <c r="F451" s="6"/>
      <c r="G451" s="93">
        <f>SUM('1:2'!G451)</f>
        <v>0</v>
      </c>
      <c r="H451" s="246">
        <f t="shared" si="176"/>
        <v>0</v>
      </c>
      <c r="I451" s="93">
        <f>SUM('1:2'!I451)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SUM('1:2'!O451)</f>
        <v>0</v>
      </c>
      <c r="P451" s="93">
        <f>SUM('1:2'!P451)</f>
        <v>0</v>
      </c>
      <c r="Q451" s="93">
        <f>SUM('1:2'!Q451)</f>
        <v>0</v>
      </c>
      <c r="R451" s="93">
        <f>SUM('1:2'!R451)</f>
        <v>0</v>
      </c>
      <c r="S451" s="93">
        <f>SUM('1:2'!S451)</f>
        <v>0</v>
      </c>
      <c r="T451" s="93">
        <f>SUM('1:2'!T451)</f>
        <v>0</v>
      </c>
      <c r="U451" s="93">
        <f>SUM('1:2'!U451)</f>
        <v>0</v>
      </c>
      <c r="V451" s="206"/>
      <c r="W451" s="33"/>
      <c r="X451" s="93">
        <f>SUM('1:2'!X451)</f>
        <v>0</v>
      </c>
      <c r="Y451" s="93">
        <f>SUM('1:2'!Y451)</f>
        <v>0</v>
      </c>
      <c r="Z451" s="93">
        <f>SUM('1:2'!Z451)</f>
        <v>0</v>
      </c>
      <c r="AA451" s="93">
        <f>SUM('1:2'!AA451)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/>
      <c r="B452" s="61" t="s">
        <v>342</v>
      </c>
      <c r="C452" s="187" t="s">
        <v>372</v>
      </c>
      <c r="D452" s="17">
        <v>5</v>
      </c>
      <c r="E452" s="17"/>
      <c r="F452" s="6"/>
      <c r="G452" s="93">
        <f>SUM('1:2'!G452)</f>
        <v>0</v>
      </c>
      <c r="H452" s="246">
        <f t="shared" si="176"/>
        <v>0</v>
      </c>
      <c r="I452" s="93">
        <f>SUM('1:2'!I452)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SUM('1:2'!O452)</f>
        <v>0</v>
      </c>
      <c r="P452" s="93">
        <f>SUM('1:2'!P452)</f>
        <v>0</v>
      </c>
      <c r="Q452" s="93">
        <f>SUM('1:2'!Q452)</f>
        <v>0</v>
      </c>
      <c r="R452" s="93">
        <f>SUM('1:2'!R452)</f>
        <v>0</v>
      </c>
      <c r="S452" s="93">
        <f>SUM('1:2'!S452)</f>
        <v>0</v>
      </c>
      <c r="T452" s="93">
        <f>SUM('1:2'!T452)</f>
        <v>0</v>
      </c>
      <c r="U452" s="93">
        <f>SUM('1:2'!U452)</f>
        <v>0</v>
      </c>
      <c r="V452" s="206"/>
      <c r="W452" s="33"/>
      <c r="X452" s="93">
        <f>SUM('1:2'!X452)</f>
        <v>0</v>
      </c>
      <c r="Y452" s="93">
        <f>SUM('1:2'!Y452)</f>
        <v>0</v>
      </c>
      <c r="Z452" s="93">
        <f>SUM('1:2'!Z452)</f>
        <v>0</v>
      </c>
      <c r="AA452" s="93">
        <f>SUM('1:2'!AA452)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30600009</v>
      </c>
      <c r="B453" s="61" t="s">
        <v>343</v>
      </c>
      <c r="C453" s="16" t="s">
        <v>345</v>
      </c>
      <c r="D453" s="17">
        <v>5</v>
      </c>
      <c r="E453" s="17"/>
      <c r="F453" s="6"/>
      <c r="G453" s="93">
        <f>SUM('1:2'!G453)</f>
        <v>0</v>
      </c>
      <c r="H453" s="246">
        <f t="shared" si="176"/>
        <v>0</v>
      </c>
      <c r="I453" s="93">
        <f>SUM('1:2'!I453)</f>
        <v>0</v>
      </c>
      <c r="J453" s="31"/>
      <c r="K453" s="35">
        <f t="array" ref="K453">IF(ISERROR(G453/L453),"",G453/L453)</f>
        <v>0</v>
      </c>
      <c r="L453" s="87">
        <v>5</v>
      </c>
      <c r="M453" s="36">
        <f t="shared" si="177"/>
        <v>0</v>
      </c>
      <c r="N453" s="31">
        <f t="shared" si="178"/>
        <v>0</v>
      </c>
      <c r="O453" s="93">
        <f>SUM('1:2'!O453)</f>
        <v>0</v>
      </c>
      <c r="P453" s="93">
        <f>SUM('1:2'!P453)</f>
        <v>0</v>
      </c>
      <c r="Q453" s="93">
        <f>SUM('1:2'!Q453)</f>
        <v>0</v>
      </c>
      <c r="R453" s="93">
        <f>SUM('1:2'!R453)</f>
        <v>0</v>
      </c>
      <c r="S453" s="93">
        <f>SUM('1:2'!S453)</f>
        <v>0</v>
      </c>
      <c r="T453" s="93">
        <f>SUM('1:2'!T453)</f>
        <v>0</v>
      </c>
      <c r="U453" s="93">
        <f>SUM('1:2'!U453)</f>
        <v>0</v>
      </c>
      <c r="V453" s="206"/>
      <c r="W453" s="33"/>
      <c r="X453" s="93">
        <f>SUM('1:2'!X453)</f>
        <v>0</v>
      </c>
      <c r="Y453" s="93">
        <f>SUM('1:2'!Y453)</f>
        <v>0</v>
      </c>
      <c r="Z453" s="93">
        <f>SUM('1:2'!Z453)</f>
        <v>0</v>
      </c>
      <c r="AA453" s="93">
        <f>SUM('1:2'!AA453)</f>
        <v>0</v>
      </c>
      <c r="AB453" s="358">
        <v>2.0699999999999998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30600010</v>
      </c>
      <c r="B454" s="61" t="s">
        <v>343</v>
      </c>
      <c r="C454" s="16" t="s">
        <v>347</v>
      </c>
      <c r="D454" s="17">
        <v>5</v>
      </c>
      <c r="E454" s="17"/>
      <c r="F454" s="6"/>
      <c r="G454" s="93">
        <f>SUM('1:2'!G454)</f>
        <v>0</v>
      </c>
      <c r="H454" s="246">
        <f t="shared" si="176"/>
        <v>0</v>
      </c>
      <c r="I454" s="93">
        <f>SUM('1:2'!I454)</f>
        <v>0</v>
      </c>
      <c r="J454" s="31"/>
      <c r="K454" s="35">
        <f t="array" ref="K454">IF(ISERROR(G454/L454),"",G454/L454)</f>
        <v>0</v>
      </c>
      <c r="L454" s="87">
        <v>5</v>
      </c>
      <c r="M454" s="36">
        <f t="shared" si="177"/>
        <v>0</v>
      </c>
      <c r="N454" s="31">
        <f t="shared" si="178"/>
        <v>0</v>
      </c>
      <c r="O454" s="93">
        <f>SUM('1:2'!O454)</f>
        <v>0</v>
      </c>
      <c r="P454" s="93">
        <f>SUM('1:2'!P454)</f>
        <v>0</v>
      </c>
      <c r="Q454" s="93">
        <f>SUM('1:2'!Q454)</f>
        <v>0</v>
      </c>
      <c r="R454" s="93">
        <f>SUM('1:2'!R454)</f>
        <v>0</v>
      </c>
      <c r="S454" s="93">
        <f>SUM('1:2'!S454)</f>
        <v>0</v>
      </c>
      <c r="T454" s="93">
        <f>SUM('1:2'!T454)</f>
        <v>0</v>
      </c>
      <c r="U454" s="93">
        <f>SUM('1:2'!U454)</f>
        <v>0</v>
      </c>
      <c r="V454" s="206"/>
      <c r="W454" s="33"/>
      <c r="X454" s="93">
        <f>SUM('1:2'!X454)</f>
        <v>0</v>
      </c>
      <c r="Y454" s="93">
        <f>SUM('1:2'!Y454)</f>
        <v>0</v>
      </c>
      <c r="Z454" s="93">
        <f>SUM('1:2'!Z454)</f>
        <v>0</v>
      </c>
      <c r="AA454" s="93">
        <f>SUM('1:2'!AA454)</f>
        <v>0</v>
      </c>
      <c r="AB454" s="358">
        <v>2.0699999999999998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30400001</v>
      </c>
      <c r="B455" s="65" t="s">
        <v>514</v>
      </c>
      <c r="C455" s="16" t="s">
        <v>61</v>
      </c>
      <c r="D455" s="17">
        <v>5.0599999999999996</v>
      </c>
      <c r="E455" s="17"/>
      <c r="F455" s="6"/>
      <c r="G455" s="93">
        <f>SUM('1:2'!G455)</f>
        <v>0</v>
      </c>
      <c r="H455" s="246">
        <f t="shared" si="176"/>
        <v>0</v>
      </c>
      <c r="I455" s="93">
        <f>SUM('1:2'!I455)</f>
        <v>0</v>
      </c>
      <c r="J455" s="31" t="str">
        <f t="array" ref="J455">IF(ISERROR(G455/I455),"",G455/I455)</f>
        <v/>
      </c>
      <c r="K455" s="35">
        <f t="array" ref="K455">IF(ISERROR(G455/L455),"",G455/L455)</f>
        <v>0</v>
      </c>
      <c r="L455" s="87">
        <v>15.5</v>
      </c>
      <c r="M455" s="36">
        <f t="shared" si="177"/>
        <v>0</v>
      </c>
      <c r="N455" s="31">
        <f t="shared" si="178"/>
        <v>0</v>
      </c>
      <c r="O455" s="93">
        <f>SUM('1:2'!O455)</f>
        <v>0</v>
      </c>
      <c r="P455" s="93">
        <f>SUM('1:2'!P455)</f>
        <v>0</v>
      </c>
      <c r="Q455" s="93">
        <f>SUM('1:2'!Q455)</f>
        <v>0</v>
      </c>
      <c r="R455" s="93">
        <f>SUM('1:2'!R455)</f>
        <v>0</v>
      </c>
      <c r="S455" s="93">
        <f>SUM('1:2'!S455)</f>
        <v>0</v>
      </c>
      <c r="T455" s="93">
        <f>SUM('1:2'!T455)</f>
        <v>0</v>
      </c>
      <c r="U455" s="93">
        <f>SUM('1:2'!U455)</f>
        <v>0</v>
      </c>
      <c r="V455" s="206">
        <f t="shared" ref="V455:V456" si="181">SUM(X455:AA455)</f>
        <v>0</v>
      </c>
      <c r="W455" s="33" t="str">
        <f t="shared" ref="W455:W456" si="182">IF(ISERROR(V455/G455),"",V455/G455)</f>
        <v/>
      </c>
      <c r="X455" s="93">
        <f>SUM('1:2'!X455)</f>
        <v>0</v>
      </c>
      <c r="Y455" s="93">
        <f>SUM('1:2'!Y455)</f>
        <v>0</v>
      </c>
      <c r="Z455" s="93">
        <f>SUM('1:2'!Z455)</f>
        <v>0</v>
      </c>
      <c r="AA455" s="93">
        <f>SUM('1:2'!AA455)</f>
        <v>0</v>
      </c>
      <c r="AB455" s="358">
        <v>0.67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30400002</v>
      </c>
      <c r="B456" s="65" t="s">
        <v>514</v>
      </c>
      <c r="C456" s="16" t="s">
        <v>72</v>
      </c>
      <c r="D456" s="17">
        <v>5.0599999999999996</v>
      </c>
      <c r="E456" s="17"/>
      <c r="F456" s="6"/>
      <c r="G456" s="93">
        <f>SUM('1:2'!G456)</f>
        <v>0</v>
      </c>
      <c r="H456" s="246">
        <f t="shared" si="176"/>
        <v>0</v>
      </c>
      <c r="I456" s="93">
        <f>SUM('1:2'!I456)</f>
        <v>0</v>
      </c>
      <c r="J456" s="31" t="str">
        <f t="array" ref="J456">IF(ISERROR(G456/I456),"",G456/I456)</f>
        <v/>
      </c>
      <c r="K456" s="35">
        <f t="array" ref="K456">IF(ISERROR(G456/L456),"",G456/L456)</f>
        <v>0</v>
      </c>
      <c r="L456" s="87">
        <v>15.5</v>
      </c>
      <c r="M456" s="36">
        <f t="shared" si="177"/>
        <v>0</v>
      </c>
      <c r="N456" s="31">
        <f t="shared" si="178"/>
        <v>0</v>
      </c>
      <c r="O456" s="93">
        <f>SUM('1:2'!O456)</f>
        <v>0</v>
      </c>
      <c r="P456" s="93">
        <f>SUM('1:2'!P456)</f>
        <v>0</v>
      </c>
      <c r="Q456" s="93">
        <f>SUM('1:2'!Q456)</f>
        <v>0</v>
      </c>
      <c r="R456" s="93">
        <f>SUM('1:2'!R456)</f>
        <v>0</v>
      </c>
      <c r="S456" s="93">
        <f>SUM('1:2'!S456)</f>
        <v>0</v>
      </c>
      <c r="T456" s="93">
        <f>SUM('1:2'!T456)</f>
        <v>0</v>
      </c>
      <c r="U456" s="93">
        <f>SUM('1:2'!U456)</f>
        <v>0</v>
      </c>
      <c r="V456" s="206">
        <f t="shared" si="181"/>
        <v>0</v>
      </c>
      <c r="W456" s="33" t="str">
        <f t="shared" si="182"/>
        <v/>
      </c>
      <c r="X456" s="93">
        <f>SUM('1:2'!X456)</f>
        <v>0</v>
      </c>
      <c r="Y456" s="93">
        <f>SUM('1:2'!Y456)</f>
        <v>0</v>
      </c>
      <c r="Z456" s="93">
        <f>SUM('1:2'!Z456)</f>
        <v>0</v>
      </c>
      <c r="AA456" s="93">
        <f>SUM('1:2'!AA456)</f>
        <v>0</v>
      </c>
      <c r="AB456" s="358">
        <v>0.67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30400004</v>
      </c>
      <c r="B457" s="215" t="s">
        <v>419</v>
      </c>
      <c r="C457" s="187" t="s">
        <v>73</v>
      </c>
      <c r="D457" s="17"/>
      <c r="E457" s="17"/>
      <c r="F457" s="6"/>
      <c r="G457" s="93">
        <f>SUM('1:2'!G457)</f>
        <v>0</v>
      </c>
      <c r="H457" s="246">
        <f t="shared" si="176"/>
        <v>0</v>
      </c>
      <c r="I457" s="93">
        <f>SUM('1:2'!I457)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30400003</v>
      </c>
      <c r="B458" s="215" t="s">
        <v>419</v>
      </c>
      <c r="C458" s="187" t="s">
        <v>60</v>
      </c>
      <c r="D458" s="17"/>
      <c r="E458" s="17"/>
      <c r="F458" s="6"/>
      <c r="G458" s="93">
        <f>SUM('1:2'!G458)</f>
        <v>0</v>
      </c>
      <c r="H458" s="246">
        <f t="shared" si="176"/>
        <v>0</v>
      </c>
      <c r="I458" s="93">
        <f>SUM('1:2'!I458)</f>
        <v>0</v>
      </c>
      <c r="J458" s="31"/>
      <c r="K458" s="35">
        <f t="array" ref="K458">IF(ISERROR(G458/L458),"",G458/L458)</f>
        <v>0</v>
      </c>
      <c r="L458" s="87">
        <v>24</v>
      </c>
      <c r="M458" s="36">
        <f t="shared" si="177"/>
        <v>0</v>
      </c>
      <c r="N458" s="31"/>
      <c r="O458" s="93"/>
      <c r="P458" s="93"/>
      <c r="Q458" s="93"/>
      <c r="R458" s="93"/>
      <c r="S458" s="93"/>
      <c r="T458" s="93"/>
      <c r="U458" s="93"/>
      <c r="V458" s="206"/>
      <c r="W458" s="33"/>
      <c r="X458" s="93"/>
      <c r="Y458" s="93"/>
      <c r="Z458" s="93"/>
      <c r="AA458" s="93"/>
      <c r="AB458" s="358">
        <v>1.73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30400005</v>
      </c>
      <c r="B459" s="215" t="s">
        <v>419</v>
      </c>
      <c r="C459" s="187" t="s">
        <v>422</v>
      </c>
      <c r="D459" s="17"/>
      <c r="E459" s="17"/>
      <c r="F459" s="6"/>
      <c r="G459" s="93">
        <f>SUM('1:2'!G459)</f>
        <v>0</v>
      </c>
      <c r="H459" s="246">
        <f t="shared" si="176"/>
        <v>0</v>
      </c>
      <c r="I459" s="93">
        <f>SUM('1:2'!I459)</f>
        <v>0</v>
      </c>
      <c r="J459" s="31"/>
      <c r="K459" s="35">
        <f t="array" ref="K459">IF(ISERROR(G459/L459),"",G459/L459)</f>
        <v>0</v>
      </c>
      <c r="L459" s="87">
        <v>24</v>
      </c>
      <c r="M459" s="36">
        <f t="shared" si="177"/>
        <v>0</v>
      </c>
      <c r="N459" s="31"/>
      <c r="O459" s="93"/>
      <c r="P459" s="93"/>
      <c r="Q459" s="93"/>
      <c r="R459" s="93"/>
      <c r="S459" s="93"/>
      <c r="T459" s="93"/>
      <c r="U459" s="93"/>
      <c r="V459" s="206"/>
      <c r="W459" s="33"/>
      <c r="X459" s="93"/>
      <c r="Y459" s="93"/>
      <c r="Z459" s="93"/>
      <c r="AA459" s="93"/>
      <c r="AB459" s="358">
        <v>1.73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30400007</v>
      </c>
      <c r="B460" s="65" t="s">
        <v>91</v>
      </c>
      <c r="C460" s="16" t="s">
        <v>74</v>
      </c>
      <c r="D460" s="17">
        <v>5.07</v>
      </c>
      <c r="E460" s="17"/>
      <c r="F460" s="6"/>
      <c r="G460" s="93">
        <f>SUM('1:2'!G460)</f>
        <v>0</v>
      </c>
      <c r="H460" s="246">
        <f t="shared" si="176"/>
        <v>0</v>
      </c>
      <c r="I460" s="93">
        <f>SUM('1:2'!I460)</f>
        <v>0</v>
      </c>
      <c r="J460" s="31" t="str">
        <f t="array" ref="J460">IF(ISERROR(G460/I460),"",G460/I460)</f>
        <v/>
      </c>
      <c r="K460" s="35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ref="N460:N462" si="183">SUM(O460:U460)</f>
        <v>0</v>
      </c>
      <c r="O460" s="93">
        <f>SUM('1:2'!O460)</f>
        <v>0</v>
      </c>
      <c r="P460" s="93">
        <f>SUM('1:2'!P460)</f>
        <v>0</v>
      </c>
      <c r="Q460" s="93">
        <f>SUM('1:2'!Q460)</f>
        <v>0</v>
      </c>
      <c r="R460" s="93">
        <f>SUM('1:2'!R460)</f>
        <v>0</v>
      </c>
      <c r="S460" s="93">
        <f>SUM('1:2'!S460)</f>
        <v>0</v>
      </c>
      <c r="T460" s="93">
        <f>SUM('1:2'!T460)</f>
        <v>0</v>
      </c>
      <c r="U460" s="93">
        <f>SUM('1:2'!U460)</f>
        <v>0</v>
      </c>
      <c r="V460" s="206">
        <f t="shared" ref="V460:V462" si="184">SUM(X460:AA460)</f>
        <v>0</v>
      </c>
      <c r="W460" s="33" t="str">
        <f t="shared" ref="W460:W494" si="185">IF(ISERROR(V460/G460),"",V460/G460)</f>
        <v/>
      </c>
      <c r="X460" s="93">
        <f>SUM('1:2'!X460)</f>
        <v>0</v>
      </c>
      <c r="Y460" s="93">
        <f>SUM('1:2'!Y460)</f>
        <v>0</v>
      </c>
      <c r="Z460" s="93">
        <f>SUM('1:2'!Z460)</f>
        <v>0</v>
      </c>
      <c r="AA460" s="93">
        <f>SUM('1:2'!AA460)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7.25">
      <c r="A461" s="320">
        <v>30400006</v>
      </c>
      <c r="B461" s="65" t="s">
        <v>91</v>
      </c>
      <c r="C461" s="16" t="s">
        <v>53</v>
      </c>
      <c r="D461" s="17">
        <v>5.07</v>
      </c>
      <c r="E461" s="17"/>
      <c r="F461" s="6"/>
      <c r="G461" s="93">
        <f>SUM('1:2'!G461)</f>
        <v>0</v>
      </c>
      <c r="H461" s="246">
        <f t="shared" si="176"/>
        <v>0</v>
      </c>
      <c r="I461" s="93">
        <f>SUM('1:2'!I461)</f>
        <v>0</v>
      </c>
      <c r="J461" s="31" t="str">
        <f t="array" ref="J461">IF(ISERROR(G461/I461),"",G461/I461)</f>
        <v/>
      </c>
      <c r="K461" s="35">
        <f t="array" ref="K461">IF(ISERROR(G461/L461),"",G461/L461)</f>
        <v>0</v>
      </c>
      <c r="L461" s="87">
        <v>9</v>
      </c>
      <c r="M461" s="36">
        <f t="shared" si="177"/>
        <v>0</v>
      </c>
      <c r="N461" s="31">
        <f t="shared" si="183"/>
        <v>0</v>
      </c>
      <c r="O461" s="93">
        <f>SUM('1:2'!O461)</f>
        <v>0</v>
      </c>
      <c r="P461" s="93">
        <f>SUM('1:2'!P461)</f>
        <v>0</v>
      </c>
      <c r="Q461" s="93">
        <f>SUM('1:2'!Q461)</f>
        <v>0</v>
      </c>
      <c r="R461" s="93">
        <f>SUM('1:2'!R461)</f>
        <v>0</v>
      </c>
      <c r="S461" s="93">
        <f>SUM('1:2'!S461)</f>
        <v>0</v>
      </c>
      <c r="T461" s="93">
        <f>SUM('1:2'!T461)</f>
        <v>0</v>
      </c>
      <c r="U461" s="93">
        <f>SUM('1:2'!U461)</f>
        <v>0</v>
      </c>
      <c r="V461" s="206">
        <f t="shared" si="184"/>
        <v>0</v>
      </c>
      <c r="W461" s="33" t="str">
        <f t="shared" si="185"/>
        <v/>
      </c>
      <c r="X461" s="93">
        <f>SUM('1:2'!X461)</f>
        <v>0</v>
      </c>
      <c r="Y461" s="93">
        <f>SUM('1:2'!Y461)</f>
        <v>0</v>
      </c>
      <c r="Z461" s="93">
        <f>SUM('1:2'!Z461)</f>
        <v>0</v>
      </c>
      <c r="AA461" s="93">
        <f>SUM('1:2'!AA461)</f>
        <v>0</v>
      </c>
      <c r="AB461" s="358">
        <v>1.22</v>
      </c>
      <c r="AC461" s="269">
        <f t="shared" si="170"/>
        <v>0</v>
      </c>
      <c r="AD461" s="251"/>
      <c r="AE461" s="54"/>
      <c r="AF461" s="54"/>
      <c r="AG461" s="54"/>
      <c r="AH461" s="5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30400006</v>
      </c>
      <c r="B462" s="65" t="s">
        <v>91</v>
      </c>
      <c r="C462" s="16" t="s">
        <v>60</v>
      </c>
      <c r="D462" s="17">
        <v>5.0599999999999996</v>
      </c>
      <c r="E462" s="17"/>
      <c r="F462" s="53"/>
      <c r="G462" s="93">
        <f>SUM('1:2'!G462)</f>
        <v>0</v>
      </c>
      <c r="H462" s="246">
        <f t="shared" si="176"/>
        <v>0</v>
      </c>
      <c r="I462" s="93">
        <f>SUM('1:2'!I462)</f>
        <v>0</v>
      </c>
      <c r="J462" s="31" t="str">
        <f t="array" ref="J462">IF(ISERROR(G462/I462),"",G462/I462)</f>
        <v/>
      </c>
      <c r="K462" s="246">
        <f t="array" ref="K462">IF(ISERROR(G462/L462),"",G462/L462)</f>
        <v>0</v>
      </c>
      <c r="L462" s="87">
        <v>9</v>
      </c>
      <c r="M462" s="36">
        <f t="shared" si="177"/>
        <v>0</v>
      </c>
      <c r="N462" s="31">
        <f t="shared" si="183"/>
        <v>0</v>
      </c>
      <c r="O462" s="93">
        <f>SUM('1:2'!O462)</f>
        <v>0</v>
      </c>
      <c r="P462" s="93">
        <f>SUM('1:2'!P462)</f>
        <v>0</v>
      </c>
      <c r="Q462" s="93">
        <f>SUM('1:2'!Q462)</f>
        <v>0</v>
      </c>
      <c r="R462" s="93">
        <f>SUM('1:2'!R462)</f>
        <v>0</v>
      </c>
      <c r="S462" s="93">
        <f>SUM('1:2'!S462)</f>
        <v>0</v>
      </c>
      <c r="T462" s="93">
        <f>SUM('1:2'!T462)</f>
        <v>0</v>
      </c>
      <c r="U462" s="93">
        <f>SUM('1:2'!U462)</f>
        <v>0</v>
      </c>
      <c r="V462" s="206">
        <f t="shared" si="184"/>
        <v>0</v>
      </c>
      <c r="W462" s="33" t="str">
        <f t="shared" si="185"/>
        <v/>
      </c>
      <c r="X462" s="93">
        <f>SUM('1:2'!X462)</f>
        <v>0</v>
      </c>
      <c r="Y462" s="93">
        <f>SUM('1:2'!Y462)</f>
        <v>0</v>
      </c>
      <c r="Z462" s="93">
        <f>SUM('1:2'!Z462)</f>
        <v>0</v>
      </c>
      <c r="AA462" s="93">
        <f>SUM('1:2'!AA462)</f>
        <v>0</v>
      </c>
      <c r="AB462" s="358">
        <v>1.22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5.75">
      <c r="A463" s="731" t="s">
        <v>92</v>
      </c>
      <c r="B463" s="732"/>
      <c r="C463" s="243" t="s">
        <v>71</v>
      </c>
      <c r="D463" s="20"/>
      <c r="E463" s="20"/>
      <c r="F463" s="32"/>
      <c r="G463" s="99">
        <f>SUM(G429:G462)</f>
        <v>1732</v>
      </c>
      <c r="H463" s="30">
        <f>SUM(H429:H462)</f>
        <v>8711.9600000000009</v>
      </c>
      <c r="I463" s="30">
        <f>SUM(I429:I462)</f>
        <v>173.5</v>
      </c>
      <c r="J463" s="31">
        <f t="array" ref="J463">IF(ISERROR(G463/I463),"",G463/I463)</f>
        <v>9.9827089337175785</v>
      </c>
      <c r="K463" s="30">
        <f>SUM(K429:K462)</f>
        <v>191.37463343108504</v>
      </c>
      <c r="L463" s="98"/>
      <c r="M463" s="89">
        <f t="shared" ref="M463:V463" si="186">SUM(M429:M462)</f>
        <v>-17.874633431085034</v>
      </c>
      <c r="N463" s="30">
        <f t="shared" si="186"/>
        <v>0</v>
      </c>
      <c r="O463" s="91">
        <f t="shared" si="186"/>
        <v>0</v>
      </c>
      <c r="P463" s="91">
        <f t="shared" si="186"/>
        <v>0</v>
      </c>
      <c r="Q463" s="91">
        <f t="shared" si="186"/>
        <v>0</v>
      </c>
      <c r="R463" s="91">
        <f t="shared" si="186"/>
        <v>0</v>
      </c>
      <c r="S463" s="92">
        <f t="shared" si="186"/>
        <v>0</v>
      </c>
      <c r="T463" s="91">
        <f t="shared" si="186"/>
        <v>0</v>
      </c>
      <c r="U463" s="91">
        <f t="shared" si="186"/>
        <v>0</v>
      </c>
      <c r="V463" s="206">
        <f t="shared" si="186"/>
        <v>0</v>
      </c>
      <c r="W463" s="33">
        <f t="shared" si="185"/>
        <v>0</v>
      </c>
      <c r="X463" s="92">
        <f>SUM(X429:X462)</f>
        <v>0</v>
      </c>
      <c r="Y463" s="92">
        <f>SUM(Y429:Y462)</f>
        <v>0</v>
      </c>
      <c r="Z463" s="92">
        <f>SUM(Z429:Z462)</f>
        <v>0</v>
      </c>
      <c r="AA463" s="92">
        <f>SUM(AA429:AA462)</f>
        <v>0</v>
      </c>
      <c r="AB463" s="75"/>
      <c r="AC463" s="270">
        <f>SUM(AC429:AC462)</f>
        <v>1756.21</v>
      </c>
      <c r="AD463" s="251"/>
      <c r="AE463" s="74"/>
      <c r="AF463" s="74"/>
      <c r="AG463" s="74"/>
      <c r="AH463" s="7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30100038</v>
      </c>
      <c r="B464" s="62" t="s">
        <v>93</v>
      </c>
      <c r="C464" s="16" t="s">
        <v>94</v>
      </c>
      <c r="D464" s="17">
        <v>5.03</v>
      </c>
      <c r="E464" s="17"/>
      <c r="F464" s="6"/>
      <c r="G464" s="93">
        <f>SUM('1:2'!G464)</f>
        <v>0</v>
      </c>
      <c r="H464" s="246">
        <f>D464*G464</f>
        <v>0</v>
      </c>
      <c r="I464" s="93">
        <f>SUM('1:2'!I464)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25</v>
      </c>
      <c r="M464" s="36">
        <f t="shared" ref="M464:M478" si="187">IF(ISERROR(I464-K464),"",I464-K464)</f>
        <v>0</v>
      </c>
      <c r="N464" s="31">
        <f t="shared" ref="N464:N478" si="188">SUM(O464:U464)</f>
        <v>0</v>
      </c>
      <c r="O464" s="93">
        <f>SUM('1:2'!O464)</f>
        <v>0</v>
      </c>
      <c r="P464" s="93">
        <f>SUM('1:2'!P464)</f>
        <v>0</v>
      </c>
      <c r="Q464" s="93">
        <f>SUM('1:2'!Q464)</f>
        <v>0</v>
      </c>
      <c r="R464" s="93">
        <f>SUM('1:2'!R464)</f>
        <v>0</v>
      </c>
      <c r="S464" s="93">
        <f>SUM('1:2'!S464)</f>
        <v>0</v>
      </c>
      <c r="T464" s="93">
        <f>SUM('1:2'!T464)</f>
        <v>0</v>
      </c>
      <c r="U464" s="93">
        <f>SUM('1:2'!U464)</f>
        <v>0</v>
      </c>
      <c r="V464" s="206">
        <f t="shared" ref="V464:V478" si="189">SUM(X464:AA464)</f>
        <v>0</v>
      </c>
      <c r="W464" s="33" t="str">
        <f t="shared" si="185"/>
        <v/>
      </c>
      <c r="X464" s="93">
        <f>SUM('1:2'!X464)</f>
        <v>0</v>
      </c>
      <c r="Y464" s="93">
        <f>SUM('1:2'!Y464)</f>
        <v>0</v>
      </c>
      <c r="Z464" s="93">
        <f>SUM('1:2'!Z464)</f>
        <v>0</v>
      </c>
      <c r="AA464" s="93">
        <f>SUM('1:2'!AA464)</f>
        <v>0</v>
      </c>
      <c r="AB464" s="358">
        <v>0.41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>
        <v>30100037</v>
      </c>
      <c r="B465" s="62" t="s">
        <v>93</v>
      </c>
      <c r="C465" s="16" t="s">
        <v>74</v>
      </c>
      <c r="D465" s="17">
        <v>5.03</v>
      </c>
      <c r="E465" s="17"/>
      <c r="F465" s="6"/>
      <c r="G465" s="93">
        <f>SUM('1:2'!G465)</f>
        <v>0</v>
      </c>
      <c r="H465" s="246">
        <f t="shared" ref="H465:H478" si="190">D465*G465</f>
        <v>0</v>
      </c>
      <c r="I465" s="93">
        <f>SUM('1:2'!I465)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25</v>
      </c>
      <c r="M465" s="36">
        <f t="shared" si="187"/>
        <v>0</v>
      </c>
      <c r="N465" s="31">
        <f t="shared" si="188"/>
        <v>0</v>
      </c>
      <c r="O465" s="93">
        <f>SUM('1:2'!O465)</f>
        <v>0</v>
      </c>
      <c r="P465" s="93">
        <f>SUM('1:2'!P465)</f>
        <v>0</v>
      </c>
      <c r="Q465" s="93">
        <f>SUM('1:2'!Q465)</f>
        <v>0</v>
      </c>
      <c r="R465" s="93">
        <f>SUM('1:2'!R465)</f>
        <v>0</v>
      </c>
      <c r="S465" s="93">
        <f>SUM('1:2'!S465)</f>
        <v>0</v>
      </c>
      <c r="T465" s="93">
        <f>SUM('1:2'!T465)</f>
        <v>0</v>
      </c>
      <c r="U465" s="93">
        <f>SUM('1:2'!U465)</f>
        <v>0</v>
      </c>
      <c r="V465" s="206">
        <f t="shared" si="189"/>
        <v>0</v>
      </c>
      <c r="W465" s="33" t="str">
        <f t="shared" si="185"/>
        <v/>
      </c>
      <c r="X465" s="93">
        <f>SUM('1:2'!X465)</f>
        <v>0</v>
      </c>
      <c r="Y465" s="93">
        <f>SUM('1:2'!Y465)</f>
        <v>0</v>
      </c>
      <c r="Z465" s="93">
        <f>SUM('1:2'!Z465)</f>
        <v>0</v>
      </c>
      <c r="AA465" s="93">
        <f>SUM('1:2'!AA465)</f>
        <v>0</v>
      </c>
      <c r="AB465" s="358">
        <v>0.41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7.25">
      <c r="A466" s="320">
        <v>30100051</v>
      </c>
      <c r="B466" s="62" t="s">
        <v>58</v>
      </c>
      <c r="C466" s="16" t="s">
        <v>65</v>
      </c>
      <c r="D466" s="17">
        <v>5.04</v>
      </c>
      <c r="E466" s="17"/>
      <c r="F466" s="6"/>
      <c r="G466" s="93">
        <f>SUM('1:2'!G466)</f>
        <v>0</v>
      </c>
      <c r="H466" s="246">
        <f t="shared" si="190"/>
        <v>0</v>
      </c>
      <c r="I466" s="93">
        <f>SUM('1:2'!I466)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20</v>
      </c>
      <c r="M466" s="36">
        <f t="shared" si="187"/>
        <v>0</v>
      </c>
      <c r="N466" s="31">
        <f t="shared" si="188"/>
        <v>0</v>
      </c>
      <c r="O466" s="93">
        <f>SUM('1:2'!O466)</f>
        <v>0</v>
      </c>
      <c r="P466" s="93">
        <f>SUM('1:2'!P466)</f>
        <v>0</v>
      </c>
      <c r="Q466" s="93">
        <f>SUM('1:2'!Q466)</f>
        <v>0</v>
      </c>
      <c r="R466" s="93">
        <f>SUM('1:2'!R466)</f>
        <v>0</v>
      </c>
      <c r="S466" s="93">
        <f>SUM('1:2'!S466)</f>
        <v>0</v>
      </c>
      <c r="T466" s="93">
        <f>SUM('1:2'!T466)</f>
        <v>0</v>
      </c>
      <c r="U466" s="93">
        <f>SUM('1:2'!U466)</f>
        <v>0</v>
      </c>
      <c r="V466" s="206">
        <f t="shared" si="189"/>
        <v>0</v>
      </c>
      <c r="W466" s="33" t="str">
        <f t="shared" si="185"/>
        <v/>
      </c>
      <c r="X466" s="93">
        <f>SUM('1:2'!X466)</f>
        <v>0</v>
      </c>
      <c r="Y466" s="93">
        <f>SUM('1:2'!Y466)</f>
        <v>0</v>
      </c>
      <c r="Z466" s="93">
        <f>SUM('1:2'!Z466)</f>
        <v>0</v>
      </c>
      <c r="AA466" s="93">
        <f>SUM('1:2'!AA466)</f>
        <v>0</v>
      </c>
      <c r="AB466" s="358">
        <v>0.52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7.25">
      <c r="A467" s="320"/>
      <c r="B467" s="63" t="s">
        <v>95</v>
      </c>
      <c r="C467" s="16" t="s">
        <v>82</v>
      </c>
      <c r="D467" s="17">
        <v>5.03</v>
      </c>
      <c r="E467" s="17"/>
      <c r="F467" s="6"/>
      <c r="G467" s="93">
        <f>SUM('1:2'!G467)</f>
        <v>0</v>
      </c>
      <c r="H467" s="246">
        <f t="shared" si="190"/>
        <v>0</v>
      </c>
      <c r="I467" s="93">
        <f>SUM('1:2'!I467)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SUM('1:2'!O467)</f>
        <v>0</v>
      </c>
      <c r="P467" s="93">
        <f>SUM('1:2'!P467)</f>
        <v>0</v>
      </c>
      <c r="Q467" s="93">
        <f>SUM('1:2'!Q467)</f>
        <v>0</v>
      </c>
      <c r="R467" s="93">
        <f>SUM('1:2'!R467)</f>
        <v>0</v>
      </c>
      <c r="S467" s="93">
        <f>SUM('1:2'!S467)</f>
        <v>0</v>
      </c>
      <c r="T467" s="93">
        <f>SUM('1:2'!T467)</f>
        <v>0</v>
      </c>
      <c r="U467" s="93">
        <f>SUM('1:2'!U467)</f>
        <v>0</v>
      </c>
      <c r="V467" s="206">
        <f t="shared" si="189"/>
        <v>0</v>
      </c>
      <c r="W467" s="33" t="str">
        <f t="shared" si="185"/>
        <v/>
      </c>
      <c r="X467" s="93">
        <f>SUM('1:2'!X467)</f>
        <v>0</v>
      </c>
      <c r="Y467" s="93">
        <f>SUM('1:2'!Y467)</f>
        <v>0</v>
      </c>
      <c r="Z467" s="93">
        <f>SUM('1:2'!Z467)</f>
        <v>0</v>
      </c>
      <c r="AA467" s="93">
        <f>SUM('1:2'!AA467)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5.75">
      <c r="A468" s="299">
        <v>30100054</v>
      </c>
      <c r="B468" s="63" t="s">
        <v>95</v>
      </c>
      <c r="C468" s="247" t="s">
        <v>72</v>
      </c>
      <c r="D468" s="17">
        <v>5.03</v>
      </c>
      <c r="E468" s="17"/>
      <c r="F468" s="6"/>
      <c r="G468" s="93">
        <f>SUM('1:2'!G468)</f>
        <v>0</v>
      </c>
      <c r="H468" s="246">
        <f t="shared" si="190"/>
        <v>0</v>
      </c>
      <c r="I468" s="93">
        <f>SUM('1:2'!I468)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SUM('1:2'!O468)</f>
        <v>0</v>
      </c>
      <c r="P468" s="93">
        <f>SUM('1:2'!P468)</f>
        <v>0</v>
      </c>
      <c r="Q468" s="93">
        <f>SUM('1:2'!Q468)</f>
        <v>0</v>
      </c>
      <c r="R468" s="93">
        <f>SUM('1:2'!R468)</f>
        <v>0</v>
      </c>
      <c r="S468" s="93">
        <f>SUM('1:2'!S468)</f>
        <v>0</v>
      </c>
      <c r="T468" s="93">
        <f>SUM('1:2'!T468)</f>
        <v>0</v>
      </c>
      <c r="U468" s="93">
        <f>SUM('1:2'!U468)</f>
        <v>0</v>
      </c>
      <c r="V468" s="206">
        <f t="shared" si="189"/>
        <v>0</v>
      </c>
      <c r="W468" s="33" t="str">
        <f t="shared" si="185"/>
        <v/>
      </c>
      <c r="X468" s="93">
        <f>SUM('1:2'!X468)</f>
        <v>0</v>
      </c>
      <c r="Y468" s="93">
        <f>SUM('1:2'!Y468)</f>
        <v>0</v>
      </c>
      <c r="Z468" s="93">
        <f>SUM('1:2'!Z468)</f>
        <v>0</v>
      </c>
      <c r="AA468" s="93">
        <f>SUM('1:2'!AA468)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5.75">
      <c r="A469" s="299">
        <v>30100053</v>
      </c>
      <c r="B469" s="63" t="s">
        <v>95</v>
      </c>
      <c r="C469" s="16" t="s">
        <v>73</v>
      </c>
      <c r="D469" s="17">
        <v>5.03</v>
      </c>
      <c r="E469" s="17"/>
      <c r="F469" s="6"/>
      <c r="G469" s="93">
        <f>SUM('1:2'!G469)</f>
        <v>0</v>
      </c>
      <c r="H469" s="246">
        <f t="shared" si="190"/>
        <v>0</v>
      </c>
      <c r="I469" s="93">
        <f>SUM('1:2'!I469)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SUM('1:2'!O469)</f>
        <v>0</v>
      </c>
      <c r="P469" s="93">
        <f>SUM('1:2'!P469)</f>
        <v>0</v>
      </c>
      <c r="Q469" s="93">
        <f>SUM('1:2'!Q469)</f>
        <v>0</v>
      </c>
      <c r="R469" s="93">
        <f>SUM('1:2'!R469)</f>
        <v>0</v>
      </c>
      <c r="S469" s="93">
        <f>SUM('1:2'!S469)</f>
        <v>0</v>
      </c>
      <c r="T469" s="93">
        <f>SUM('1:2'!T469)</f>
        <v>0</v>
      </c>
      <c r="U469" s="93">
        <f>SUM('1:2'!U469)</f>
        <v>0</v>
      </c>
      <c r="V469" s="206">
        <f t="shared" si="189"/>
        <v>0</v>
      </c>
      <c r="W469" s="33" t="str">
        <f t="shared" si="185"/>
        <v/>
      </c>
      <c r="X469" s="93">
        <f>SUM('1:2'!X469)</f>
        <v>0</v>
      </c>
      <c r="Y469" s="93">
        <f>SUM('1:2'!Y469)</f>
        <v>0</v>
      </c>
      <c r="Z469" s="93">
        <f>SUM('1:2'!Z469)</f>
        <v>0</v>
      </c>
      <c r="AA469" s="93">
        <f>SUM('1:2'!AA469)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/>
      <c r="B470" s="63" t="s">
        <v>95</v>
      </c>
      <c r="C470" s="16" t="s">
        <v>60</v>
      </c>
      <c r="D470" s="17">
        <v>5.03</v>
      </c>
      <c r="E470" s="17"/>
      <c r="F470" s="6"/>
      <c r="G470" s="93">
        <f>SUM('1:2'!G470)</f>
        <v>0</v>
      </c>
      <c r="H470" s="246">
        <f t="shared" si="190"/>
        <v>0</v>
      </c>
      <c r="I470" s="93">
        <f>SUM('1:2'!I470)</f>
        <v>0</v>
      </c>
      <c r="J470" s="31" t="str">
        <f t="array" ref="J470">IF(ISERROR(G470/I470),"",G470/I470)</f>
        <v/>
      </c>
      <c r="K470" s="35">
        <f t="array" ref="K470">IF(ISERROR(G470/L470),"",G470/L470)</f>
        <v>0</v>
      </c>
      <c r="L470" s="87">
        <v>4</v>
      </c>
      <c r="M470" s="36">
        <f t="shared" si="187"/>
        <v>0</v>
      </c>
      <c r="N470" s="31">
        <f t="shared" si="188"/>
        <v>0</v>
      </c>
      <c r="O470" s="93">
        <f>SUM('1:2'!O470)</f>
        <v>0</v>
      </c>
      <c r="P470" s="93">
        <f>SUM('1:2'!P470)</f>
        <v>0</v>
      </c>
      <c r="Q470" s="93">
        <f>SUM('1:2'!Q470)</f>
        <v>0</v>
      </c>
      <c r="R470" s="93">
        <f>SUM('1:2'!R470)</f>
        <v>0</v>
      </c>
      <c r="S470" s="93">
        <f>SUM('1:2'!S470)</f>
        <v>0</v>
      </c>
      <c r="T470" s="93">
        <f>SUM('1:2'!T470)</f>
        <v>0</v>
      </c>
      <c r="U470" s="93">
        <f>SUM('1:2'!U470)</f>
        <v>0</v>
      </c>
      <c r="V470" s="206">
        <f t="shared" si="189"/>
        <v>0</v>
      </c>
      <c r="W470" s="33" t="str">
        <f t="shared" si="185"/>
        <v/>
      </c>
      <c r="X470" s="93">
        <f>SUM('1:2'!X470)</f>
        <v>0</v>
      </c>
      <c r="Y470" s="93">
        <f>SUM('1:2'!Y470)</f>
        <v>0</v>
      </c>
      <c r="Z470" s="93">
        <f>SUM('1:2'!Z470)</f>
        <v>0</v>
      </c>
      <c r="AA470" s="93">
        <f>SUM('1:2'!AA470)</f>
        <v>0</v>
      </c>
      <c r="AB470" s="358">
        <v>0.59</v>
      </c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/>
      <c r="B471" s="63" t="s">
        <v>95</v>
      </c>
      <c r="C471" s="247" t="s">
        <v>96</v>
      </c>
      <c r="D471" s="17">
        <v>5.03</v>
      </c>
      <c r="E471" s="17"/>
      <c r="F471" s="6"/>
      <c r="G471" s="93">
        <f>SUM('1:2'!G471)</f>
        <v>0</v>
      </c>
      <c r="H471" s="246">
        <f t="shared" si="190"/>
        <v>0</v>
      </c>
      <c r="I471" s="93">
        <f>SUM('1:2'!I471)</f>
        <v>0</v>
      </c>
      <c r="J471" s="31" t="str">
        <f t="array" ref="J471">IF(ISERROR(G471/I471),"",G471/I471)</f>
        <v/>
      </c>
      <c r="K471" s="35">
        <f t="array" ref="K471">IF(ISERROR(G471/L471),"",G471/L471)</f>
        <v>0</v>
      </c>
      <c r="L471" s="87">
        <v>4</v>
      </c>
      <c r="M471" s="36">
        <f t="shared" si="187"/>
        <v>0</v>
      </c>
      <c r="N471" s="31">
        <f t="shared" si="188"/>
        <v>0</v>
      </c>
      <c r="O471" s="93">
        <f>SUM('1:2'!O471)</f>
        <v>0</v>
      </c>
      <c r="P471" s="93">
        <f>SUM('1:2'!P471)</f>
        <v>0</v>
      </c>
      <c r="Q471" s="93">
        <f>SUM('1:2'!Q471)</f>
        <v>0</v>
      </c>
      <c r="R471" s="93">
        <f>SUM('1:2'!R471)</f>
        <v>0</v>
      </c>
      <c r="S471" s="93">
        <f>SUM('1:2'!S471)</f>
        <v>0</v>
      </c>
      <c r="T471" s="93">
        <f>SUM('1:2'!T471)</f>
        <v>0</v>
      </c>
      <c r="U471" s="93">
        <f>SUM('1:2'!U471)</f>
        <v>0</v>
      </c>
      <c r="V471" s="206">
        <f t="shared" si="189"/>
        <v>0</v>
      </c>
      <c r="W471" s="33" t="str">
        <f t="shared" si="185"/>
        <v/>
      </c>
      <c r="X471" s="93">
        <f>SUM('1:2'!X471)</f>
        <v>0</v>
      </c>
      <c r="Y471" s="93">
        <f>SUM('1:2'!Y471)</f>
        <v>0</v>
      </c>
      <c r="Z471" s="93">
        <f>SUM('1:2'!Z471)</f>
        <v>0</v>
      </c>
      <c r="AA471" s="93">
        <f>SUM('1:2'!AA471)</f>
        <v>0</v>
      </c>
      <c r="AB471" s="358">
        <v>0.59</v>
      </c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30101067</v>
      </c>
      <c r="B472" s="63" t="s">
        <v>97</v>
      </c>
      <c r="C472" s="247" t="s">
        <v>82</v>
      </c>
      <c r="D472" s="17">
        <v>5.03</v>
      </c>
      <c r="E472" s="17"/>
      <c r="F472" s="6"/>
      <c r="G472" s="93">
        <f>SUM('1:2'!G472)</f>
        <v>0</v>
      </c>
      <c r="H472" s="246">
        <f t="shared" si="190"/>
        <v>0</v>
      </c>
      <c r="I472" s="93">
        <f>SUM('1:2'!I472)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SUM('1:2'!O472)</f>
        <v>0</v>
      </c>
      <c r="P472" s="93">
        <f>SUM('1:2'!P472)</f>
        <v>0</v>
      </c>
      <c r="Q472" s="93">
        <f>SUM('1:2'!Q472)</f>
        <v>0</v>
      </c>
      <c r="R472" s="93">
        <f>SUM('1:2'!R472)</f>
        <v>0</v>
      </c>
      <c r="S472" s="93">
        <f>SUM('1:2'!S472)</f>
        <v>0</v>
      </c>
      <c r="T472" s="93">
        <f>SUM('1:2'!T472)</f>
        <v>0</v>
      </c>
      <c r="U472" s="93">
        <f>SUM('1:2'!U472)</f>
        <v>0</v>
      </c>
      <c r="V472" s="206">
        <f t="shared" si="189"/>
        <v>0</v>
      </c>
      <c r="W472" s="33" t="str">
        <f t="shared" si="185"/>
        <v/>
      </c>
      <c r="X472" s="93">
        <f>SUM('1:2'!X472)</f>
        <v>0</v>
      </c>
      <c r="Y472" s="93">
        <f>SUM('1:2'!Y472)</f>
        <v>0</v>
      </c>
      <c r="Z472" s="93">
        <f>SUM('1:2'!Z472)</f>
        <v>0</v>
      </c>
      <c r="AA472" s="93">
        <f>SUM('1:2'!AA472)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30101068</v>
      </c>
      <c r="B473" s="63" t="s">
        <v>97</v>
      </c>
      <c r="C473" s="247" t="s">
        <v>72</v>
      </c>
      <c r="D473" s="17">
        <v>5.03</v>
      </c>
      <c r="E473" s="17"/>
      <c r="F473" s="6"/>
      <c r="G473" s="93">
        <f>SUM('1:2'!G473)</f>
        <v>0</v>
      </c>
      <c r="H473" s="246">
        <f t="shared" si="190"/>
        <v>0</v>
      </c>
      <c r="I473" s="93">
        <f>SUM('1:2'!I473)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SUM('1:2'!O473)</f>
        <v>0</v>
      </c>
      <c r="P473" s="93">
        <f>SUM('1:2'!P473)</f>
        <v>0</v>
      </c>
      <c r="Q473" s="93">
        <f>SUM('1:2'!Q473)</f>
        <v>0</v>
      </c>
      <c r="R473" s="93">
        <f>SUM('1:2'!R473)</f>
        <v>0</v>
      </c>
      <c r="S473" s="93">
        <f>SUM('1:2'!S473)</f>
        <v>0</v>
      </c>
      <c r="T473" s="93">
        <f>SUM('1:2'!T473)</f>
        <v>0</v>
      </c>
      <c r="U473" s="93">
        <f>SUM('1:2'!U473)</f>
        <v>0</v>
      </c>
      <c r="V473" s="206">
        <f t="shared" si="189"/>
        <v>0</v>
      </c>
      <c r="W473" s="33" t="str">
        <f t="shared" si="185"/>
        <v/>
      </c>
      <c r="X473" s="93">
        <f>SUM('1:2'!X473)</f>
        <v>0</v>
      </c>
      <c r="Y473" s="93">
        <f>SUM('1:2'!Y473)</f>
        <v>0</v>
      </c>
      <c r="Z473" s="93">
        <f>SUM('1:2'!Z473)</f>
        <v>0</v>
      </c>
      <c r="AA473" s="93">
        <f>SUM('1:2'!AA473)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30101069</v>
      </c>
      <c r="B474" s="63" t="s">
        <v>97</v>
      </c>
      <c r="C474" s="247" t="s">
        <v>60</v>
      </c>
      <c r="D474" s="17">
        <v>5.03</v>
      </c>
      <c r="E474" s="17"/>
      <c r="F474" s="6"/>
      <c r="G474" s="93">
        <f>SUM('1:2'!G474)</f>
        <v>0</v>
      </c>
      <c r="H474" s="246">
        <f t="shared" si="190"/>
        <v>0</v>
      </c>
      <c r="I474" s="93">
        <f>SUM('1:2'!I474)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SUM('1:2'!O474)</f>
        <v>0</v>
      </c>
      <c r="P474" s="93">
        <f>SUM('1:2'!P474)</f>
        <v>0</v>
      </c>
      <c r="Q474" s="93">
        <f>SUM('1:2'!Q474)</f>
        <v>0</v>
      </c>
      <c r="R474" s="93">
        <f>SUM('1:2'!R474)</f>
        <v>0</v>
      </c>
      <c r="S474" s="93">
        <f>SUM('1:2'!S474)</f>
        <v>0</v>
      </c>
      <c r="T474" s="93">
        <f>SUM('1:2'!T474)</f>
        <v>0</v>
      </c>
      <c r="U474" s="93">
        <f>SUM('1:2'!U474)</f>
        <v>0</v>
      </c>
      <c r="V474" s="206">
        <f t="shared" si="189"/>
        <v>0</v>
      </c>
      <c r="W474" s="33" t="str">
        <f t="shared" si="185"/>
        <v/>
      </c>
      <c r="X474" s="93">
        <f>SUM('1:2'!X474)</f>
        <v>0</v>
      </c>
      <c r="Y474" s="93">
        <f>SUM('1:2'!Y474)</f>
        <v>0</v>
      </c>
      <c r="Z474" s="93">
        <f>SUM('1:2'!Z474)</f>
        <v>0</v>
      </c>
      <c r="AA474" s="93">
        <f>SUM('1:2'!AA474)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20">
        <v>30101070</v>
      </c>
      <c r="B475" s="63" t="s">
        <v>97</v>
      </c>
      <c r="C475" s="247" t="s">
        <v>96</v>
      </c>
      <c r="D475" s="17">
        <v>5.03</v>
      </c>
      <c r="E475" s="17"/>
      <c r="F475" s="6"/>
      <c r="G475" s="93">
        <f>SUM('1:2'!G475)</f>
        <v>0</v>
      </c>
      <c r="H475" s="246">
        <f t="shared" si="190"/>
        <v>0</v>
      </c>
      <c r="I475" s="93">
        <f>SUM('1:2'!I475)</f>
        <v>0</v>
      </c>
      <c r="J475" s="31" t="str">
        <f t="array" ref="J475">IF(ISERROR(G475/I475),"",G475/I475)</f>
        <v/>
      </c>
      <c r="K475" s="35" t="str">
        <f t="array" ref="K475">IF(ISERROR(G475/L475),"",G475/L475)</f>
        <v/>
      </c>
      <c r="L475" s="87"/>
      <c r="M475" s="36" t="str">
        <f t="shared" si="187"/>
        <v/>
      </c>
      <c r="N475" s="31">
        <f t="shared" si="188"/>
        <v>0</v>
      </c>
      <c r="O475" s="93">
        <f>SUM('1:2'!O475)</f>
        <v>0</v>
      </c>
      <c r="P475" s="93">
        <f>SUM('1:2'!P475)</f>
        <v>0</v>
      </c>
      <c r="Q475" s="93">
        <f>SUM('1:2'!Q475)</f>
        <v>0</v>
      </c>
      <c r="R475" s="93">
        <f>SUM('1:2'!R475)</f>
        <v>0</v>
      </c>
      <c r="S475" s="93">
        <f>SUM('1:2'!S475)</f>
        <v>0</v>
      </c>
      <c r="T475" s="93">
        <f>SUM('1:2'!T475)</f>
        <v>0</v>
      </c>
      <c r="U475" s="93">
        <f>SUM('1:2'!U475)</f>
        <v>0</v>
      </c>
      <c r="V475" s="206">
        <f t="shared" si="189"/>
        <v>0</v>
      </c>
      <c r="W475" s="33" t="str">
        <f t="shared" si="185"/>
        <v/>
      </c>
      <c r="X475" s="93">
        <f>SUM('1:2'!X475)</f>
        <v>0</v>
      </c>
      <c r="Y475" s="93">
        <f>SUM('1:2'!Y475)</f>
        <v>0</v>
      </c>
      <c r="Z475" s="93">
        <f>SUM('1:2'!Z475)</f>
        <v>0</v>
      </c>
      <c r="AA475" s="93">
        <f>SUM('1:2'!AA475)</f>
        <v>0</v>
      </c>
      <c r="AB475" s="358"/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20">
        <v>30101071</v>
      </c>
      <c r="B476" s="63" t="s">
        <v>97</v>
      </c>
      <c r="C476" s="247" t="s">
        <v>73</v>
      </c>
      <c r="D476" s="17">
        <v>5.03</v>
      </c>
      <c r="E476" s="17"/>
      <c r="F476" s="6"/>
      <c r="G476" s="93">
        <f>SUM('1:2'!G476)</f>
        <v>0</v>
      </c>
      <c r="H476" s="246">
        <f t="shared" si="190"/>
        <v>0</v>
      </c>
      <c r="I476" s="93">
        <f>SUM('1:2'!I476)</f>
        <v>0</v>
      </c>
      <c r="J476" s="31" t="str">
        <f t="array" ref="J476">IF(ISERROR(G476/I476),"",G476/I476)</f>
        <v/>
      </c>
      <c r="K476" s="35" t="str">
        <f t="array" ref="K476">IF(ISERROR(G476/L476),"",G476/L476)</f>
        <v/>
      </c>
      <c r="L476" s="87"/>
      <c r="M476" s="36" t="str">
        <f t="shared" si="187"/>
        <v/>
      </c>
      <c r="N476" s="31">
        <f t="shared" si="188"/>
        <v>0</v>
      </c>
      <c r="O476" s="93">
        <f>SUM('1:2'!O476)</f>
        <v>0</v>
      </c>
      <c r="P476" s="93">
        <f>SUM('1:2'!P476)</f>
        <v>0</v>
      </c>
      <c r="Q476" s="93">
        <f>SUM('1:2'!Q476)</f>
        <v>0</v>
      </c>
      <c r="R476" s="93">
        <f>SUM('1:2'!R476)</f>
        <v>0</v>
      </c>
      <c r="S476" s="93">
        <f>SUM('1:2'!S476)</f>
        <v>0</v>
      </c>
      <c r="T476" s="93">
        <f>SUM('1:2'!T476)</f>
        <v>0</v>
      </c>
      <c r="U476" s="93">
        <f>SUM('1:2'!U476)</f>
        <v>0</v>
      </c>
      <c r="V476" s="206">
        <f t="shared" si="189"/>
        <v>0</v>
      </c>
      <c r="W476" s="33" t="str">
        <f t="shared" si="185"/>
        <v/>
      </c>
      <c r="X476" s="93">
        <f>SUM('1:2'!X476)</f>
        <v>0</v>
      </c>
      <c r="Y476" s="93">
        <f>SUM('1:2'!Y476)</f>
        <v>0</v>
      </c>
      <c r="Z476" s="93">
        <f>SUM('1:2'!Z476)</f>
        <v>0</v>
      </c>
      <c r="AA476" s="93">
        <f>SUM('1:2'!AA476)</f>
        <v>0</v>
      </c>
      <c r="AB476" s="358"/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7.25">
      <c r="A477" s="316">
        <v>30100001</v>
      </c>
      <c r="B477" s="62" t="s">
        <v>98</v>
      </c>
      <c r="C477" s="16" t="s">
        <v>74</v>
      </c>
      <c r="D477" s="17">
        <v>5.0599999999999996</v>
      </c>
      <c r="E477" s="17"/>
      <c r="F477" s="6"/>
      <c r="G477" s="93">
        <f>SUM('1:2'!G477)</f>
        <v>0</v>
      </c>
      <c r="H477" s="246">
        <f t="shared" si="190"/>
        <v>0</v>
      </c>
      <c r="I477" s="93">
        <f>SUM('1:2'!I477)</f>
        <v>0</v>
      </c>
      <c r="J477" s="31" t="str">
        <f t="array" ref="J477">IF(ISERROR(G477/I477),"",G477/I477)</f>
        <v/>
      </c>
      <c r="K477" s="35">
        <f t="array" ref="K477">IF(ISERROR(G477/L477),"",G477/L477)</f>
        <v>0</v>
      </c>
      <c r="L477" s="87">
        <v>25</v>
      </c>
      <c r="M477" s="36">
        <f t="shared" si="187"/>
        <v>0</v>
      </c>
      <c r="N477" s="31">
        <f t="shared" si="188"/>
        <v>0</v>
      </c>
      <c r="O477" s="93">
        <f>SUM('1:2'!O477)</f>
        <v>0</v>
      </c>
      <c r="P477" s="93">
        <f>SUM('1:2'!P477)</f>
        <v>0</v>
      </c>
      <c r="Q477" s="93">
        <f>SUM('1:2'!Q477)</f>
        <v>0</v>
      </c>
      <c r="R477" s="93">
        <f>SUM('1:2'!R477)</f>
        <v>0</v>
      </c>
      <c r="S477" s="93">
        <f>SUM('1:2'!S477)</f>
        <v>0</v>
      </c>
      <c r="T477" s="93">
        <f>SUM('1:2'!T477)</f>
        <v>0</v>
      </c>
      <c r="U477" s="93">
        <f>SUM('1:2'!U477)</f>
        <v>0</v>
      </c>
      <c r="V477" s="206">
        <f t="shared" si="189"/>
        <v>0</v>
      </c>
      <c r="W477" s="33" t="str">
        <f t="shared" si="185"/>
        <v/>
      </c>
      <c r="X477" s="93">
        <f>SUM('1:2'!X477)</f>
        <v>0</v>
      </c>
      <c r="Y477" s="93">
        <f>SUM('1:2'!Y477)</f>
        <v>0</v>
      </c>
      <c r="Z477" s="93">
        <f>SUM('1:2'!Z477)</f>
        <v>0</v>
      </c>
      <c r="AA477" s="93">
        <f>SUM('1:2'!AA477)</f>
        <v>0</v>
      </c>
      <c r="AB477" s="358">
        <v>0.43</v>
      </c>
      <c r="AC477" s="269">
        <f t="shared" si="170"/>
        <v>0</v>
      </c>
      <c r="AD477" s="251"/>
      <c r="AE477" s="54"/>
      <c r="AF477" s="54"/>
      <c r="AG477" s="54"/>
      <c r="AH477" s="5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7.25">
      <c r="A478" s="316">
        <v>30100002</v>
      </c>
      <c r="B478" s="62" t="s">
        <v>98</v>
      </c>
      <c r="C478" s="16" t="s">
        <v>94</v>
      </c>
      <c r="D478" s="17">
        <v>5.0599999999999996</v>
      </c>
      <c r="E478" s="17"/>
      <c r="F478" s="6"/>
      <c r="G478" s="93">
        <f>SUM('1:2'!G478)</f>
        <v>0</v>
      </c>
      <c r="H478" s="246">
        <f t="shared" si="190"/>
        <v>0</v>
      </c>
      <c r="I478" s="93">
        <f>SUM('1:2'!I478)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25</v>
      </c>
      <c r="M478" s="36">
        <f t="shared" si="187"/>
        <v>0</v>
      </c>
      <c r="N478" s="31">
        <f t="shared" si="188"/>
        <v>0</v>
      </c>
      <c r="O478" s="93">
        <f>SUM('1:2'!O478)</f>
        <v>0</v>
      </c>
      <c r="P478" s="93">
        <f>SUM('1:2'!P478)</f>
        <v>0</v>
      </c>
      <c r="Q478" s="93">
        <f>SUM('1:2'!Q478)</f>
        <v>0</v>
      </c>
      <c r="R478" s="93">
        <f>SUM('1:2'!R478)</f>
        <v>0</v>
      </c>
      <c r="S478" s="93">
        <f>SUM('1:2'!S478)</f>
        <v>0</v>
      </c>
      <c r="T478" s="93">
        <f>SUM('1:2'!T478)</f>
        <v>0</v>
      </c>
      <c r="U478" s="93">
        <f>SUM('1:2'!U478)</f>
        <v>0</v>
      </c>
      <c r="V478" s="206">
        <f t="shared" si="189"/>
        <v>0</v>
      </c>
      <c r="W478" s="33" t="str">
        <f t="shared" si="185"/>
        <v/>
      </c>
      <c r="X478" s="93">
        <f>SUM('1:2'!X478)</f>
        <v>0</v>
      </c>
      <c r="Y478" s="93">
        <f>SUM('1:2'!Y478)</f>
        <v>0</v>
      </c>
      <c r="Z478" s="93">
        <f>SUM('1:2'!Z478)</f>
        <v>0</v>
      </c>
      <c r="AA478" s="93">
        <f>SUM('1:2'!AA478)</f>
        <v>0</v>
      </c>
      <c r="AB478" s="358">
        <v>0.43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5.75">
      <c r="A479" s="731" t="s">
        <v>99</v>
      </c>
      <c r="B479" s="732"/>
      <c r="C479" s="243" t="s">
        <v>71</v>
      </c>
      <c r="D479" s="20"/>
      <c r="E479" s="20"/>
      <c r="F479" s="32"/>
      <c r="G479" s="99">
        <f>SUM(G464:G478)</f>
        <v>0</v>
      </c>
      <c r="H479" s="30">
        <f>SUM(H464:H478)</f>
        <v>0</v>
      </c>
      <c r="I479" s="30">
        <f>SUM(I464:I478)</f>
        <v>0</v>
      </c>
      <c r="J479" s="31" t="str">
        <f t="array" ref="J479">IF(ISERROR(G479/I479),"",G479/I479)</f>
        <v/>
      </c>
      <c r="K479" s="30">
        <f>SUM(K464:K478)</f>
        <v>0</v>
      </c>
      <c r="L479" s="98"/>
      <c r="M479" s="89">
        <f t="shared" ref="M479:V479" si="191">SUM(M464:M478)</f>
        <v>0</v>
      </c>
      <c r="N479" s="30">
        <f t="shared" si="191"/>
        <v>0</v>
      </c>
      <c r="O479" s="30">
        <f t="shared" si="191"/>
        <v>0</v>
      </c>
      <c r="P479" s="30">
        <f t="shared" si="191"/>
        <v>0</v>
      </c>
      <c r="Q479" s="30">
        <f t="shared" si="191"/>
        <v>0</v>
      </c>
      <c r="R479" s="30">
        <f t="shared" si="191"/>
        <v>0</v>
      </c>
      <c r="S479" s="30">
        <f t="shared" si="191"/>
        <v>0</v>
      </c>
      <c r="T479" s="30">
        <f t="shared" si="191"/>
        <v>0</v>
      </c>
      <c r="U479" s="30">
        <f t="shared" si="191"/>
        <v>0</v>
      </c>
      <c r="V479" s="208">
        <f t="shared" si="191"/>
        <v>0</v>
      </c>
      <c r="W479" s="33" t="str">
        <f t="shared" si="185"/>
        <v/>
      </c>
      <c r="X479" s="94">
        <f>SUM(X464:X478)</f>
        <v>0</v>
      </c>
      <c r="Y479" s="94">
        <f>SUM(Y464:Y478)</f>
        <v>0</v>
      </c>
      <c r="Z479" s="94">
        <f>SUM(Z464:Z478)</f>
        <v>0</v>
      </c>
      <c r="AA479" s="94">
        <f>SUM(AA464:AA478)</f>
        <v>0</v>
      </c>
      <c r="AB479" s="75"/>
      <c r="AC479" s="270">
        <f>SUM(AC464:AC478)</f>
        <v>0</v>
      </c>
      <c r="AD479" s="251"/>
      <c r="AE479" s="74"/>
      <c r="AF479" s="74"/>
      <c r="AG479" s="74"/>
      <c r="AH479" s="7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5.75">
      <c r="A480" s="300">
        <v>30400025</v>
      </c>
      <c r="B480" s="192" t="s">
        <v>232</v>
      </c>
      <c r="C480" s="16" t="s">
        <v>53</v>
      </c>
      <c r="D480" s="17">
        <v>5.04</v>
      </c>
      <c r="E480" s="17"/>
      <c r="F480" s="6"/>
      <c r="G480" s="93">
        <f>SUM('1:2'!G480)</f>
        <v>0</v>
      </c>
      <c r="H480" s="246">
        <f t="shared" ref="H480:H489" si="192">D480*G480</f>
        <v>0</v>
      </c>
      <c r="I480" s="93">
        <f>SUM('1:2'!I480)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ref="M480:M489" si="193">IF(ISERROR(I480-K480),"",I480-K480)</f>
        <v>0</v>
      </c>
      <c r="N480" s="31">
        <f t="shared" ref="N480:N489" si="194">SUM(O480:U480)</f>
        <v>0</v>
      </c>
      <c r="O480" s="93">
        <f>SUM('1:2'!O480)</f>
        <v>0</v>
      </c>
      <c r="P480" s="93">
        <f>SUM('1:2'!P480)</f>
        <v>0</v>
      </c>
      <c r="Q480" s="93">
        <f>SUM('1:2'!Q480)</f>
        <v>0</v>
      </c>
      <c r="R480" s="93">
        <f>SUM('1:2'!R480)</f>
        <v>0</v>
      </c>
      <c r="S480" s="93">
        <f>SUM('1:2'!S480)</f>
        <v>0</v>
      </c>
      <c r="T480" s="93">
        <f>SUM('1:2'!T480)</f>
        <v>0</v>
      </c>
      <c r="U480" s="93">
        <f>SUM('1:2'!U480)</f>
        <v>0</v>
      </c>
      <c r="V480" s="206">
        <f t="shared" ref="V480:V489" si="195">SUM(X480:AA480)</f>
        <v>0</v>
      </c>
      <c r="W480" s="33" t="str">
        <f t="shared" si="185"/>
        <v/>
      </c>
      <c r="X480" s="93">
        <f>SUM('1:2'!X480)</f>
        <v>0</v>
      </c>
      <c r="Y480" s="93">
        <f>SUM('1:2'!Y480)</f>
        <v>0</v>
      </c>
      <c r="Z480" s="93">
        <f>SUM('1:2'!Z480)</f>
        <v>0</v>
      </c>
      <c r="AA480" s="93">
        <f>SUM('1:2'!AA480)</f>
        <v>0</v>
      </c>
      <c r="AB480" s="358">
        <v>0.48</v>
      </c>
      <c r="AC480" s="269">
        <f t="shared" si="170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>
        <v>30400023</v>
      </c>
      <c r="B481" s="192" t="s">
        <v>232</v>
      </c>
      <c r="C481" s="16" t="s">
        <v>60</v>
      </c>
      <c r="D481" s="17">
        <v>5.04</v>
      </c>
      <c r="E481" s="17"/>
      <c r="F481" s="6"/>
      <c r="G481" s="93">
        <f>SUM('1:2'!G481)</f>
        <v>0</v>
      </c>
      <c r="H481" s="246">
        <f t="shared" si="192"/>
        <v>0</v>
      </c>
      <c r="I481" s="93">
        <f>SUM('1:2'!I481)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SUM('1:2'!O481)</f>
        <v>0</v>
      </c>
      <c r="P481" s="93">
        <f>SUM('1:2'!P481)</f>
        <v>0</v>
      </c>
      <c r="Q481" s="93">
        <f>SUM('1:2'!Q481)</f>
        <v>0</v>
      </c>
      <c r="R481" s="93">
        <f>SUM('1:2'!R481)</f>
        <v>0</v>
      </c>
      <c r="S481" s="93">
        <f>SUM('1:2'!S481)</f>
        <v>0</v>
      </c>
      <c r="T481" s="93">
        <f>SUM('1:2'!T481)</f>
        <v>0</v>
      </c>
      <c r="U481" s="93">
        <f>SUM('1:2'!U481)</f>
        <v>0</v>
      </c>
      <c r="V481" s="206">
        <f t="shared" si="195"/>
        <v>0</v>
      </c>
      <c r="W481" s="33" t="str">
        <f t="shared" si="185"/>
        <v/>
      </c>
      <c r="X481" s="93">
        <f>SUM('1:2'!X481)</f>
        <v>0</v>
      </c>
      <c r="Y481" s="93">
        <f>SUM('1:2'!Y481)</f>
        <v>0</v>
      </c>
      <c r="Z481" s="93">
        <f>SUM('1:2'!Z481)</f>
        <v>0</v>
      </c>
      <c r="AA481" s="93">
        <f>SUM('1:2'!AA481)</f>
        <v>0</v>
      </c>
      <c r="AB481" s="358">
        <v>0.48</v>
      </c>
      <c r="AC481" s="269">
        <f t="shared" ref="AC481:AC489" si="196">AB481*G481</f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>
        <v>30400024</v>
      </c>
      <c r="B482" s="192" t="s">
        <v>232</v>
      </c>
      <c r="C482" s="16" t="s">
        <v>74</v>
      </c>
      <c r="D482" s="17">
        <v>5.04</v>
      </c>
      <c r="E482" s="17"/>
      <c r="F482" s="6"/>
      <c r="G482" s="93">
        <f>SUM('1:2'!G482)</f>
        <v>0</v>
      </c>
      <c r="H482" s="246">
        <f t="shared" si="192"/>
        <v>0</v>
      </c>
      <c r="I482" s="93">
        <f>SUM('1:2'!I482)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SUM('1:2'!O482)</f>
        <v>0</v>
      </c>
      <c r="P482" s="93">
        <f>SUM('1:2'!P482)</f>
        <v>0</v>
      </c>
      <c r="Q482" s="93">
        <f>SUM('1:2'!Q482)</f>
        <v>0</v>
      </c>
      <c r="R482" s="93">
        <f>SUM('1:2'!R482)</f>
        <v>0</v>
      </c>
      <c r="S482" s="93">
        <f>SUM('1:2'!S482)</f>
        <v>0</v>
      </c>
      <c r="T482" s="93">
        <f>SUM('1:2'!T482)</f>
        <v>0</v>
      </c>
      <c r="U482" s="93">
        <f>SUM('1:2'!U482)</f>
        <v>0</v>
      </c>
      <c r="V482" s="206">
        <f t="shared" si="195"/>
        <v>0</v>
      </c>
      <c r="W482" s="33" t="str">
        <f t="shared" si="185"/>
        <v/>
      </c>
      <c r="X482" s="93">
        <f>SUM('1:2'!X482)</f>
        <v>0</v>
      </c>
      <c r="Y482" s="93">
        <f>SUM('1:2'!Y482)</f>
        <v>0</v>
      </c>
      <c r="Z482" s="93">
        <f>SUM('1:2'!Z482)</f>
        <v>0</v>
      </c>
      <c r="AA482" s="93">
        <f>SUM('1:2'!AA482)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/>
      <c r="B483" s="192" t="s">
        <v>232</v>
      </c>
      <c r="C483" s="16" t="s">
        <v>66</v>
      </c>
      <c r="D483" s="17">
        <v>5.04</v>
      </c>
      <c r="E483" s="17"/>
      <c r="F483" s="6"/>
      <c r="G483" s="93">
        <f>SUM('1:2'!G483)</f>
        <v>0</v>
      </c>
      <c r="H483" s="246">
        <f t="shared" si="192"/>
        <v>0</v>
      </c>
      <c r="I483" s="93">
        <f>SUM('1:2'!I483)</f>
        <v>0</v>
      </c>
      <c r="J483" s="31" t="str">
        <f t="array" ref="J483">IF(ISERROR(G483/I483),"",G483/I483)</f>
        <v/>
      </c>
      <c r="K483" s="35">
        <f t="array" ref="K483">IF(ISERROR(G483/L483),"",G483/L483)</f>
        <v>0</v>
      </c>
      <c r="L483" s="87">
        <v>22</v>
      </c>
      <c r="M483" s="36">
        <f t="shared" si="193"/>
        <v>0</v>
      </c>
      <c r="N483" s="31">
        <f t="shared" si="194"/>
        <v>0</v>
      </c>
      <c r="O483" s="93">
        <f>SUM('1:2'!O483)</f>
        <v>0</v>
      </c>
      <c r="P483" s="93">
        <f>SUM('1:2'!P483)</f>
        <v>0</v>
      </c>
      <c r="Q483" s="93">
        <f>SUM('1:2'!Q483)</f>
        <v>0</v>
      </c>
      <c r="R483" s="93">
        <f>SUM('1:2'!R483)</f>
        <v>0</v>
      </c>
      <c r="S483" s="93">
        <f>SUM('1:2'!S483)</f>
        <v>0</v>
      </c>
      <c r="T483" s="93">
        <f>SUM('1:2'!T483)</f>
        <v>0</v>
      </c>
      <c r="U483" s="93">
        <f>SUM('1:2'!U483)</f>
        <v>0</v>
      </c>
      <c r="V483" s="206">
        <f t="shared" si="195"/>
        <v>0</v>
      </c>
      <c r="W483" s="33" t="str">
        <f t="shared" si="185"/>
        <v/>
      </c>
      <c r="X483" s="93">
        <f>SUM('1:2'!X483)</f>
        <v>0</v>
      </c>
      <c r="Y483" s="93">
        <f>SUM('1:2'!Y483)</f>
        <v>0</v>
      </c>
      <c r="Z483" s="93">
        <f>SUM('1:2'!Z483)</f>
        <v>0</v>
      </c>
      <c r="AA483" s="93">
        <f>SUM('1:2'!AA483)</f>
        <v>0</v>
      </c>
      <c r="AB483" s="358">
        <v>0.48</v>
      </c>
      <c r="AC483" s="269">
        <f t="shared" si="196"/>
        <v>0</v>
      </c>
      <c r="AD483" s="251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/>
      <c r="B484" s="192" t="s">
        <v>232</v>
      </c>
      <c r="C484" s="16" t="s">
        <v>101</v>
      </c>
      <c r="D484" s="17">
        <v>5.04</v>
      </c>
      <c r="E484" s="17"/>
      <c r="F484" s="6"/>
      <c r="G484" s="93">
        <f>SUM('1:2'!G484)</f>
        <v>0</v>
      </c>
      <c r="H484" s="246">
        <f t="shared" si="192"/>
        <v>0</v>
      </c>
      <c r="I484" s="93">
        <f>SUM('1:2'!I484)</f>
        <v>0</v>
      </c>
      <c r="J484" s="31" t="str">
        <f t="array" ref="J484">IF(ISERROR(G484/I484),"",G484/I484)</f>
        <v/>
      </c>
      <c r="K484" s="35">
        <f t="array" ref="K484">IF(ISERROR(G484/L484),"",G484/L484)</f>
        <v>0</v>
      </c>
      <c r="L484" s="87">
        <v>22</v>
      </c>
      <c r="M484" s="36">
        <f t="shared" si="193"/>
        <v>0</v>
      </c>
      <c r="N484" s="31">
        <f t="shared" si="194"/>
        <v>0</v>
      </c>
      <c r="O484" s="93">
        <f>SUM('1:2'!O484)</f>
        <v>0</v>
      </c>
      <c r="P484" s="93">
        <f>SUM('1:2'!P484)</f>
        <v>0</v>
      </c>
      <c r="Q484" s="93">
        <f>SUM('1:2'!Q484)</f>
        <v>0</v>
      </c>
      <c r="R484" s="93">
        <f>SUM('1:2'!R484)</f>
        <v>0</v>
      </c>
      <c r="S484" s="93">
        <f>SUM('1:2'!S484)</f>
        <v>0</v>
      </c>
      <c r="T484" s="93">
        <f>SUM('1:2'!T484)</f>
        <v>0</v>
      </c>
      <c r="U484" s="93">
        <f>SUM('1:2'!U484)</f>
        <v>0</v>
      </c>
      <c r="V484" s="206">
        <f t="shared" si="195"/>
        <v>0</v>
      </c>
      <c r="W484" s="33" t="str">
        <f t="shared" si="185"/>
        <v/>
      </c>
      <c r="X484" s="93">
        <f>SUM('1:2'!X484)</f>
        <v>0</v>
      </c>
      <c r="Y484" s="93">
        <f>SUM('1:2'!Y484)</f>
        <v>0</v>
      </c>
      <c r="Z484" s="93">
        <f>SUM('1:2'!Z484)</f>
        <v>0</v>
      </c>
      <c r="AA484" s="93">
        <f>SUM('1:2'!AA484)</f>
        <v>0</v>
      </c>
      <c r="AB484" s="358">
        <v>0.48</v>
      </c>
      <c r="AC484" s="269">
        <f t="shared" si="196"/>
        <v>0</v>
      </c>
      <c r="AD484" s="251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30400019</v>
      </c>
      <c r="B485" s="192" t="s">
        <v>440</v>
      </c>
      <c r="C485" s="187" t="s">
        <v>442</v>
      </c>
      <c r="D485" s="17">
        <v>5.04</v>
      </c>
      <c r="E485" s="17"/>
      <c r="F485" s="6"/>
      <c r="G485" s="93">
        <f>SUM('1:2'!G485)</f>
        <v>0</v>
      </c>
      <c r="H485" s="296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361">
        <v>0.56000000000000005</v>
      </c>
      <c r="AC485" s="269">
        <f t="shared" si="196"/>
        <v>0</v>
      </c>
      <c r="AD485" s="262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30400020</v>
      </c>
      <c r="B486" s="192" t="s">
        <v>439</v>
      </c>
      <c r="C486" s="187" t="s">
        <v>516</v>
      </c>
      <c r="D486" s="17">
        <v>5.04</v>
      </c>
      <c r="E486" s="17"/>
      <c r="F486" s="6"/>
      <c r="G486" s="93">
        <f>SUM('1:2'!G486)</f>
        <v>0</v>
      </c>
      <c r="H486" s="378">
        <f t="shared" si="192"/>
        <v>0</v>
      </c>
      <c r="I486" s="93"/>
      <c r="J486" s="31"/>
      <c r="K486" s="35"/>
      <c r="L486" s="87">
        <v>13.5</v>
      </c>
      <c r="M486" s="36"/>
      <c r="N486" s="31"/>
      <c r="O486" s="93"/>
      <c r="P486" s="93"/>
      <c r="Q486" s="93"/>
      <c r="R486" s="93"/>
      <c r="S486" s="93"/>
      <c r="T486" s="93"/>
      <c r="U486" s="93"/>
      <c r="V486" s="206"/>
      <c r="W486" s="33"/>
      <c r="X486" s="93"/>
      <c r="Y486" s="93"/>
      <c r="Z486" s="93"/>
      <c r="AA486" s="93"/>
      <c r="AB486" s="386">
        <v>0.56000000000000005</v>
      </c>
      <c r="AC486" s="269">
        <f t="shared" si="196"/>
        <v>0</v>
      </c>
      <c r="AD486" s="375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7.25">
      <c r="A487" s="316">
        <v>30400021</v>
      </c>
      <c r="B487" s="192" t="s">
        <v>439</v>
      </c>
      <c r="C487" s="187" t="s">
        <v>517</v>
      </c>
      <c r="D487" s="17">
        <v>5.04</v>
      </c>
      <c r="E487" s="17"/>
      <c r="F487" s="6"/>
      <c r="G487" s="93">
        <f>SUM('1:2'!G487)</f>
        <v>0</v>
      </c>
      <c r="H487" s="378">
        <f t="shared" si="192"/>
        <v>0</v>
      </c>
      <c r="I487" s="93"/>
      <c r="J487" s="31"/>
      <c r="K487" s="35"/>
      <c r="L487" s="87">
        <v>13.5</v>
      </c>
      <c r="M487" s="36"/>
      <c r="N487" s="31"/>
      <c r="O487" s="93"/>
      <c r="P487" s="93"/>
      <c r="Q487" s="93"/>
      <c r="R487" s="93"/>
      <c r="S487" s="93"/>
      <c r="T487" s="93"/>
      <c r="U487" s="93"/>
      <c r="V487" s="206"/>
      <c r="W487" s="33"/>
      <c r="X487" s="93"/>
      <c r="Y487" s="93"/>
      <c r="Z487" s="93"/>
      <c r="AA487" s="93"/>
      <c r="AB487" s="386">
        <v>0.56000000000000005</v>
      </c>
      <c r="AC487" s="269">
        <f t="shared" si="196"/>
        <v>0</v>
      </c>
      <c r="AD487" s="379"/>
      <c r="AE487" s="54"/>
      <c r="AF487" s="54"/>
      <c r="AG487" s="54"/>
      <c r="AH487" s="5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7.25">
      <c r="A488" s="316">
        <v>30400018</v>
      </c>
      <c r="B488" s="192" t="s">
        <v>439</v>
      </c>
      <c r="C488" s="16" t="s">
        <v>55</v>
      </c>
      <c r="D488" s="17">
        <v>5.04</v>
      </c>
      <c r="E488" s="17"/>
      <c r="F488" s="6"/>
      <c r="G488" s="93"/>
      <c r="H488" s="450">
        <f t="shared" si="192"/>
        <v>0</v>
      </c>
      <c r="I488" s="93"/>
      <c r="J488" s="31"/>
      <c r="K488" s="35"/>
      <c r="L488" s="87">
        <v>13.5</v>
      </c>
      <c r="M488" s="36"/>
      <c r="N488" s="31"/>
      <c r="O488" s="93"/>
      <c r="P488" s="93"/>
      <c r="Q488" s="93"/>
      <c r="R488" s="93"/>
      <c r="S488" s="93"/>
      <c r="T488" s="93"/>
      <c r="U488" s="93"/>
      <c r="V488" s="206"/>
      <c r="W488" s="33"/>
      <c r="X488" s="93"/>
      <c r="Y488" s="93"/>
      <c r="Z488" s="93"/>
      <c r="AA488" s="93"/>
      <c r="AB488" s="449"/>
      <c r="AC488" s="269"/>
      <c r="AD488" s="4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7.25">
      <c r="A489" s="316">
        <v>30400022</v>
      </c>
      <c r="B489" s="192" t="s">
        <v>232</v>
      </c>
      <c r="C489" s="16" t="s">
        <v>55</v>
      </c>
      <c r="D489" s="17">
        <v>5.04</v>
      </c>
      <c r="E489" s="17"/>
      <c r="F489" s="6"/>
      <c r="G489" s="93">
        <f>SUM('1:2'!G489)</f>
        <v>0</v>
      </c>
      <c r="H489" s="246">
        <f t="shared" si="192"/>
        <v>0</v>
      </c>
      <c r="I489" s="93">
        <f>SUM('1:2'!I489)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22</v>
      </c>
      <c r="M489" s="36">
        <f t="shared" si="193"/>
        <v>0</v>
      </c>
      <c r="N489" s="31">
        <f t="shared" si="194"/>
        <v>0</v>
      </c>
      <c r="O489" s="93">
        <f>SUM('1:2'!O489)</f>
        <v>0</v>
      </c>
      <c r="P489" s="93">
        <f>SUM('1:2'!P489)</f>
        <v>0</v>
      </c>
      <c r="Q489" s="93">
        <f>SUM('1:2'!Q489)</f>
        <v>0</v>
      </c>
      <c r="R489" s="93">
        <f>SUM('1:2'!R489)</f>
        <v>0</v>
      </c>
      <c r="S489" s="93">
        <f>SUM('1:2'!S489)</f>
        <v>0</v>
      </c>
      <c r="T489" s="93">
        <f>SUM('1:2'!T489)</f>
        <v>0</v>
      </c>
      <c r="U489" s="93">
        <f>SUM('1:2'!U489)</f>
        <v>0</v>
      </c>
      <c r="V489" s="206">
        <f t="shared" si="195"/>
        <v>0</v>
      </c>
      <c r="W489" s="33" t="str">
        <f t="shared" si="185"/>
        <v/>
      </c>
      <c r="X489" s="93">
        <f>SUM('1:2'!X489)</f>
        <v>0</v>
      </c>
      <c r="Y489" s="93">
        <f>SUM('1:2'!Y489)</f>
        <v>0</v>
      </c>
      <c r="Z489" s="93">
        <f>SUM('1:2'!Z489)</f>
        <v>0</v>
      </c>
      <c r="AA489" s="93">
        <f>SUM('1:2'!AA489)</f>
        <v>0</v>
      </c>
      <c r="AB489" s="358">
        <v>0.48</v>
      </c>
      <c r="AC489" s="269">
        <f t="shared" si="196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731" t="s">
        <v>102</v>
      </c>
      <c r="B490" s="732"/>
      <c r="C490" s="243" t="s">
        <v>71</v>
      </c>
      <c r="D490" s="20"/>
      <c r="E490" s="20"/>
      <c r="F490" s="32"/>
      <c r="G490" s="99">
        <f>SUM(G480:G489)</f>
        <v>0</v>
      </c>
      <c r="H490" s="30">
        <f>SUM(H480:H489)</f>
        <v>0</v>
      </c>
      <c r="I490" s="30">
        <f>SUM(I480:I489)</f>
        <v>0</v>
      </c>
      <c r="J490" s="31" t="str">
        <f t="array" ref="J490">IF(ISERROR(G490/I490),"",G490/I490)</f>
        <v/>
      </c>
      <c r="K490" s="30">
        <f>SUM(K480:K489)</f>
        <v>0</v>
      </c>
      <c r="L490" s="98"/>
      <c r="M490" s="89">
        <f>SUM(M480:M489)</f>
        <v>0</v>
      </c>
      <c r="N490" s="30">
        <f>SUM(N480:N489)</f>
        <v>0</v>
      </c>
      <c r="O490" s="91">
        <f>SUM(O480:O489)</f>
        <v>0</v>
      </c>
      <c r="P490" s="91">
        <f>SUM(P480:P489)</f>
        <v>0</v>
      </c>
      <c r="Q490" s="91">
        <f>SUM(Q480:Q489)</f>
        <v>0</v>
      </c>
      <c r="R490" s="91"/>
      <c r="S490" s="92">
        <f>SUM(S480:S489)</f>
        <v>0</v>
      </c>
      <c r="T490" s="91">
        <f>SUM(T480:T489)</f>
        <v>0</v>
      </c>
      <c r="U490" s="91">
        <f>SUM(U480:U489)</f>
        <v>0</v>
      </c>
      <c r="V490" s="206">
        <f>SUM(V480:V489)</f>
        <v>0</v>
      </c>
      <c r="W490" s="33" t="str">
        <f t="shared" si="185"/>
        <v/>
      </c>
      <c r="X490" s="92">
        <f>SUM(X480:X489)</f>
        <v>0</v>
      </c>
      <c r="Y490" s="92">
        <f>SUM(Y480:Y489)</f>
        <v>0</v>
      </c>
      <c r="Z490" s="92">
        <f>SUM(Z480:Z489)</f>
        <v>0</v>
      </c>
      <c r="AA490" s="92">
        <f>SUM(AA480:AA489)</f>
        <v>0</v>
      </c>
      <c r="AB490" s="75"/>
      <c r="AC490" s="270">
        <f>SUM(AC480:AC489)</f>
        <v>0</v>
      </c>
      <c r="AD490" s="251"/>
      <c r="AE490" s="74"/>
      <c r="AF490" s="74"/>
      <c r="AG490" s="74"/>
      <c r="AH490" s="7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30700013</v>
      </c>
      <c r="B491" s="64" t="s">
        <v>103</v>
      </c>
      <c r="C491" s="242"/>
      <c r="D491" s="17">
        <v>3.65</v>
      </c>
      <c r="E491" s="17"/>
      <c r="F491" s="53"/>
      <c r="G491" s="93">
        <f>SUM('1:2'!G491)</f>
        <v>0</v>
      </c>
      <c r="H491" s="246">
        <f>D491*G491</f>
        <v>0</v>
      </c>
      <c r="I491" s="93">
        <f>SUM('1:2'!I491)</f>
        <v>0</v>
      </c>
      <c r="J491" s="31" t="str">
        <f t="array" ref="J491">IF(ISERROR(G491/I491),"",G491/I491)</f>
        <v/>
      </c>
      <c r="K491" s="246">
        <f t="array" ref="K491">IF(ISERROR(G491/L491),"",G491/L491)</f>
        <v>0</v>
      </c>
      <c r="L491" s="87">
        <v>5</v>
      </c>
      <c r="M491" s="36">
        <f t="shared" ref="M491:M494" si="197">IF(ISERROR(I491-K491),"",I491-K491)</f>
        <v>0</v>
      </c>
      <c r="N491" s="31">
        <f t="shared" ref="N491:N494" si="198">SUM(O491:U491)</f>
        <v>0</v>
      </c>
      <c r="O491" s="93">
        <f>SUM('1:2'!O491)</f>
        <v>0</v>
      </c>
      <c r="P491" s="93">
        <f>SUM('1:2'!P491)</f>
        <v>0</v>
      </c>
      <c r="Q491" s="93">
        <f>SUM('1:2'!Q491)</f>
        <v>0</v>
      </c>
      <c r="R491" s="93">
        <f>SUM('1:2'!R491)</f>
        <v>0</v>
      </c>
      <c r="S491" s="93">
        <f>SUM('1:2'!S491)</f>
        <v>0</v>
      </c>
      <c r="T491" s="93">
        <f>SUM('1:2'!T491)</f>
        <v>0</v>
      </c>
      <c r="U491" s="93">
        <f>SUM('1:2'!U491)</f>
        <v>0</v>
      </c>
      <c r="V491" s="206">
        <f t="shared" ref="V491:V494" si="199">SUM(X491:AA491)</f>
        <v>0</v>
      </c>
      <c r="W491" s="33" t="str">
        <f t="shared" si="185"/>
        <v/>
      </c>
      <c r="X491" s="93">
        <f>SUM('1:2'!X491)</f>
        <v>0</v>
      </c>
      <c r="Y491" s="93">
        <f>SUM('1:2'!Y491)</f>
        <v>0</v>
      </c>
      <c r="Z491" s="93">
        <f>SUM('1:2'!Z491)</f>
        <v>0</v>
      </c>
      <c r="AA491" s="93">
        <f>SUM('1:2'!AA491)</f>
        <v>0</v>
      </c>
      <c r="AB491" s="358">
        <v>2.0699999999999998</v>
      </c>
      <c r="AC491" s="269">
        <f t="shared" ref="AC491:AC505" si="200">AB491*G491</f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>
        <v>30700014</v>
      </c>
      <c r="B492" s="64" t="s">
        <v>0</v>
      </c>
      <c r="C492" s="242"/>
      <c r="D492" s="17">
        <v>6.58</v>
      </c>
      <c r="E492" s="17"/>
      <c r="F492" s="6"/>
      <c r="G492" s="93">
        <f>SUM('1:2'!G492)</f>
        <v>0</v>
      </c>
      <c r="H492" s="246">
        <f t="shared" ref="H492:H505" si="201">D492*G492</f>
        <v>0</v>
      </c>
      <c r="I492" s="93">
        <f>SUM('1:2'!I492)</f>
        <v>0</v>
      </c>
      <c r="J492" s="31" t="str">
        <f t="array" ref="J492">IF(ISERROR(G492/I492),"",G492/I492)</f>
        <v/>
      </c>
      <c r="K492" s="35">
        <f t="array" ref="K492">IF(ISERROR(G492/L492),"",G492/L492)</f>
        <v>0</v>
      </c>
      <c r="L492" s="87">
        <v>5</v>
      </c>
      <c r="M492" s="36">
        <f t="shared" si="197"/>
        <v>0</v>
      </c>
      <c r="N492" s="31">
        <f t="shared" si="198"/>
        <v>0</v>
      </c>
      <c r="O492" s="93">
        <f>SUM('1:2'!O492)</f>
        <v>0</v>
      </c>
      <c r="P492" s="93">
        <f>SUM('1:2'!P492)</f>
        <v>0</v>
      </c>
      <c r="Q492" s="93">
        <f>SUM('1:2'!Q492)</f>
        <v>0</v>
      </c>
      <c r="R492" s="93">
        <f>SUM('1:2'!R492)</f>
        <v>0</v>
      </c>
      <c r="S492" s="93">
        <f>SUM('1:2'!S492)</f>
        <v>0</v>
      </c>
      <c r="T492" s="93">
        <f>SUM('1:2'!T492)</f>
        <v>0</v>
      </c>
      <c r="U492" s="93">
        <f>SUM('1:2'!U492)</f>
        <v>0</v>
      </c>
      <c r="V492" s="206">
        <f t="shared" si="199"/>
        <v>0</v>
      </c>
      <c r="W492" s="33" t="str">
        <f t="shared" si="185"/>
        <v/>
      </c>
      <c r="X492" s="93">
        <f>SUM('1:2'!X492)</f>
        <v>0</v>
      </c>
      <c r="Y492" s="93">
        <f>SUM('1:2'!Y492)</f>
        <v>0</v>
      </c>
      <c r="Z492" s="93">
        <f>SUM('1:2'!Z492)</f>
        <v>0</v>
      </c>
      <c r="AA492" s="93">
        <f>SUM('1:2'!AA492)</f>
        <v>0</v>
      </c>
      <c r="AB492" s="358">
        <v>2.0699999999999998</v>
      </c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30700016</v>
      </c>
      <c r="B493" s="64" t="s">
        <v>1</v>
      </c>
      <c r="C493" s="242"/>
      <c r="D493" s="17">
        <v>7.8</v>
      </c>
      <c r="E493" s="17"/>
      <c r="F493" s="6"/>
      <c r="G493" s="93">
        <f>SUM('1:2'!G493)</f>
        <v>0</v>
      </c>
      <c r="H493" s="296">
        <f t="shared" si="201"/>
        <v>0</v>
      </c>
      <c r="I493" s="93">
        <f>SUM('1:2'!I493)</f>
        <v>0</v>
      </c>
      <c r="J493" s="31" t="str">
        <f t="array" ref="J493">IF(ISERROR(G493/I493),"",G493/I493)</f>
        <v/>
      </c>
      <c r="K493" s="35">
        <f t="array" ref="K493">IF(ISERROR(G493/L493),"",G493/L493)</f>
        <v>0</v>
      </c>
      <c r="L493" s="87">
        <v>4.5999999999999996</v>
      </c>
      <c r="M493" s="36">
        <f t="shared" si="197"/>
        <v>0</v>
      </c>
      <c r="N493" s="31">
        <f t="shared" si="198"/>
        <v>0</v>
      </c>
      <c r="O493" s="93">
        <f>SUM('1:2'!O493)</f>
        <v>0</v>
      </c>
      <c r="P493" s="93">
        <f>SUM('1:2'!P493)</f>
        <v>0</v>
      </c>
      <c r="Q493" s="93">
        <f>SUM('1:2'!Q493)</f>
        <v>0</v>
      </c>
      <c r="R493" s="93">
        <f>SUM('1:2'!R493)</f>
        <v>0</v>
      </c>
      <c r="S493" s="93">
        <f>SUM('1:2'!S493)</f>
        <v>0</v>
      </c>
      <c r="T493" s="93">
        <f>SUM('1:2'!T493)</f>
        <v>0</v>
      </c>
      <c r="U493" s="93">
        <f>SUM('1:2'!U493)</f>
        <v>0</v>
      </c>
      <c r="V493" s="206">
        <f t="shared" si="199"/>
        <v>0</v>
      </c>
      <c r="W493" s="33" t="str">
        <f t="shared" si="185"/>
        <v/>
      </c>
      <c r="X493" s="93">
        <f>SUM('1:2'!X493)</f>
        <v>0</v>
      </c>
      <c r="Y493" s="93">
        <f>SUM('1:2'!Y493)</f>
        <v>0</v>
      </c>
      <c r="Z493" s="93">
        <f>SUM('1:2'!Z493)</f>
        <v>0</v>
      </c>
      <c r="AA493" s="93">
        <f>SUM('1:2'!AA493)</f>
        <v>0</v>
      </c>
      <c r="AB493" s="358">
        <v>2.25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5.75">
      <c r="A494" s="299">
        <v>30700017</v>
      </c>
      <c r="B494" s="64" t="s">
        <v>2</v>
      </c>
      <c r="C494" s="242"/>
      <c r="D494" s="17">
        <v>4.4000000000000004</v>
      </c>
      <c r="E494" s="17"/>
      <c r="F494" s="6"/>
      <c r="G494" s="93">
        <f>SUM('1:2'!G494)</f>
        <v>0</v>
      </c>
      <c r="H494" s="296">
        <f t="shared" si="201"/>
        <v>0</v>
      </c>
      <c r="I494" s="93">
        <f>SUM('1:2'!I494)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5.8</v>
      </c>
      <c r="M494" s="36">
        <f t="shared" si="197"/>
        <v>0</v>
      </c>
      <c r="N494" s="31">
        <f t="shared" si="198"/>
        <v>0</v>
      </c>
      <c r="O494" s="93">
        <f>SUM('1:2'!O494)</f>
        <v>0</v>
      </c>
      <c r="P494" s="93">
        <f>SUM('1:2'!P494)</f>
        <v>0</v>
      </c>
      <c r="Q494" s="93">
        <f>SUM('1:2'!Q494)</f>
        <v>0</v>
      </c>
      <c r="R494" s="93">
        <f>SUM('1:2'!R494)</f>
        <v>0</v>
      </c>
      <c r="S494" s="93">
        <f>SUM('1:2'!S494)</f>
        <v>0</v>
      </c>
      <c r="T494" s="93">
        <f>SUM('1:2'!T494)</f>
        <v>0</v>
      </c>
      <c r="U494" s="93">
        <f>SUM('1:2'!U494)</f>
        <v>0</v>
      </c>
      <c r="V494" s="206">
        <f t="shared" si="199"/>
        <v>0</v>
      </c>
      <c r="W494" s="33" t="str">
        <f t="shared" si="185"/>
        <v/>
      </c>
      <c r="X494" s="93">
        <f>SUM('1:2'!X494)</f>
        <v>0</v>
      </c>
      <c r="Y494" s="93">
        <f>SUM('1:2'!Y494)</f>
        <v>0</v>
      </c>
      <c r="Z494" s="93">
        <f>SUM('1:2'!Z494)</f>
        <v>0</v>
      </c>
      <c r="AA494" s="93">
        <f>SUM('1:2'!AA494)</f>
        <v>0</v>
      </c>
      <c r="AB494" s="358">
        <v>1.79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5.75">
      <c r="A495" s="299"/>
      <c r="B495" s="64" t="s">
        <v>348</v>
      </c>
      <c r="C495" s="188" t="s">
        <v>376</v>
      </c>
      <c r="D495" s="17"/>
      <c r="E495" s="17"/>
      <c r="F495" s="6"/>
      <c r="G495" s="93">
        <f>SUM('1:2'!G495)</f>
        <v>0</v>
      </c>
      <c r="H495" s="296">
        <f t="shared" si="201"/>
        <v>0</v>
      </c>
      <c r="I495" s="93">
        <f>SUM('1:2'!I495)</f>
        <v>0</v>
      </c>
      <c r="J495" s="31"/>
      <c r="K495" s="35"/>
      <c r="L495" s="87"/>
      <c r="M495" s="36"/>
      <c r="N495" s="31"/>
      <c r="O495" s="93">
        <f>SUM('1:2'!O495)</f>
        <v>0</v>
      </c>
      <c r="P495" s="93">
        <f>SUM('1:2'!P495)</f>
        <v>0</v>
      </c>
      <c r="Q495" s="93">
        <f>SUM('1:2'!Q495)</f>
        <v>0</v>
      </c>
      <c r="R495" s="93">
        <f>SUM('1:2'!R495)</f>
        <v>0</v>
      </c>
      <c r="S495" s="93">
        <f>SUM('1:2'!S495)</f>
        <v>0</v>
      </c>
      <c r="T495" s="93">
        <f>SUM('1:2'!T495)</f>
        <v>0</v>
      </c>
      <c r="U495" s="93">
        <f>SUM('1:2'!U495)</f>
        <v>0</v>
      </c>
      <c r="V495" s="206"/>
      <c r="W495" s="33"/>
      <c r="X495" s="93">
        <f>SUM('1:2'!X495)</f>
        <v>0</v>
      </c>
      <c r="Y495" s="93">
        <f>SUM('1:2'!Y495)</f>
        <v>0</v>
      </c>
      <c r="Z495" s="93">
        <f>SUM('1:2'!Z495)</f>
        <v>0</v>
      </c>
      <c r="AA495" s="93">
        <f>SUM('1:2'!AA495)</f>
        <v>0</v>
      </c>
      <c r="AB495" s="358"/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299">
        <v>30700001</v>
      </c>
      <c r="B496" s="191" t="s">
        <v>359</v>
      </c>
      <c r="C496" s="242"/>
      <c r="D496" s="17"/>
      <c r="E496" s="17"/>
      <c r="F496" s="6"/>
      <c r="G496" s="93">
        <f>SUM('1:2'!G496)</f>
        <v>0</v>
      </c>
      <c r="H496" s="296">
        <f t="shared" si="201"/>
        <v>0</v>
      </c>
      <c r="I496" s="93">
        <f>SUM('1:2'!I496)</f>
        <v>0</v>
      </c>
      <c r="J496" s="31"/>
      <c r="K496" s="35"/>
      <c r="L496" s="87">
        <v>6</v>
      </c>
      <c r="M496" s="36"/>
      <c r="N496" s="31"/>
      <c r="O496" s="93">
        <f>SUM('1:2'!O496)</f>
        <v>0</v>
      </c>
      <c r="P496" s="93">
        <f>SUM('1:2'!P496)</f>
        <v>0</v>
      </c>
      <c r="Q496" s="93">
        <f>SUM('1:2'!Q496)</f>
        <v>0</v>
      </c>
      <c r="R496" s="93">
        <f>SUM('1:2'!R496)</f>
        <v>0</v>
      </c>
      <c r="S496" s="93">
        <f>SUM('1:2'!S496)</f>
        <v>0</v>
      </c>
      <c r="T496" s="93">
        <f>SUM('1:2'!T496)</f>
        <v>0</v>
      </c>
      <c r="U496" s="93">
        <f>SUM('1:2'!U496)</f>
        <v>0</v>
      </c>
      <c r="V496" s="206"/>
      <c r="W496" s="33"/>
      <c r="X496" s="93">
        <f>SUM('1:2'!X496)</f>
        <v>0</v>
      </c>
      <c r="Y496" s="93">
        <f>SUM('1:2'!Y496)</f>
        <v>0</v>
      </c>
      <c r="Z496" s="93">
        <f>SUM('1:2'!Z496)</f>
        <v>0</v>
      </c>
      <c r="AA496" s="93">
        <f>SUM('1:2'!AA496)</f>
        <v>0</v>
      </c>
      <c r="AB496" s="358">
        <v>1.92</v>
      </c>
      <c r="AC496" s="269">
        <f t="shared" si="200"/>
        <v>0</v>
      </c>
      <c r="AD496" s="251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7.25">
      <c r="A497" s="322"/>
      <c r="B497" s="66" t="s">
        <v>104</v>
      </c>
      <c r="C497" s="242" t="s">
        <v>53</v>
      </c>
      <c r="D497" s="17">
        <v>6.04</v>
      </c>
      <c r="E497" s="17"/>
      <c r="F497" s="6"/>
      <c r="G497" s="93">
        <f>SUM('1:2'!G497)</f>
        <v>0</v>
      </c>
      <c r="H497" s="296">
        <f t="shared" si="201"/>
        <v>0</v>
      </c>
      <c r="I497" s="93">
        <f>SUM('1:2'!I497)</f>
        <v>0</v>
      </c>
      <c r="J497" s="31" t="str">
        <f t="array" ref="J497">IF(ISERROR(G497/I497),"",G497/I497)</f>
        <v/>
      </c>
      <c r="K497" s="35">
        <f t="array" ref="K497">IF(ISERROR(G497/L497),"",G497/L497)</f>
        <v>0</v>
      </c>
      <c r="L497" s="87">
        <v>6</v>
      </c>
      <c r="M497" s="36">
        <f t="shared" ref="M497:M501" si="202">IF(ISERROR(I497-K497),"",I497-K497)</f>
        <v>0</v>
      </c>
      <c r="N497" s="31">
        <f t="shared" ref="N497:N501" si="203">SUM(O497:U497)</f>
        <v>0</v>
      </c>
      <c r="O497" s="93">
        <f>SUM('1:2'!O497)</f>
        <v>0</v>
      </c>
      <c r="P497" s="93">
        <f>SUM('1:2'!P497)</f>
        <v>0</v>
      </c>
      <c r="Q497" s="93">
        <f>SUM('1:2'!Q497)</f>
        <v>0</v>
      </c>
      <c r="R497" s="93">
        <f>SUM('1:2'!R497)</f>
        <v>0</v>
      </c>
      <c r="S497" s="93">
        <f>SUM('1:2'!S497)</f>
        <v>0</v>
      </c>
      <c r="T497" s="93">
        <f>SUM('1:2'!T497)</f>
        <v>0</v>
      </c>
      <c r="U497" s="93">
        <f>SUM('1:2'!U497)</f>
        <v>0</v>
      </c>
      <c r="V497" s="206">
        <f t="shared" ref="V497:V501" si="204">SUM(X497:AA497)</f>
        <v>0</v>
      </c>
      <c r="W497" s="33" t="str">
        <f t="shared" ref="W497:W501" si="205">IF(ISERROR(V497/G497),"",V497/G497)</f>
        <v/>
      </c>
      <c r="X497" s="93">
        <f>SUM('1:2'!X497)</f>
        <v>0</v>
      </c>
      <c r="Y497" s="93">
        <f>SUM('1:2'!Y497)</f>
        <v>0</v>
      </c>
      <c r="Z497" s="93">
        <f>SUM('1:2'!Z497)</f>
        <v>0</v>
      </c>
      <c r="AA497" s="93">
        <f>SUM('1:2'!AA497)</f>
        <v>0</v>
      </c>
      <c r="AB497" s="358">
        <v>1.73</v>
      </c>
      <c r="AC497" s="269">
        <f t="shared" si="200"/>
        <v>0</v>
      </c>
      <c r="AD497" s="251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7.25">
      <c r="A498" s="322">
        <v>30700019</v>
      </c>
      <c r="B498" s="66" t="s">
        <v>104</v>
      </c>
      <c r="C498" s="242" t="s">
        <v>60</v>
      </c>
      <c r="D498" s="17">
        <v>6.04</v>
      </c>
      <c r="E498" s="17"/>
      <c r="F498" s="6"/>
      <c r="G498" s="93">
        <f>SUM('1:2'!G498)</f>
        <v>0</v>
      </c>
      <c r="H498" s="296">
        <f t="shared" si="201"/>
        <v>0</v>
      </c>
      <c r="I498" s="93">
        <f>SUM('1:2'!I498)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6</v>
      </c>
      <c r="M498" s="36">
        <f t="shared" si="202"/>
        <v>0</v>
      </c>
      <c r="N498" s="31">
        <f t="shared" si="203"/>
        <v>0</v>
      </c>
      <c r="O498" s="93">
        <f>SUM('1:2'!O498)</f>
        <v>0</v>
      </c>
      <c r="P498" s="93">
        <f>SUM('1:2'!P498)</f>
        <v>0</v>
      </c>
      <c r="Q498" s="93">
        <f>SUM('1:2'!Q498)</f>
        <v>0</v>
      </c>
      <c r="R498" s="93">
        <f>SUM('1:2'!R498)</f>
        <v>0</v>
      </c>
      <c r="S498" s="93">
        <f>SUM('1:2'!S498)</f>
        <v>0</v>
      </c>
      <c r="T498" s="93">
        <f>SUM('1:2'!T498)</f>
        <v>0</v>
      </c>
      <c r="U498" s="93">
        <f>SUM('1:2'!U498)</f>
        <v>0</v>
      </c>
      <c r="V498" s="206">
        <f t="shared" si="204"/>
        <v>0</v>
      </c>
      <c r="W498" s="33" t="str">
        <f t="shared" si="205"/>
        <v/>
      </c>
      <c r="X498" s="93">
        <f>SUM('1:2'!X498)</f>
        <v>0</v>
      </c>
      <c r="Y498" s="93">
        <f>SUM('1:2'!Y498)</f>
        <v>0</v>
      </c>
      <c r="Z498" s="93">
        <f>SUM('1:2'!Z498)</f>
        <v>0</v>
      </c>
      <c r="AA498" s="93">
        <f>SUM('1:2'!AA498)</f>
        <v>0</v>
      </c>
      <c r="AB498" s="358">
        <v>1.73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305">
        <v>30601015</v>
      </c>
      <c r="B499" s="281" t="s">
        <v>443</v>
      </c>
      <c r="C499" s="289" t="s">
        <v>53</v>
      </c>
      <c r="D499" s="17"/>
      <c r="E499" s="17"/>
      <c r="F499" s="6"/>
      <c r="G499" s="93">
        <f>SUM('1:2'!G499)</f>
        <v>0</v>
      </c>
      <c r="H499" s="296">
        <f t="shared" si="201"/>
        <v>0</v>
      </c>
      <c r="I499" s="93"/>
      <c r="J499" s="31"/>
      <c r="K499" s="35"/>
      <c r="L499" s="87"/>
      <c r="M499" s="36"/>
      <c r="N499" s="31"/>
      <c r="O499" s="93"/>
      <c r="P499" s="93"/>
      <c r="Q499" s="93"/>
      <c r="R499" s="93"/>
      <c r="S499" s="93"/>
      <c r="T499" s="93"/>
      <c r="U499" s="93"/>
      <c r="V499" s="206"/>
      <c r="W499" s="33"/>
      <c r="X499" s="93"/>
      <c r="Y499" s="93"/>
      <c r="Z499" s="93"/>
      <c r="AA499" s="93"/>
      <c r="AB499" s="358">
        <v>1.73</v>
      </c>
      <c r="AC499" s="269">
        <f t="shared" si="200"/>
        <v>0</v>
      </c>
      <c r="AD499" s="29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305">
        <v>30101016</v>
      </c>
      <c r="B500" s="281" t="s">
        <v>443</v>
      </c>
      <c r="C500" s="289" t="s">
        <v>60</v>
      </c>
      <c r="D500" s="17"/>
      <c r="E500" s="17"/>
      <c r="F500" s="6"/>
      <c r="G500" s="93">
        <f>SUM('1:2'!G500)</f>
        <v>0</v>
      </c>
      <c r="H500" s="296">
        <f t="shared" si="201"/>
        <v>0</v>
      </c>
      <c r="I500" s="93"/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>
        <v>1.73</v>
      </c>
      <c r="AC500" s="269">
        <f t="shared" si="200"/>
        <v>0</v>
      </c>
      <c r="AD500" s="29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30700018</v>
      </c>
      <c r="B501" s="61" t="s">
        <v>159</v>
      </c>
      <c r="C501" s="16"/>
      <c r="D501" s="17">
        <v>7.3</v>
      </c>
      <c r="E501" s="17"/>
      <c r="F501" s="6"/>
      <c r="G501" s="93">
        <f>SUM('1:2'!G501)</f>
        <v>0</v>
      </c>
      <c r="H501" s="296">
        <f t="shared" si="201"/>
        <v>0</v>
      </c>
      <c r="I501" s="93">
        <f>SUM('1:2'!I501)</f>
        <v>0</v>
      </c>
      <c r="J501" s="31" t="str">
        <f t="array" ref="J501">IF(ISERROR(G501/I501),"",G501/I501)</f>
        <v/>
      </c>
      <c r="K501" s="35">
        <f t="array" ref="K501">IF(ISERROR(G501/L501),"",G501/L501)</f>
        <v>0</v>
      </c>
      <c r="L501" s="87">
        <v>7.5</v>
      </c>
      <c r="M501" s="36">
        <f t="shared" si="202"/>
        <v>0</v>
      </c>
      <c r="N501" s="31">
        <f t="shared" si="203"/>
        <v>0</v>
      </c>
      <c r="O501" s="93">
        <f>SUM('1:2'!O501)</f>
        <v>0</v>
      </c>
      <c r="P501" s="93">
        <f>SUM('1:2'!P501)</f>
        <v>0</v>
      </c>
      <c r="Q501" s="93">
        <f>SUM('1:2'!Q501)</f>
        <v>0</v>
      </c>
      <c r="R501" s="93">
        <f>SUM('1:2'!R501)</f>
        <v>0</v>
      </c>
      <c r="S501" s="93">
        <f>SUM('1:2'!S501)</f>
        <v>0</v>
      </c>
      <c r="T501" s="93">
        <f>SUM('1:2'!T501)</f>
        <v>0</v>
      </c>
      <c r="U501" s="93">
        <f>SUM('1:2'!U501)</f>
        <v>0</v>
      </c>
      <c r="V501" s="206">
        <f t="shared" si="204"/>
        <v>0</v>
      </c>
      <c r="W501" s="33" t="str">
        <f t="shared" si="205"/>
        <v/>
      </c>
      <c r="X501" s="93">
        <f>SUM('1:2'!X501)</f>
        <v>0</v>
      </c>
      <c r="Y501" s="93">
        <f>SUM('1:2'!Y501)</f>
        <v>0</v>
      </c>
      <c r="Z501" s="93">
        <f>SUM('1:2'!Z501)</f>
        <v>0</v>
      </c>
      <c r="AA501" s="93">
        <f>SUM('1:2'!AA501)</f>
        <v>0</v>
      </c>
      <c r="AB501" s="358">
        <v>1.27</v>
      </c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5.75">
      <c r="A502" s="299">
        <v>30700010</v>
      </c>
      <c r="B502" s="61" t="s">
        <v>105</v>
      </c>
      <c r="C502" s="16"/>
      <c r="D502" s="17">
        <f>78*120/1000</f>
        <v>9.36</v>
      </c>
      <c r="E502" s="17"/>
      <c r="F502" s="6"/>
      <c r="G502" s="93">
        <f>SUM('1:2'!G502)</f>
        <v>0</v>
      </c>
      <c r="H502" s="296">
        <f t="shared" si="201"/>
        <v>0</v>
      </c>
      <c r="I502" s="93">
        <f>SUM('1:2'!I502)</f>
        <v>0</v>
      </c>
      <c r="J502" s="31"/>
      <c r="K502" s="35"/>
      <c r="L502" s="87"/>
      <c r="M502" s="36"/>
      <c r="N502" s="31"/>
      <c r="O502" s="93">
        <f>SUM('1:2'!O502)</f>
        <v>0</v>
      </c>
      <c r="P502" s="93">
        <f>SUM('1:2'!P502)</f>
        <v>0</v>
      </c>
      <c r="Q502" s="93">
        <f>SUM('1:2'!Q502)</f>
        <v>0</v>
      </c>
      <c r="R502" s="93">
        <f>SUM('1:2'!R502)</f>
        <v>0</v>
      </c>
      <c r="S502" s="93">
        <f>SUM('1:2'!S502)</f>
        <v>0</v>
      </c>
      <c r="T502" s="93">
        <f>SUM('1:2'!T502)</f>
        <v>0</v>
      </c>
      <c r="U502" s="93">
        <f>SUM('1:2'!U502)</f>
        <v>0</v>
      </c>
      <c r="V502" s="206"/>
      <c r="W502" s="33"/>
      <c r="X502" s="93">
        <f>SUM('1:2'!X502)</f>
        <v>0</v>
      </c>
      <c r="Y502" s="93">
        <f>SUM('1:2'!Y502)</f>
        <v>0</v>
      </c>
      <c r="Z502" s="93">
        <f>SUM('1:2'!Z502)</f>
        <v>0</v>
      </c>
      <c r="AA502" s="93">
        <f>SUM('1:2'!AA502)</f>
        <v>0</v>
      </c>
      <c r="AB502" s="358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299">
        <v>30700015</v>
      </c>
      <c r="B503" s="294" t="s">
        <v>159</v>
      </c>
      <c r="C503" s="16"/>
      <c r="D503" s="17">
        <v>4.5</v>
      </c>
      <c r="E503" s="17"/>
      <c r="F503" s="6"/>
      <c r="G503" s="93">
        <f>SUM('1:2'!G503)</f>
        <v>0</v>
      </c>
      <c r="H503" s="296">
        <f t="shared" si="201"/>
        <v>0</v>
      </c>
      <c r="I503" s="93">
        <f>SUM('1:2'!I503)</f>
        <v>0</v>
      </c>
      <c r="J503" s="31"/>
      <c r="K503" s="35"/>
      <c r="L503" s="87"/>
      <c r="M503" s="36"/>
      <c r="N503" s="31"/>
      <c r="O503" s="93"/>
      <c r="P503" s="93"/>
      <c r="Q503" s="93"/>
      <c r="R503" s="93"/>
      <c r="S503" s="93"/>
      <c r="T503" s="93"/>
      <c r="U503" s="93"/>
      <c r="V503" s="206"/>
      <c r="W503" s="33"/>
      <c r="X503" s="93"/>
      <c r="Y503" s="93"/>
      <c r="Z503" s="93"/>
      <c r="AA503" s="93"/>
      <c r="AB503" s="358"/>
      <c r="AC503" s="269">
        <f t="shared" si="200"/>
        <v>0</v>
      </c>
      <c r="AD503" s="251"/>
      <c r="AE503" s="54"/>
      <c r="AF503" s="54"/>
      <c r="AG503" s="54"/>
      <c r="AH503" s="54"/>
      <c r="AI503" s="57"/>
      <c r="AJ503" s="57"/>
      <c r="AK503" s="57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</row>
    <row r="504" spans="1:53" ht="15.75">
      <c r="A504" s="299">
        <v>30700012</v>
      </c>
      <c r="B504" s="294" t="s">
        <v>160</v>
      </c>
      <c r="C504" s="16"/>
      <c r="D504" s="17">
        <v>4.5</v>
      </c>
      <c r="E504" s="17"/>
      <c r="F504" s="6"/>
      <c r="G504" s="93">
        <f>SUM('1:2'!G504)</f>
        <v>0</v>
      </c>
      <c r="H504" s="296">
        <f t="shared" si="201"/>
        <v>0</v>
      </c>
      <c r="I504" s="93">
        <f>SUM('1:2'!I504)</f>
        <v>0</v>
      </c>
      <c r="J504" s="31"/>
      <c r="K504" s="35"/>
      <c r="L504" s="87"/>
      <c r="M504" s="36"/>
      <c r="N504" s="31"/>
      <c r="O504" s="93">
        <f>SUM('1:2'!O504)</f>
        <v>0</v>
      </c>
      <c r="P504" s="93">
        <f>SUM('1:2'!P504)</f>
        <v>0</v>
      </c>
      <c r="Q504" s="93">
        <f>SUM('1:2'!Q504)</f>
        <v>0</v>
      </c>
      <c r="R504" s="93">
        <f>SUM('1:2'!R504)</f>
        <v>0</v>
      </c>
      <c r="S504" s="93">
        <f>SUM('1:2'!S504)</f>
        <v>0</v>
      </c>
      <c r="T504" s="93">
        <f>SUM('1:2'!T504)</f>
        <v>0</v>
      </c>
      <c r="U504" s="93">
        <f>SUM('1:2'!U504)</f>
        <v>0</v>
      </c>
      <c r="V504" s="206"/>
      <c r="W504" s="33"/>
      <c r="X504" s="93">
        <f>SUM('1:2'!X504)</f>
        <v>0</v>
      </c>
      <c r="Y504" s="93">
        <f>SUM('1:2'!Y504)</f>
        <v>0</v>
      </c>
      <c r="Z504" s="93">
        <f>SUM('1:2'!Z504)</f>
        <v>0</v>
      </c>
      <c r="AA504" s="93">
        <f>SUM('1:2'!AA504)</f>
        <v>0</v>
      </c>
      <c r="AB504" s="358"/>
      <c r="AC504" s="269">
        <f t="shared" si="200"/>
        <v>0</v>
      </c>
      <c r="AD504" s="251"/>
      <c r="AE504" s="54"/>
      <c r="AF504" s="54"/>
      <c r="AG504" s="54"/>
      <c r="AH504" s="54"/>
      <c r="AI504" s="57"/>
      <c r="AJ504" s="57"/>
      <c r="AK504" s="57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</row>
    <row r="505" spans="1:53" ht="17.25">
      <c r="A505" s="320"/>
      <c r="B505" s="244"/>
      <c r="C505" s="16"/>
      <c r="D505" s="17"/>
      <c r="E505" s="17"/>
      <c r="F505" s="6"/>
      <c r="G505" s="93">
        <f>SUM('1:2'!G505)</f>
        <v>0</v>
      </c>
      <c r="H505" s="296">
        <f t="shared" si="201"/>
        <v>0</v>
      </c>
      <c r="I505" s="93">
        <f>SUM('1:2'!I505)</f>
        <v>0</v>
      </c>
      <c r="J505" s="31"/>
      <c r="K505" s="35"/>
      <c r="L505" s="87"/>
      <c r="M505" s="36"/>
      <c r="N505" s="31"/>
      <c r="O505" s="93">
        <f>SUM('1:2'!O505)</f>
        <v>0</v>
      </c>
      <c r="P505" s="93">
        <f>SUM('1:2'!P505)</f>
        <v>0</v>
      </c>
      <c r="Q505" s="93">
        <f>SUM('1:2'!Q505)</f>
        <v>0</v>
      </c>
      <c r="R505" s="93">
        <f>SUM('1:2'!R505)</f>
        <v>0</v>
      </c>
      <c r="S505" s="93">
        <f>SUM('1:2'!S505)</f>
        <v>0</v>
      </c>
      <c r="T505" s="93">
        <f>SUM('1:2'!T505)</f>
        <v>0</v>
      </c>
      <c r="U505" s="93">
        <f>SUM('1:2'!U505)</f>
        <v>0</v>
      </c>
      <c r="V505" s="206"/>
      <c r="W505" s="33"/>
      <c r="X505" s="93">
        <f>SUM('1:2'!X505)</f>
        <v>0</v>
      </c>
      <c r="Y505" s="93">
        <f>SUM('1:2'!Y505)</f>
        <v>0</v>
      </c>
      <c r="Z505" s="93">
        <f>SUM('1:2'!Z505)</f>
        <v>0</v>
      </c>
      <c r="AA505" s="93">
        <f>SUM('1:2'!AA505)</f>
        <v>0</v>
      </c>
      <c r="AB505" s="73"/>
      <c r="AC505" s="269">
        <f t="shared" si="200"/>
        <v>0</v>
      </c>
      <c r="AD505" s="251"/>
      <c r="AE505" s="54"/>
      <c r="AF505" s="54"/>
      <c r="AG505" s="54"/>
      <c r="AH505" s="54"/>
      <c r="AI505" s="57"/>
      <c r="AJ505" s="57"/>
      <c r="AK505" s="57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</row>
    <row r="506" spans="1:53" ht="15.75">
      <c r="A506" s="731" t="s">
        <v>106</v>
      </c>
      <c r="B506" s="732"/>
      <c r="C506" s="243" t="s">
        <v>71</v>
      </c>
      <c r="D506" s="20"/>
      <c r="E506" s="20"/>
      <c r="F506" s="32"/>
      <c r="G506" s="94">
        <f>SUM(G491:G505)</f>
        <v>0</v>
      </c>
      <c r="H506" s="30">
        <f>SUM(H491:H505)</f>
        <v>0</v>
      </c>
      <c r="I506" s="30">
        <f>SUM(I491:I505)</f>
        <v>0</v>
      </c>
      <c r="J506" s="31" t="str">
        <f t="array" ref="J506">IF(ISERROR(G506/I506),"",G506/I506)</f>
        <v/>
      </c>
      <c r="K506" s="30">
        <f>SUM(K491:K501)</f>
        <v>0</v>
      </c>
      <c r="L506" s="98"/>
      <c r="M506" s="89">
        <f t="shared" ref="M506:V506" si="206">SUM(M491:M501)</f>
        <v>0</v>
      </c>
      <c r="N506" s="20">
        <f t="shared" si="206"/>
        <v>0</v>
      </c>
      <c r="O506" s="91">
        <f t="shared" si="206"/>
        <v>0</v>
      </c>
      <c r="P506" s="91">
        <f t="shared" si="206"/>
        <v>0</v>
      </c>
      <c r="Q506" s="91">
        <f t="shared" si="206"/>
        <v>0</v>
      </c>
      <c r="R506" s="91">
        <f t="shared" si="206"/>
        <v>0</v>
      </c>
      <c r="S506" s="92">
        <f t="shared" si="206"/>
        <v>0</v>
      </c>
      <c r="T506" s="91">
        <f t="shared" si="206"/>
        <v>0</v>
      </c>
      <c r="U506" s="91">
        <f t="shared" si="206"/>
        <v>0</v>
      </c>
      <c r="V506" s="206">
        <f t="shared" si="206"/>
        <v>0</v>
      </c>
      <c r="W506" s="33" t="str">
        <f t="shared" ref="W506:W507" si="207">IF(ISERROR(V506/G506),"",V506/G506)</f>
        <v/>
      </c>
      <c r="X506" s="92">
        <f>SUM(X491:X501)</f>
        <v>0</v>
      </c>
      <c r="Y506" s="92">
        <f>SUM(Y491:Y501)</f>
        <v>0</v>
      </c>
      <c r="Z506" s="92">
        <f>SUM(Z491:Z501)</f>
        <v>0</v>
      </c>
      <c r="AA506" s="92">
        <f>SUM(AA491:AA501)</f>
        <v>0</v>
      </c>
      <c r="AB506" s="70"/>
      <c r="AC506" s="91">
        <f>SUM(AC491:AC505)</f>
        <v>0</v>
      </c>
      <c r="AD506" s="58"/>
      <c r="AE506" s="70"/>
      <c r="AF506" s="70"/>
      <c r="AG506" s="70"/>
      <c r="AH506" s="70"/>
      <c r="AI506" s="58"/>
      <c r="AJ506" s="58"/>
      <c r="AK506" s="58"/>
      <c r="AL506" s="58"/>
      <c r="AM506" s="58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</row>
    <row r="507" spans="1:53" ht="15.75">
      <c r="A507" s="733" t="s">
        <v>108</v>
      </c>
      <c r="B507" s="734"/>
      <c r="C507" s="734"/>
      <c r="D507" s="734"/>
      <c r="E507" s="734"/>
      <c r="F507" s="735"/>
      <c r="G507" s="193">
        <f>SUM(G370,G428,G463,G479,G490,G506)</f>
        <v>1732</v>
      </c>
      <c r="H507" s="193">
        <f>SUM(H370,H428,H463,H479,H490,H506)</f>
        <v>8711.9600000000009</v>
      </c>
      <c r="I507" s="193">
        <f>SUM(I370,I428,I463,I479,I490,I506)</f>
        <v>173.5</v>
      </c>
      <c r="J507" s="52">
        <f t="array" ref="J507">IF(ISERROR(G507/I507),"",G507/I507)</f>
        <v>9.9827089337175785</v>
      </c>
      <c r="K507" s="193">
        <f>SUM(K370,K428,K463,K479,K490,K506)</f>
        <v>191.37463343108504</v>
      </c>
      <c r="L507" s="52">
        <f>IF(ISERROR(G507/K507),"",G507/K507)</f>
        <v>9.0503112609420189</v>
      </c>
      <c r="M507" s="193">
        <f t="shared" ref="M507:V507" si="208">SUM(M370,M428,M463,M479,M490,M506)</f>
        <v>-17.874633431085034</v>
      </c>
      <c r="N507" s="193">
        <f t="shared" si="208"/>
        <v>0</v>
      </c>
      <c r="O507" s="193">
        <f t="shared" si="208"/>
        <v>0</v>
      </c>
      <c r="P507" s="193">
        <f t="shared" si="208"/>
        <v>0</v>
      </c>
      <c r="Q507" s="193">
        <f t="shared" si="208"/>
        <v>0</v>
      </c>
      <c r="R507" s="193">
        <f t="shared" si="208"/>
        <v>0</v>
      </c>
      <c r="S507" s="193">
        <f t="shared" si="208"/>
        <v>0</v>
      </c>
      <c r="T507" s="193">
        <f t="shared" si="208"/>
        <v>0</v>
      </c>
      <c r="U507" s="193">
        <f t="shared" si="208"/>
        <v>0</v>
      </c>
      <c r="V507" s="193">
        <f t="shared" si="208"/>
        <v>0</v>
      </c>
      <c r="W507" s="78">
        <f t="shared" si="207"/>
        <v>0</v>
      </c>
      <c r="X507" s="193">
        <f>SUM(X370,X428,X463,X479,X490,X506)</f>
        <v>0</v>
      </c>
      <c r="Y507" s="193">
        <f>SUM(Y370,Y428,Y463,Y479,Y490,Y506)</f>
        <v>0</v>
      </c>
      <c r="Z507" s="193">
        <f>SUM(Z370,Z428,Z463,Z479,Z490,Z506)</f>
        <v>0</v>
      </c>
      <c r="AA507" s="193">
        <f>SUM(AA370,AA428,AA463,AA479,AA490,AA506)</f>
        <v>0</v>
      </c>
      <c r="AB507" s="71"/>
      <c r="AC507" s="271">
        <f>SUM(AC370,AC428,AC463,AC479,AC490,AC506)</f>
        <v>1756.21</v>
      </c>
      <c r="AD507" s="251"/>
      <c r="AE507" s="77"/>
      <c r="AF507" s="77"/>
      <c r="AG507" s="77"/>
      <c r="AH507" s="77"/>
      <c r="AI507" s="57"/>
      <c r="AJ507" s="57"/>
      <c r="AK507" s="57"/>
      <c r="AL507" s="736"/>
      <c r="AM507" s="736"/>
      <c r="AN507" s="736"/>
      <c r="AO507" s="736"/>
      <c r="AP507" s="736"/>
      <c r="AQ507" s="736"/>
      <c r="AR507" s="736"/>
      <c r="AS507" s="736"/>
      <c r="AT507" s="736"/>
      <c r="AU507" s="736"/>
      <c r="AV507" s="736"/>
      <c r="AW507" s="736"/>
      <c r="AX507" s="736"/>
      <c r="AY507" s="736"/>
      <c r="AZ507" s="736"/>
      <c r="BA507" s="736"/>
    </row>
    <row r="508" spans="1:53">
      <c r="G508" s="399">
        <f>+G507+G164+G335</f>
        <v>24463</v>
      </c>
      <c r="H508" s="100" t="s">
        <v>165</v>
      </c>
      <c r="J508" s="101">
        <f>+G463+G292+G121</f>
        <v>3819</v>
      </c>
      <c r="K508" s="101">
        <f>+H463+H292+H121</f>
        <v>17210.18</v>
      </c>
      <c r="L508" s="101">
        <f>+I463+I292+I121</f>
        <v>412.5</v>
      </c>
      <c r="M508" s="50">
        <f>+J508/L508</f>
        <v>9.2581818181818178</v>
      </c>
      <c r="AC508" s="272">
        <f>+AC507+AC164+AC335</f>
        <v>13179.34</v>
      </c>
    </row>
    <row r="509" spans="1:53">
      <c r="G509" s="275"/>
      <c r="H509" s="100"/>
      <c r="J509" s="101"/>
      <c r="K509" s="101"/>
      <c r="L509" s="101"/>
      <c r="M509" s="50"/>
      <c r="AB509" s="275"/>
    </row>
    <row r="510" spans="1:53">
      <c r="D510" s="274"/>
      <c r="H510" s="100"/>
      <c r="J510" s="101"/>
      <c r="K510" s="101"/>
      <c r="L510" s="101"/>
      <c r="M510" s="50"/>
      <c r="AC510" s="276"/>
    </row>
    <row r="511" spans="1:53">
      <c r="J511" s="101"/>
      <c r="K511" s="101"/>
      <c r="L511" s="101"/>
      <c r="M511" s="50"/>
    </row>
    <row r="514" spans="7:13">
      <c r="H514" s="100"/>
      <c r="K514" s="101"/>
      <c r="L514" s="101"/>
      <c r="M514" s="102"/>
    </row>
    <row r="515" spans="7:13">
      <c r="H515" s="100"/>
      <c r="K515" s="101"/>
      <c r="L515" s="101"/>
      <c r="M515" s="102"/>
    </row>
    <row r="516" spans="7:13">
      <c r="H516" s="100"/>
      <c r="K516" s="101"/>
      <c r="L516" s="101"/>
      <c r="M516" s="102"/>
    </row>
    <row r="517" spans="7:13">
      <c r="H517" s="100"/>
      <c r="K517" s="101"/>
      <c r="L517" s="101"/>
      <c r="M517" s="102"/>
    </row>
    <row r="518" spans="7:13">
      <c r="H518" s="100" t="s">
        <v>167</v>
      </c>
      <c r="J518" s="46">
        <f>+G163</f>
        <v>96</v>
      </c>
      <c r="K518" s="101">
        <f>+H163</f>
        <v>748.8</v>
      </c>
      <c r="L518" s="101">
        <f>+I163</f>
        <v>5</v>
      </c>
      <c r="M518" s="102">
        <f>+J518/L518</f>
        <v>19.2</v>
      </c>
    </row>
    <row r="519" spans="7:13">
      <c r="J519" s="46">
        <f>+B171</f>
        <v>10993</v>
      </c>
      <c r="M519" s="102"/>
    </row>
    <row r="520" spans="7:13">
      <c r="M520" s="102"/>
    </row>
    <row r="521" spans="7:13">
      <c r="H521" s="100" t="s">
        <v>163</v>
      </c>
      <c r="J521" s="46">
        <f>+G199</f>
        <v>4672</v>
      </c>
      <c r="K521" s="101">
        <f>+H199</f>
        <v>23665.08</v>
      </c>
      <c r="L521" s="101">
        <f>+I199</f>
        <v>293.55</v>
      </c>
      <c r="M521" s="102">
        <f>+J521/L521</f>
        <v>15.915516947709078</v>
      </c>
    </row>
    <row r="522" spans="7:13">
      <c r="H522" s="100" t="s">
        <v>164</v>
      </c>
      <c r="J522" s="46">
        <f>+G257</f>
        <v>4557</v>
      </c>
      <c r="K522" s="101">
        <f>+H257</f>
        <v>22991.81</v>
      </c>
      <c r="L522" s="101">
        <f>+I257</f>
        <v>191</v>
      </c>
      <c r="M522" s="102">
        <f>+J522/L522</f>
        <v>23.858638743455497</v>
      </c>
    </row>
    <row r="523" spans="7:13">
      <c r="H523" s="100" t="s">
        <v>165</v>
      </c>
      <c r="J523" s="46">
        <f>+G292</f>
        <v>634</v>
      </c>
      <c r="K523" s="101">
        <f>+H292</f>
        <v>1217.26</v>
      </c>
      <c r="L523" s="101">
        <f>+I292</f>
        <v>135</v>
      </c>
      <c r="M523" s="102">
        <f>+J523/L523</f>
        <v>4.6962962962962962</v>
      </c>
    </row>
    <row r="524" spans="7:13">
      <c r="H524" s="100" t="s">
        <v>166</v>
      </c>
      <c r="J524" s="46">
        <f>+G308</f>
        <v>1756</v>
      </c>
      <c r="K524" s="101">
        <f>+H308</f>
        <v>8883.6</v>
      </c>
      <c r="L524" s="101">
        <f>+I308</f>
        <v>105.5</v>
      </c>
      <c r="M524" s="102">
        <f>+J524/L524</f>
        <v>16.644549763033176</v>
      </c>
    </row>
    <row r="525" spans="7:13">
      <c r="H525" s="100" t="s">
        <v>167</v>
      </c>
      <c r="J525" s="46">
        <f>+G334</f>
        <v>0</v>
      </c>
      <c r="K525" s="101">
        <f>+H334</f>
        <v>0</v>
      </c>
      <c r="L525" s="101">
        <f>+I334</f>
        <v>0</v>
      </c>
      <c r="M525" s="102" t="e">
        <f>+J525/L525</f>
        <v>#DIV/0!</v>
      </c>
    </row>
    <row r="526" spans="7:13">
      <c r="G526" t="s">
        <v>170</v>
      </c>
      <c r="J526" s="46">
        <f>+B342</f>
        <v>11738</v>
      </c>
      <c r="K526" s="101"/>
      <c r="L526" s="101"/>
      <c r="M526" s="102"/>
    </row>
    <row r="527" spans="7:13">
      <c r="H527" s="100" t="s">
        <v>163</v>
      </c>
      <c r="J527" s="46">
        <f>+G370</f>
        <v>0</v>
      </c>
      <c r="K527" s="101">
        <f>+H370</f>
        <v>0</v>
      </c>
      <c r="L527" s="101">
        <f>+I370</f>
        <v>0</v>
      </c>
      <c r="M527" s="102" t="e">
        <f>+J527/L527</f>
        <v>#DIV/0!</v>
      </c>
    </row>
    <row r="528" spans="7:13">
      <c r="H528" s="100" t="s">
        <v>164</v>
      </c>
      <c r="J528" s="46">
        <f>+G428</f>
        <v>0</v>
      </c>
      <c r="K528" s="101">
        <f>+H428</f>
        <v>0</v>
      </c>
      <c r="L528" s="101">
        <f>+I428</f>
        <v>0</v>
      </c>
      <c r="M528" s="102" t="e">
        <f>+J528/L528</f>
        <v>#DIV/0!</v>
      </c>
    </row>
    <row r="529" spans="8:13">
      <c r="H529" s="100" t="s">
        <v>165</v>
      </c>
      <c r="J529" s="46">
        <f>+G463</f>
        <v>1732</v>
      </c>
      <c r="K529" s="101">
        <f>+H463</f>
        <v>8711.9600000000009</v>
      </c>
      <c r="L529" s="101">
        <f>+I463</f>
        <v>173.5</v>
      </c>
      <c r="M529" s="102">
        <f>+J529/L529</f>
        <v>9.9827089337175785</v>
      </c>
    </row>
    <row r="530" spans="8:13">
      <c r="H530" s="100" t="s">
        <v>166</v>
      </c>
      <c r="J530" s="46">
        <f>+G479</f>
        <v>0</v>
      </c>
      <c r="K530" s="101">
        <f>+H479</f>
        <v>0</v>
      </c>
      <c r="L530" s="101">
        <f>+I479</f>
        <v>0</v>
      </c>
      <c r="M530" s="102" t="e">
        <f>+J530/L530</f>
        <v>#DIV/0!</v>
      </c>
    </row>
    <row r="531" spans="8:13">
      <c r="H531" s="100" t="s">
        <v>167</v>
      </c>
      <c r="J531" s="46">
        <f>+G506</f>
        <v>0</v>
      </c>
      <c r="K531" s="101">
        <f>+H506</f>
        <v>0</v>
      </c>
      <c r="L531" s="101">
        <f>+I506</f>
        <v>0</v>
      </c>
      <c r="M531" s="102" t="e">
        <f>+J531/L531</f>
        <v>#DIV/0!</v>
      </c>
    </row>
    <row r="532" spans="8:13">
      <c r="J532" s="46" t="e">
        <f>+#REF!</f>
        <v>#REF!</v>
      </c>
    </row>
  </sheetData>
  <mergeCells count="350">
    <mergeCell ref="AB4:AB6"/>
    <mergeCell ref="AC4:AC6"/>
    <mergeCell ref="AB175:AB177"/>
    <mergeCell ref="AC175:AC177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8:B148"/>
    <mergeCell ref="A163:B163"/>
    <mergeCell ref="A164:F164"/>
    <mergeCell ref="A165:A170"/>
    <mergeCell ref="C165:D165"/>
    <mergeCell ref="E165:F165"/>
    <mergeCell ref="Y5:Y6"/>
    <mergeCell ref="Z5:Z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G165:H165"/>
    <mergeCell ref="I165:J165"/>
    <mergeCell ref="K165:L165"/>
    <mergeCell ref="M165:N165"/>
    <mergeCell ref="O165:O173"/>
    <mergeCell ref="P165:Q165"/>
    <mergeCell ref="M166:N166"/>
    <mergeCell ref="P166:Q166"/>
    <mergeCell ref="M167:N167"/>
    <mergeCell ref="P167:Q167"/>
    <mergeCell ref="R166:S166"/>
    <mergeCell ref="T166:U166"/>
    <mergeCell ref="V166:W166"/>
    <mergeCell ref="X166:Y166"/>
    <mergeCell ref="Z169:AA169"/>
    <mergeCell ref="Z166:AA166"/>
    <mergeCell ref="C167:D167"/>
    <mergeCell ref="E167:F167"/>
    <mergeCell ref="G167:H167"/>
    <mergeCell ref="I167:J167"/>
    <mergeCell ref="K167:L167"/>
    <mergeCell ref="R167:S167"/>
    <mergeCell ref="T167:U167"/>
    <mergeCell ref="V167:W167"/>
    <mergeCell ref="X167:Y167"/>
    <mergeCell ref="Z167:AA167"/>
    <mergeCell ref="T170:U170"/>
    <mergeCell ref="C168:D168"/>
    <mergeCell ref="E168:F168"/>
    <mergeCell ref="G168:H168"/>
    <mergeCell ref="I168:J168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T172:U172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R173:S173"/>
    <mergeCell ref="T173:U173"/>
    <mergeCell ref="V173:W173"/>
    <mergeCell ref="X173:Y173"/>
    <mergeCell ref="Z173:AA173"/>
    <mergeCell ref="A174:BA174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Z176:Z177"/>
    <mergeCell ref="AA176:AA177"/>
    <mergeCell ref="G175:H176"/>
    <mergeCell ref="I175:I177"/>
    <mergeCell ref="J175:J177"/>
    <mergeCell ref="K175:K177"/>
    <mergeCell ref="L175:L177"/>
    <mergeCell ref="M175:M177"/>
    <mergeCell ref="A175:A177"/>
    <mergeCell ref="B175:B177"/>
    <mergeCell ref="C175:C177"/>
    <mergeCell ref="D175:D177"/>
    <mergeCell ref="E175:E177"/>
    <mergeCell ref="F175:F177"/>
    <mergeCell ref="AL176:AR176"/>
    <mergeCell ref="AS176:BA176"/>
    <mergeCell ref="A199:B199"/>
    <mergeCell ref="A257:B257"/>
    <mergeCell ref="A292:B292"/>
    <mergeCell ref="A308:B308"/>
    <mergeCell ref="AJ175:AJ177"/>
    <mergeCell ref="AK175:AK177"/>
    <mergeCell ref="AL175:BA175"/>
    <mergeCell ref="O176:O177"/>
    <mergeCell ref="P176:P177"/>
    <mergeCell ref="Q176:Q177"/>
    <mergeCell ref="R176:R177"/>
    <mergeCell ref="S176:S177"/>
    <mergeCell ref="T176:T177"/>
    <mergeCell ref="U176:U177"/>
    <mergeCell ref="N175:N177"/>
    <mergeCell ref="O175:U175"/>
    <mergeCell ref="V175:V177"/>
    <mergeCell ref="W175:W177"/>
    <mergeCell ref="X175:AA175"/>
    <mergeCell ref="AI175:AI177"/>
    <mergeCell ref="X176:X177"/>
    <mergeCell ref="Y176:Y177"/>
    <mergeCell ref="A319:B319"/>
    <mergeCell ref="A334:B334"/>
    <mergeCell ref="A335:F335"/>
    <mergeCell ref="AL335:AR335"/>
    <mergeCell ref="AS335:BA335"/>
    <mergeCell ref="A336:A341"/>
    <mergeCell ref="C336:D336"/>
    <mergeCell ref="E336:F336"/>
    <mergeCell ref="G336:H336"/>
    <mergeCell ref="I336:J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P337:Q337"/>
    <mergeCell ref="K336:L336"/>
    <mergeCell ref="M336:N336"/>
    <mergeCell ref="O336:O344"/>
    <mergeCell ref="P336:Q336"/>
    <mergeCell ref="R336:S336"/>
    <mergeCell ref="T336:U336"/>
    <mergeCell ref="R337:S337"/>
    <mergeCell ref="T337:U337"/>
    <mergeCell ref="R338:S338"/>
    <mergeCell ref="T338:U338"/>
    <mergeCell ref="V337:W337"/>
    <mergeCell ref="X337:Y337"/>
    <mergeCell ref="Z337:AA337"/>
    <mergeCell ref="Z338:AA338"/>
    <mergeCell ref="C338:D338"/>
    <mergeCell ref="E338:F338"/>
    <mergeCell ref="G338:H338"/>
    <mergeCell ref="I338:J338"/>
    <mergeCell ref="K338:L338"/>
    <mergeCell ref="M338:N338"/>
    <mergeCell ref="P338:Q338"/>
    <mergeCell ref="V338:W338"/>
    <mergeCell ref="X338:Y338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M340:N340"/>
    <mergeCell ref="P340:Q340"/>
    <mergeCell ref="R340:S340"/>
    <mergeCell ref="T340:U340"/>
    <mergeCell ref="V340:W340"/>
    <mergeCell ref="X340:Y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C343:D343"/>
    <mergeCell ref="E343:F343"/>
    <mergeCell ref="G343:H343"/>
    <mergeCell ref="I343:J343"/>
    <mergeCell ref="K343:L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R344:S344"/>
    <mergeCell ref="T344:U344"/>
    <mergeCell ref="M343:N343"/>
    <mergeCell ref="P343:Q343"/>
    <mergeCell ref="R343:S343"/>
    <mergeCell ref="T343:U343"/>
    <mergeCell ref="V343:W343"/>
    <mergeCell ref="X343:Y343"/>
    <mergeCell ref="V344:W344"/>
    <mergeCell ref="X344:Y344"/>
    <mergeCell ref="Z344:AA344"/>
    <mergeCell ref="A345:BA345"/>
    <mergeCell ref="A346:A348"/>
    <mergeCell ref="B346:B348"/>
    <mergeCell ref="C346:C348"/>
    <mergeCell ref="D346:D348"/>
    <mergeCell ref="E346:E348"/>
    <mergeCell ref="F346:F348"/>
    <mergeCell ref="AL347:AR347"/>
    <mergeCell ref="AS347:BA347"/>
    <mergeCell ref="AB346:AB348"/>
    <mergeCell ref="AC346:AC348"/>
    <mergeCell ref="N346:N348"/>
    <mergeCell ref="O346:U346"/>
    <mergeCell ref="V346:V348"/>
    <mergeCell ref="W346:W348"/>
    <mergeCell ref="X346:AA346"/>
    <mergeCell ref="AI346:AI348"/>
    <mergeCell ref="X347:X348"/>
    <mergeCell ref="Y347:Y348"/>
    <mergeCell ref="Z347:Z348"/>
    <mergeCell ref="AA347:AA348"/>
    <mergeCell ref="AJ346:AJ348"/>
    <mergeCell ref="AK346:AK348"/>
    <mergeCell ref="AL346:BA346"/>
    <mergeCell ref="A507:F507"/>
    <mergeCell ref="AL507:AR507"/>
    <mergeCell ref="AS507:BA507"/>
    <mergeCell ref="A370:B370"/>
    <mergeCell ref="A428:B428"/>
    <mergeCell ref="A463:B463"/>
    <mergeCell ref="A479:B479"/>
    <mergeCell ref="O347:O348"/>
    <mergeCell ref="P347:P348"/>
    <mergeCell ref="Q347:Q348"/>
    <mergeCell ref="R347:R348"/>
    <mergeCell ref="S347:S348"/>
    <mergeCell ref="T347:T348"/>
    <mergeCell ref="U347:U348"/>
    <mergeCell ref="A490:B490"/>
    <mergeCell ref="A506:B506"/>
    <mergeCell ref="G346:H347"/>
    <mergeCell ref="I346:I348"/>
    <mergeCell ref="J346:J348"/>
    <mergeCell ref="K346:K348"/>
    <mergeCell ref="L346:L348"/>
    <mergeCell ref="M346:M348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2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19" sqref="C19"/>
    </sheetView>
  </sheetViews>
  <sheetFormatPr defaultRowHeight="14.25"/>
  <cols>
    <col min="1" max="1" width="19.125" customWidth="1"/>
    <col min="2" max="2" width="13.5" customWidth="1"/>
    <col min="3" max="3" width="15.5" customWidth="1"/>
    <col min="5" max="5" width="14.125" customWidth="1"/>
    <col min="6" max="6" width="15.125" customWidth="1"/>
    <col min="7" max="7" width="10.875" customWidth="1"/>
    <col min="8" max="8" width="15.125" customWidth="1"/>
    <col min="9" max="9" width="16.375" customWidth="1"/>
    <col min="10" max="10" width="12.375" customWidth="1"/>
    <col min="11" max="11" width="9" style="252"/>
  </cols>
  <sheetData>
    <row r="1" spans="1:11" ht="25.5">
      <c r="A1" s="777" t="s">
        <v>536</v>
      </c>
      <c r="B1" s="778"/>
      <c r="C1" s="778"/>
      <c r="D1" s="778"/>
      <c r="E1" s="778"/>
      <c r="F1" s="778"/>
      <c r="G1" s="778"/>
      <c r="H1" s="778"/>
      <c r="I1" s="778"/>
      <c r="J1" s="778"/>
      <c r="K1" s="779"/>
    </row>
    <row r="2" spans="1:11" ht="15.75">
      <c r="A2" s="380" t="s">
        <v>518</v>
      </c>
      <c r="B2" s="381" t="s">
        <v>519</v>
      </c>
      <c r="C2" s="383"/>
      <c r="D2" s="382"/>
      <c r="E2" s="381" t="s">
        <v>520</v>
      </c>
      <c r="F2" s="383"/>
      <c r="G2" s="382"/>
      <c r="H2" s="380" t="s">
        <v>521</v>
      </c>
      <c r="I2" s="380"/>
      <c r="J2" s="380"/>
      <c r="K2" s="775" t="s">
        <v>535</v>
      </c>
    </row>
    <row r="3" spans="1:11" ht="15.75">
      <c r="A3" s="380" t="s">
        <v>522</v>
      </c>
      <c r="B3" s="380" t="s">
        <v>523</v>
      </c>
      <c r="C3" s="380" t="s">
        <v>524</v>
      </c>
      <c r="D3" s="380" t="s">
        <v>525</v>
      </c>
      <c r="E3" s="380" t="s">
        <v>523</v>
      </c>
      <c r="F3" s="380" t="s">
        <v>524</v>
      </c>
      <c r="G3" s="380" t="s">
        <v>525</v>
      </c>
      <c r="H3" s="380" t="s">
        <v>523</v>
      </c>
      <c r="I3" s="380" t="s">
        <v>524</v>
      </c>
      <c r="J3" s="380" t="s">
        <v>525</v>
      </c>
      <c r="K3" s="776"/>
    </row>
    <row r="4" spans="1:11" ht="15.75">
      <c r="A4" s="380" t="s">
        <v>526</v>
      </c>
      <c r="B4" s="380">
        <f>+汇总!G28</f>
        <v>22419</v>
      </c>
      <c r="C4" s="380">
        <v>0</v>
      </c>
      <c r="D4" s="384" t="e">
        <f>+B4/C4</f>
        <v>#DIV/0!</v>
      </c>
      <c r="E4" s="380">
        <f>+汇总!G199</f>
        <v>26175</v>
      </c>
      <c r="F4" s="380">
        <v>0</v>
      </c>
      <c r="G4" s="384" t="e">
        <f>+E4/F4</f>
        <v>#DIV/0!</v>
      </c>
      <c r="H4" s="380">
        <f>+汇总!G370</f>
        <v>0</v>
      </c>
      <c r="I4" s="380">
        <v>0</v>
      </c>
      <c r="J4" s="380" t="e">
        <f t="shared" ref="J4:J9" si="0">+H4/I4</f>
        <v>#DIV/0!</v>
      </c>
      <c r="K4" s="385">
        <f>+B4+E4+H4</f>
        <v>48594</v>
      </c>
    </row>
    <row r="5" spans="1:11" ht="15.75">
      <c r="A5" s="380" t="s">
        <v>527</v>
      </c>
      <c r="B5" s="380">
        <f>+汇总!G86</f>
        <v>39853</v>
      </c>
      <c r="C5" s="380">
        <v>0</v>
      </c>
      <c r="D5" s="384" t="e">
        <f t="shared" ref="D5:D11" si="1">+B5/C5</f>
        <v>#DIV/0!</v>
      </c>
      <c r="E5" s="380">
        <f>+汇总!G257</f>
        <v>41443</v>
      </c>
      <c r="F5" s="380">
        <v>0</v>
      </c>
      <c r="G5" s="384" t="e">
        <f t="shared" ref="G5:G11" si="2">+E5/F5</f>
        <v>#DIV/0!</v>
      </c>
      <c r="H5" s="380">
        <f>+汇总!G428</f>
        <v>0</v>
      </c>
      <c r="I5" s="380">
        <v>0</v>
      </c>
      <c r="J5" s="380" t="e">
        <f t="shared" si="0"/>
        <v>#DIV/0!</v>
      </c>
      <c r="K5" s="385">
        <f t="shared" ref="K5:K10" si="3">+B5+E5+H5</f>
        <v>81296</v>
      </c>
    </row>
    <row r="6" spans="1:11" ht="15.75">
      <c r="A6" s="380" t="s">
        <v>528</v>
      </c>
      <c r="B6" s="380">
        <f>+汇总!G121</f>
        <v>9928</v>
      </c>
      <c r="C6" s="380">
        <v>0</v>
      </c>
      <c r="D6" s="384" t="e">
        <f t="shared" si="1"/>
        <v>#DIV/0!</v>
      </c>
      <c r="E6" s="380">
        <f>+汇总!G292</f>
        <v>5405</v>
      </c>
      <c r="F6" s="380">
        <v>0</v>
      </c>
      <c r="G6" s="380" t="e">
        <f t="shared" si="2"/>
        <v>#DIV/0!</v>
      </c>
      <c r="H6" s="380">
        <f>+汇总!G463</f>
        <v>11079</v>
      </c>
      <c r="I6" s="380">
        <v>0</v>
      </c>
      <c r="J6" s="384" t="e">
        <f>+H6/I6</f>
        <v>#DIV/0!</v>
      </c>
      <c r="K6" s="385">
        <f t="shared" si="3"/>
        <v>26412</v>
      </c>
    </row>
    <row r="7" spans="1:11" ht="15.75">
      <c r="A7" s="380" t="s">
        <v>529</v>
      </c>
      <c r="B7" s="380">
        <f>+汇总!G137</f>
        <v>12373</v>
      </c>
      <c r="C7" s="380">
        <v>0</v>
      </c>
      <c r="D7" s="380" t="e">
        <f t="shared" si="1"/>
        <v>#DIV/0!</v>
      </c>
      <c r="E7" s="380">
        <f>+汇总!G308</f>
        <v>10989</v>
      </c>
      <c r="F7" s="380">
        <v>0</v>
      </c>
      <c r="G7" s="380" t="e">
        <f t="shared" si="2"/>
        <v>#DIV/0!</v>
      </c>
      <c r="H7" s="380">
        <f>+汇总!G479</f>
        <v>0</v>
      </c>
      <c r="I7" s="380">
        <v>0</v>
      </c>
      <c r="J7" s="380" t="e">
        <f t="shared" si="0"/>
        <v>#DIV/0!</v>
      </c>
      <c r="K7" s="385">
        <f t="shared" si="3"/>
        <v>23362</v>
      </c>
    </row>
    <row r="8" spans="1:11" ht="15.75">
      <c r="A8" s="380" t="s">
        <v>530</v>
      </c>
      <c r="B8" s="380">
        <f>+汇总!G148</f>
        <v>4853</v>
      </c>
      <c r="C8" s="380">
        <v>0</v>
      </c>
      <c r="D8" s="384" t="e">
        <f t="shared" si="1"/>
        <v>#DIV/0!</v>
      </c>
      <c r="E8" s="380">
        <f>+汇总!G319</f>
        <v>5204</v>
      </c>
      <c r="F8" s="380">
        <v>0</v>
      </c>
      <c r="G8" s="384" t="e">
        <f>+E8/F8</f>
        <v>#DIV/0!</v>
      </c>
      <c r="H8" s="380">
        <f>+汇总!G490</f>
        <v>0</v>
      </c>
      <c r="I8" s="380">
        <v>0</v>
      </c>
      <c r="J8" s="380" t="e">
        <f t="shared" si="0"/>
        <v>#DIV/0!</v>
      </c>
      <c r="K8" s="385">
        <f t="shared" si="3"/>
        <v>10057</v>
      </c>
    </row>
    <row r="9" spans="1:11" ht="15.75">
      <c r="A9" s="380" t="s">
        <v>531</v>
      </c>
      <c r="B9" s="380">
        <f>+汇总!G163</f>
        <v>1824</v>
      </c>
      <c r="C9" s="380">
        <v>0</v>
      </c>
      <c r="D9" s="384" t="e">
        <f t="shared" si="1"/>
        <v>#DIV/0!</v>
      </c>
      <c r="E9" s="380">
        <f>+汇总!G334</f>
        <v>2076</v>
      </c>
      <c r="F9" s="380">
        <v>0</v>
      </c>
      <c r="G9" s="384" t="e">
        <f t="shared" si="2"/>
        <v>#DIV/0!</v>
      </c>
      <c r="H9" s="380">
        <f>+汇总!G506</f>
        <v>0</v>
      </c>
      <c r="I9" s="380">
        <v>0</v>
      </c>
      <c r="J9" s="384" t="e">
        <f t="shared" si="0"/>
        <v>#DIV/0!</v>
      </c>
      <c r="K9" s="385">
        <f t="shared" si="3"/>
        <v>3900</v>
      </c>
    </row>
    <row r="10" spans="1:11" ht="15.75">
      <c r="A10" s="380" t="s">
        <v>532</v>
      </c>
      <c r="B10" s="380">
        <v>0</v>
      </c>
      <c r="C10" s="380">
        <v>0</v>
      </c>
      <c r="D10" s="380" t="e">
        <f t="shared" si="1"/>
        <v>#DIV/0!</v>
      </c>
      <c r="E10" s="380">
        <v>0</v>
      </c>
      <c r="F10" s="380">
        <v>0</v>
      </c>
      <c r="G10" s="380" t="e">
        <f t="shared" si="2"/>
        <v>#DIV/0!</v>
      </c>
      <c r="H10" s="380">
        <v>0</v>
      </c>
      <c r="I10" s="380">
        <v>0</v>
      </c>
      <c r="J10" s="380" t="e">
        <f>+H10/I10</f>
        <v>#DIV/0!</v>
      </c>
      <c r="K10" s="385">
        <f t="shared" si="3"/>
        <v>0</v>
      </c>
    </row>
    <row r="11" spans="1:11" ht="15.75">
      <c r="A11" s="380" t="s">
        <v>533</v>
      </c>
      <c r="B11" s="380">
        <f>SUM(B4:B10)</f>
        <v>91250</v>
      </c>
      <c r="C11" s="380">
        <f>SUM(C4:C10)</f>
        <v>0</v>
      </c>
      <c r="D11" s="380" t="e">
        <f t="shared" si="1"/>
        <v>#DIV/0!</v>
      </c>
      <c r="E11" s="380">
        <f>SUM(E4:E10)</f>
        <v>91292</v>
      </c>
      <c r="F11" s="380">
        <f>SUM(F4:F10)</f>
        <v>0</v>
      </c>
      <c r="G11" s="384" t="e">
        <f t="shared" si="2"/>
        <v>#DIV/0!</v>
      </c>
      <c r="H11" s="380">
        <f>SUM(H4:H10)</f>
        <v>11079</v>
      </c>
      <c r="I11" s="380">
        <f>SUM(I4:I10)</f>
        <v>0</v>
      </c>
      <c r="J11" s="384" t="e">
        <f>+H11/I11</f>
        <v>#DIV/0!</v>
      </c>
      <c r="K11" s="385">
        <f>+B11+E11+H11</f>
        <v>193621</v>
      </c>
    </row>
    <row r="12" spans="1:11" ht="15.75">
      <c r="A12" s="380" t="s">
        <v>534</v>
      </c>
      <c r="B12" s="701">
        <f>B11+E11+H11</f>
        <v>193621</v>
      </c>
      <c r="C12" s="706"/>
      <c r="D12" s="706"/>
      <c r="E12" s="706"/>
      <c r="F12" s="706"/>
      <c r="G12" s="706"/>
      <c r="H12" s="706"/>
      <c r="I12" s="706"/>
      <c r="J12" s="702"/>
      <c r="K12" s="385"/>
    </row>
  </sheetData>
  <mergeCells count="3">
    <mergeCell ref="K2:K3"/>
    <mergeCell ref="A1:K1"/>
    <mergeCell ref="B12:J12"/>
  </mergeCells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15" activePane="bottomRight" state="frozen"/>
      <selection activeCell="E487" sqref="E487"/>
      <selection pane="topRight" activeCell="E487" sqref="E487"/>
      <selection pane="bottomLeft" activeCell="E487" sqref="E487"/>
      <selection pane="bottomRight" activeCell="F534" sqref="F53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387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390" t="s">
        <v>178</v>
      </c>
      <c r="C7" s="126" t="s">
        <v>179</v>
      </c>
      <c r="D7" s="108">
        <v>5.03</v>
      </c>
      <c r="E7" s="108"/>
      <c r="F7" s="127"/>
      <c r="G7" s="128"/>
      <c r="H7" s="39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9"/>
      <c r="P7" s="389"/>
      <c r="Q7" s="389"/>
      <c r="R7" s="389"/>
      <c r="S7" s="389"/>
      <c r="T7" s="389"/>
      <c r="U7" s="38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9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9"/>
      <c r="Q8" s="389"/>
      <c r="R8" s="389"/>
      <c r="S8" s="389"/>
      <c r="T8" s="389"/>
      <c r="U8" s="38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9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9"/>
      <c r="P9" s="389"/>
      <c r="Q9" s="389"/>
      <c r="R9" s="389"/>
      <c r="S9" s="389"/>
      <c r="T9" s="389"/>
      <c r="U9" s="38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42736</v>
      </c>
      <c r="G10" s="128">
        <f>72+108*4</f>
        <v>504</v>
      </c>
      <c r="H10" s="398">
        <f t="shared" si="0"/>
        <v>2535.1200000000003</v>
      </c>
      <c r="I10" s="129">
        <f>9*4</f>
        <v>36</v>
      </c>
      <c r="J10" s="130">
        <f t="array" ref="J10">IF(ISERROR(G10/I10),"",G10/I10)</f>
        <v>14</v>
      </c>
      <c r="K10" s="131">
        <f t="array" ref="K10">IF(ISERROR(G10/L10),"",G10/L10)</f>
        <v>26.526315789473685</v>
      </c>
      <c r="L10" s="129">
        <v>19</v>
      </c>
      <c r="M10" s="109">
        <f t="shared" si="1"/>
        <v>9.473684210526315</v>
      </c>
      <c r="N10" s="130">
        <f t="shared" si="4"/>
        <v>0</v>
      </c>
      <c r="O10" s="389"/>
      <c r="P10" s="389"/>
      <c r="Q10" s="389"/>
      <c r="R10" s="389"/>
      <c r="S10" s="389"/>
      <c r="T10" s="389"/>
      <c r="U10" s="38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9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9"/>
      <c r="P11" s="389"/>
      <c r="Q11" s="389"/>
      <c r="R11" s="389"/>
      <c r="S11" s="389"/>
      <c r="T11" s="389"/>
      <c r="U11" s="38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9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9"/>
      <c r="P12" s="389"/>
      <c r="Q12" s="389"/>
      <c r="R12" s="389"/>
      <c r="S12" s="389"/>
      <c r="T12" s="389"/>
      <c r="U12" s="38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9"/>
      <c r="P13" s="389"/>
      <c r="Q13" s="389"/>
      <c r="R13" s="389"/>
      <c r="S13" s="389"/>
      <c r="T13" s="389"/>
      <c r="U13" s="38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9"/>
      <c r="P14" s="389"/>
      <c r="Q14" s="389"/>
      <c r="R14" s="389"/>
      <c r="S14" s="389"/>
      <c r="T14" s="389"/>
      <c r="U14" s="38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8">
        <f t="shared" si="0"/>
        <v>0</v>
      </c>
      <c r="I15" s="398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9"/>
      <c r="P15" s="389"/>
      <c r="Q15" s="389"/>
      <c r="R15" s="389"/>
      <c r="S15" s="389"/>
      <c r="T15" s="389"/>
      <c r="U15" s="38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42737</v>
      </c>
      <c r="G16" s="128">
        <f>100+40</f>
        <v>140</v>
      </c>
      <c r="H16" s="398">
        <f t="shared" si="0"/>
        <v>705.6</v>
      </c>
      <c r="I16" s="398">
        <f>2*5</f>
        <v>10</v>
      </c>
      <c r="J16" s="130">
        <f t="array" ref="J16">IF(ISERROR(G16/I16),"",G16/I16)</f>
        <v>14</v>
      </c>
      <c r="K16" s="131">
        <f t="array" ref="K16">IF(ISERROR(G16/L16),"",G16/L16)</f>
        <v>8.235294117647058</v>
      </c>
      <c r="L16" s="129">
        <v>17</v>
      </c>
      <c r="M16" s="109">
        <f t="shared" si="1"/>
        <v>1.764705882352942</v>
      </c>
      <c r="N16" s="130">
        <f t="shared" si="4"/>
        <v>0</v>
      </c>
      <c r="O16" s="389"/>
      <c r="P16" s="389"/>
      <c r="Q16" s="389"/>
      <c r="R16" s="389"/>
      <c r="S16" s="389"/>
      <c r="T16" s="389"/>
      <c r="U16" s="389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9"/>
      <c r="P17" s="389"/>
      <c r="Q17" s="389"/>
      <c r="R17" s="389"/>
      <c r="S17" s="389"/>
      <c r="T17" s="389"/>
      <c r="U17" s="38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9"/>
      <c r="P18" s="389"/>
      <c r="Q18" s="389"/>
      <c r="R18" s="389"/>
      <c r="S18" s="389"/>
      <c r="T18" s="389"/>
      <c r="U18" s="38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9"/>
      <c r="P19" s="389"/>
      <c r="Q19" s="389"/>
      <c r="R19" s="389"/>
      <c r="S19" s="389"/>
      <c r="T19" s="389"/>
      <c r="U19" s="389"/>
      <c r="V19" s="132">
        <f t="shared" ref="V19:V21" si="5">SUM(X19:AA19)</f>
        <v>0</v>
      </c>
      <c r="W19" s="39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42736</v>
      </c>
      <c r="G20" s="128">
        <f>100+90+100*3</f>
        <v>490</v>
      </c>
      <c r="H20" s="398">
        <f t="shared" si="0"/>
        <v>2494.1</v>
      </c>
      <c r="I20" s="129">
        <f>4*5+1.5*5</f>
        <v>27.5</v>
      </c>
      <c r="J20" s="130">
        <f t="array" ref="J20">IF(ISERROR(G20/I20),"",G20/I20)</f>
        <v>17.818181818181817</v>
      </c>
      <c r="K20" s="131">
        <f t="array" ref="K20">IF(ISERROR(G20/L20),"",G20/L20)</f>
        <v>21.304347826086957</v>
      </c>
      <c r="L20" s="129">
        <v>23</v>
      </c>
      <c r="M20" s="109">
        <f t="shared" si="1"/>
        <v>6.195652173913043</v>
      </c>
      <c r="N20" s="130">
        <f t="shared" si="4"/>
        <v>0</v>
      </c>
      <c r="O20" s="389"/>
      <c r="P20" s="389"/>
      <c r="Q20" s="389"/>
      <c r="R20" s="389"/>
      <c r="S20" s="389"/>
      <c r="T20" s="389"/>
      <c r="U20" s="389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42736</v>
      </c>
      <c r="G21" s="128">
        <f>80+100+100</f>
        <v>280</v>
      </c>
      <c r="H21" s="398">
        <f t="shared" si="0"/>
        <v>1425.2</v>
      </c>
      <c r="I21" s="129">
        <f>2*5+1.5*5</f>
        <v>17.5</v>
      </c>
      <c r="J21" s="130">
        <f t="array" ref="J21">IF(ISERROR(G21/I21),"",G21/I21)</f>
        <v>16</v>
      </c>
      <c r="K21" s="131">
        <f t="array" ref="K21">IF(ISERROR(G21/L21),"",G21/L21)</f>
        <v>12.173913043478262</v>
      </c>
      <c r="L21" s="129">
        <v>23</v>
      </c>
      <c r="M21" s="109">
        <f t="shared" si="1"/>
        <v>5.3260869565217384</v>
      </c>
      <c r="N21" s="130">
        <f t="shared" si="4"/>
        <v>0</v>
      </c>
      <c r="O21" s="389"/>
      <c r="P21" s="389"/>
      <c r="Q21" s="389"/>
      <c r="R21" s="389"/>
      <c r="S21" s="389"/>
      <c r="T21" s="389"/>
      <c r="U21" s="389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8" t="s">
        <v>190</v>
      </c>
      <c r="D22" s="108">
        <v>4.8</v>
      </c>
      <c r="E22" s="108"/>
      <c r="F22" s="127"/>
      <c r="G22" s="128"/>
      <c r="H22" s="39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9"/>
      <c r="P22" s="389"/>
      <c r="Q22" s="389"/>
      <c r="R22" s="389"/>
      <c r="S22" s="389"/>
      <c r="T22" s="389"/>
      <c r="U22" s="38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8" t="s">
        <v>187</v>
      </c>
      <c r="D23" s="108">
        <v>4.8</v>
      </c>
      <c r="E23" s="108"/>
      <c r="F23" s="127"/>
      <c r="G23" s="128"/>
      <c r="H23" s="39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9"/>
      <c r="P23" s="389"/>
      <c r="Q23" s="389"/>
      <c r="R23" s="389"/>
      <c r="S23" s="389"/>
      <c r="T23" s="389"/>
      <c r="U23" s="38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8" t="s">
        <v>179</v>
      </c>
      <c r="D24" s="108">
        <v>4.8</v>
      </c>
      <c r="E24" s="108"/>
      <c r="F24" s="127"/>
      <c r="G24" s="128"/>
      <c r="H24" s="39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9"/>
      <c r="P24" s="389"/>
      <c r="Q24" s="389"/>
      <c r="R24" s="389"/>
      <c r="S24" s="389"/>
      <c r="T24" s="389"/>
      <c r="U24" s="38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8" t="s">
        <v>199</v>
      </c>
      <c r="D25" s="108">
        <v>4.8</v>
      </c>
      <c r="E25" s="108"/>
      <c r="F25" s="127"/>
      <c r="G25" s="128"/>
      <c r="H25" s="39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9"/>
      <c r="P25" s="389"/>
      <c r="Q25" s="389"/>
      <c r="R25" s="389"/>
      <c r="S25" s="389"/>
      <c r="T25" s="389"/>
      <c r="U25" s="38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9"/>
      <c r="P26" s="389"/>
      <c r="Q26" s="389"/>
      <c r="R26" s="389"/>
      <c r="S26" s="389"/>
      <c r="T26" s="389"/>
      <c r="U26" s="38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9"/>
      <c r="P27" s="389"/>
      <c r="Q27" s="389"/>
      <c r="R27" s="389"/>
      <c r="S27" s="389"/>
      <c r="T27" s="389"/>
      <c r="U27" s="38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396" t="s">
        <v>202</v>
      </c>
      <c r="D28" s="143"/>
      <c r="E28" s="143"/>
      <c r="F28" s="144"/>
      <c r="G28" s="145">
        <f>SUM(G7:G27)</f>
        <v>1414</v>
      </c>
      <c r="H28" s="146">
        <f>SUM(H7:H27)</f>
        <v>7160.0199999999995</v>
      </c>
      <c r="I28" s="146">
        <f>SUM(I7:I27)</f>
        <v>91</v>
      </c>
      <c r="J28" s="130">
        <f t="array" ref="J28">IF(ISERROR(G28/I28),"",G28/I28)</f>
        <v>15.538461538461538</v>
      </c>
      <c r="K28" s="146">
        <f>SUM(K7:K27)</f>
        <v>68.239870776685962</v>
      </c>
      <c r="L28" s="147"/>
      <c r="M28" s="146">
        <f t="shared" ref="M28:V28" si="10">SUM(M7:M27)</f>
        <v>22.760129223314038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0" t="s">
        <v>206</v>
      </c>
      <c r="C29" s="126" t="s">
        <v>199</v>
      </c>
      <c r="D29" s="108">
        <v>5.03</v>
      </c>
      <c r="E29" s="108"/>
      <c r="F29" s="127"/>
      <c r="G29" s="128"/>
      <c r="H29" s="39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3"/>
      <c r="P29" s="393"/>
      <c r="Q29" s="393"/>
      <c r="R29" s="393"/>
      <c r="S29" s="393"/>
      <c r="T29" s="393"/>
      <c r="U29" s="39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0" t="s">
        <v>425</v>
      </c>
      <c r="C30" s="187" t="s">
        <v>427</v>
      </c>
      <c r="D30" s="108">
        <v>5.03</v>
      </c>
      <c r="E30" s="108"/>
      <c r="F30" s="127"/>
      <c r="G30" s="128"/>
      <c r="H30" s="39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3"/>
      <c r="P30" s="393"/>
      <c r="Q30" s="393"/>
      <c r="R30" s="393"/>
      <c r="S30" s="393"/>
      <c r="T30" s="393"/>
      <c r="U30" s="393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0" t="s">
        <v>206</v>
      </c>
      <c r="C31" s="126" t="s">
        <v>186</v>
      </c>
      <c r="D31" s="108">
        <v>5.03</v>
      </c>
      <c r="E31" s="108"/>
      <c r="F31" s="127"/>
      <c r="G31" s="128"/>
      <c r="H31" s="39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3"/>
      <c r="P31" s="393"/>
      <c r="Q31" s="393"/>
      <c r="R31" s="393"/>
      <c r="S31" s="393"/>
      <c r="T31" s="393"/>
      <c r="U31" s="393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0" t="s">
        <v>206</v>
      </c>
      <c r="C32" s="126" t="s">
        <v>203</v>
      </c>
      <c r="D32" s="108">
        <v>5.03</v>
      </c>
      <c r="E32" s="108"/>
      <c r="F32" s="127"/>
      <c r="G32" s="128"/>
      <c r="H32" s="39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3"/>
      <c r="P32" s="393"/>
      <c r="Q32" s="393"/>
      <c r="R32" s="393"/>
      <c r="S32" s="393"/>
      <c r="T32" s="393"/>
      <c r="U32" s="39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0" t="s">
        <v>206</v>
      </c>
      <c r="C33" s="126" t="s">
        <v>207</v>
      </c>
      <c r="D33" s="108">
        <v>5.03</v>
      </c>
      <c r="E33" s="108"/>
      <c r="F33" s="127"/>
      <c r="G33" s="128"/>
      <c r="H33" s="39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3"/>
      <c r="P33" s="393"/>
      <c r="Q33" s="393"/>
      <c r="R33" s="393"/>
      <c r="S33" s="393"/>
      <c r="T33" s="393"/>
      <c r="U33" s="39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0" t="s">
        <v>414</v>
      </c>
      <c r="C34" s="187" t="s">
        <v>415</v>
      </c>
      <c r="D34" s="108">
        <v>5.03</v>
      </c>
      <c r="E34" s="108"/>
      <c r="F34" s="127"/>
      <c r="G34" s="128"/>
      <c r="H34" s="398">
        <f t="shared" si="11"/>
        <v>0</v>
      </c>
      <c r="I34" s="129"/>
      <c r="J34" s="130"/>
      <c r="K34" s="131"/>
      <c r="L34" s="129">
        <v>52</v>
      </c>
      <c r="M34" s="109"/>
      <c r="N34" s="130"/>
      <c r="O34" s="393"/>
      <c r="P34" s="393"/>
      <c r="Q34" s="393"/>
      <c r="R34" s="393"/>
      <c r="S34" s="393"/>
      <c r="T34" s="393"/>
      <c r="U34" s="39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0" t="s">
        <v>414</v>
      </c>
      <c r="C35" s="187" t="s">
        <v>416</v>
      </c>
      <c r="D35" s="108">
        <v>5.03</v>
      </c>
      <c r="E35" s="108"/>
      <c r="F35" s="127"/>
      <c r="G35" s="128"/>
      <c r="H35" s="398">
        <f t="shared" si="11"/>
        <v>0</v>
      </c>
      <c r="I35" s="129"/>
      <c r="J35" s="130"/>
      <c r="K35" s="131"/>
      <c r="L35" s="129">
        <v>52</v>
      </c>
      <c r="M35" s="109"/>
      <c r="N35" s="130"/>
      <c r="O35" s="393"/>
      <c r="P35" s="393"/>
      <c r="Q35" s="393"/>
      <c r="R35" s="393"/>
      <c r="S35" s="393"/>
      <c r="T35" s="393"/>
      <c r="U35" s="39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0" t="s">
        <v>414</v>
      </c>
      <c r="C36" s="187" t="s">
        <v>61</v>
      </c>
      <c r="D36" s="108">
        <v>5.03</v>
      </c>
      <c r="E36" s="108"/>
      <c r="F36" s="127"/>
      <c r="G36" s="128"/>
      <c r="H36" s="398">
        <f t="shared" si="11"/>
        <v>0</v>
      </c>
      <c r="I36" s="129"/>
      <c r="J36" s="130"/>
      <c r="K36" s="131"/>
      <c r="L36" s="129">
        <v>52</v>
      </c>
      <c r="M36" s="109"/>
      <c r="N36" s="130"/>
      <c r="O36" s="393"/>
      <c r="P36" s="393"/>
      <c r="Q36" s="393"/>
      <c r="R36" s="393"/>
      <c r="S36" s="393"/>
      <c r="T36" s="393"/>
      <c r="U36" s="39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90" t="s">
        <v>208</v>
      </c>
      <c r="C37" s="126" t="s">
        <v>179</v>
      </c>
      <c r="D37" s="108">
        <v>5.08</v>
      </c>
      <c r="E37" s="108"/>
      <c r="F37" s="127"/>
      <c r="G37" s="128"/>
      <c r="H37" s="39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3"/>
      <c r="P37" s="393"/>
      <c r="Q37" s="393"/>
      <c r="R37" s="393"/>
      <c r="S37" s="393"/>
      <c r="T37" s="393"/>
      <c r="U37" s="39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390" t="s">
        <v>208</v>
      </c>
      <c r="C38" s="126" t="s">
        <v>204</v>
      </c>
      <c r="D38" s="108">
        <v>5.08</v>
      </c>
      <c r="E38" s="108"/>
      <c r="F38" s="127">
        <v>42736</v>
      </c>
      <c r="G38" s="128">
        <f>108*6</f>
        <v>648</v>
      </c>
      <c r="H38" s="398">
        <f t="shared" si="11"/>
        <v>3291.84</v>
      </c>
      <c r="I38" s="129">
        <f>11*3</f>
        <v>33</v>
      </c>
      <c r="J38" s="130">
        <f t="array" ref="J38">IF(ISERROR(G38/I38),"",G38/I38)</f>
        <v>19.636363636363637</v>
      </c>
      <c r="K38" s="131">
        <f t="array" ref="K38">IF(ISERROR(G38/L38),"",G38/L38)</f>
        <v>30.857142857142858</v>
      </c>
      <c r="L38" s="129">
        <v>21</v>
      </c>
      <c r="M38" s="109">
        <f t="shared" si="19"/>
        <v>2.1428571428571423</v>
      </c>
      <c r="N38" s="130">
        <f t="shared" si="20"/>
        <v>0</v>
      </c>
      <c r="O38" s="393"/>
      <c r="P38" s="393"/>
      <c r="Q38" s="393"/>
      <c r="R38" s="393"/>
      <c r="S38" s="393"/>
      <c r="T38" s="393"/>
      <c r="U38" s="393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0" t="s">
        <v>208</v>
      </c>
      <c r="C39" s="126" t="s">
        <v>205</v>
      </c>
      <c r="D39" s="108">
        <v>5.08</v>
      </c>
      <c r="E39" s="108"/>
      <c r="F39" s="127"/>
      <c r="G39" s="128"/>
      <c r="H39" s="39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3"/>
      <c r="P39" s="393"/>
      <c r="Q39" s="393"/>
      <c r="R39" s="393"/>
      <c r="S39" s="393"/>
      <c r="T39" s="393"/>
      <c r="U39" s="39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0" t="s">
        <v>208</v>
      </c>
      <c r="C40" s="126" t="s">
        <v>186</v>
      </c>
      <c r="D40" s="108">
        <v>5.08</v>
      </c>
      <c r="E40" s="108"/>
      <c r="F40" s="127"/>
      <c r="G40" s="128"/>
      <c r="H40" s="39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3"/>
      <c r="P40" s="393"/>
      <c r="Q40" s="393"/>
      <c r="R40" s="393"/>
      <c r="S40" s="393"/>
      <c r="T40" s="393"/>
      <c r="U40" s="39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0" t="s">
        <v>208</v>
      </c>
      <c r="C41" s="126" t="s">
        <v>203</v>
      </c>
      <c r="D41" s="108">
        <v>5.08</v>
      </c>
      <c r="E41" s="108"/>
      <c r="F41" s="127"/>
      <c r="G41" s="128"/>
      <c r="H41" s="39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3"/>
      <c r="P41" s="393"/>
      <c r="Q41" s="393"/>
      <c r="R41" s="393"/>
      <c r="S41" s="393"/>
      <c r="T41" s="393"/>
      <c r="U41" s="39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0" t="s">
        <v>208</v>
      </c>
      <c r="C42" s="126" t="s">
        <v>199</v>
      </c>
      <c r="D42" s="108">
        <v>5.08</v>
      </c>
      <c r="E42" s="108"/>
      <c r="F42" s="127"/>
      <c r="G42" s="128"/>
      <c r="H42" s="39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9"/>
      <c r="P42" s="389"/>
      <c r="Q42" s="389"/>
      <c r="R42" s="389"/>
      <c r="S42" s="389"/>
      <c r="T42" s="389"/>
      <c r="U42" s="38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0" t="s">
        <v>208</v>
      </c>
      <c r="C43" s="126" t="s">
        <v>187</v>
      </c>
      <c r="D43" s="108">
        <v>5.08</v>
      </c>
      <c r="E43" s="108"/>
      <c r="F43" s="127"/>
      <c r="G43" s="128"/>
      <c r="H43" s="39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3"/>
      <c r="P43" s="393"/>
      <c r="Q43" s="393"/>
      <c r="R43" s="393"/>
      <c r="S43" s="393"/>
      <c r="T43" s="393"/>
      <c r="U43" s="39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0" t="s">
        <v>208</v>
      </c>
      <c r="C44" s="126" t="s">
        <v>207</v>
      </c>
      <c r="D44" s="108">
        <v>5.08</v>
      </c>
      <c r="E44" s="108"/>
      <c r="F44" s="127"/>
      <c r="G44" s="128"/>
      <c r="H44" s="39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9"/>
      <c r="P44" s="389"/>
      <c r="Q44" s="389"/>
      <c r="R44" s="389"/>
      <c r="S44" s="389"/>
      <c r="T44" s="389"/>
      <c r="U44" s="38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0" t="s">
        <v>209</v>
      </c>
      <c r="C45" s="126" t="s">
        <v>194</v>
      </c>
      <c r="D45" s="108">
        <v>5.03</v>
      </c>
      <c r="E45" s="108"/>
      <c r="F45" s="127"/>
      <c r="G45" s="128"/>
      <c r="H45" s="39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3"/>
      <c r="P45" s="393"/>
      <c r="Q45" s="393"/>
      <c r="R45" s="393"/>
      <c r="S45" s="393"/>
      <c r="T45" s="393"/>
      <c r="U45" s="39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390" t="s">
        <v>209</v>
      </c>
      <c r="C46" s="126" t="s">
        <v>179</v>
      </c>
      <c r="D46" s="108">
        <v>5.03</v>
      </c>
      <c r="E46" s="108"/>
      <c r="F46" s="127">
        <v>42736</v>
      </c>
      <c r="G46" s="128">
        <f>108*14+87+50</f>
        <v>1649</v>
      </c>
      <c r="H46" s="398">
        <f t="shared" si="11"/>
        <v>8294.4700000000012</v>
      </c>
      <c r="I46" s="129">
        <f>11*2</f>
        <v>22</v>
      </c>
      <c r="J46" s="130">
        <f t="array" ref="J46">IF(ISERROR(G46/I46),"",G46/I46)</f>
        <v>74.954545454545453</v>
      </c>
      <c r="K46" s="131">
        <f t="array" ref="K46">IF(ISERROR(G46/L46),"",G46/L46)</f>
        <v>29.446428571428573</v>
      </c>
      <c r="L46" s="129">
        <v>56</v>
      </c>
      <c r="M46" s="109">
        <f t="shared" si="19"/>
        <v>-7.446428571428573</v>
      </c>
      <c r="N46" s="130">
        <f t="shared" si="20"/>
        <v>0</v>
      </c>
      <c r="O46" s="393"/>
      <c r="P46" s="393"/>
      <c r="Q46" s="393"/>
      <c r="R46" s="393"/>
      <c r="S46" s="393"/>
      <c r="T46" s="393"/>
      <c r="U46" s="393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0" t="s">
        <v>209</v>
      </c>
      <c r="C47" s="126" t="s">
        <v>195</v>
      </c>
      <c r="D47" s="108">
        <v>5.03</v>
      </c>
      <c r="E47" s="108"/>
      <c r="F47" s="127"/>
      <c r="G47" s="128"/>
      <c r="H47" s="39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3"/>
      <c r="P47" s="393"/>
      <c r="Q47" s="393"/>
      <c r="R47" s="393"/>
      <c r="S47" s="393"/>
      <c r="T47" s="393"/>
      <c r="U47" s="39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0" t="s">
        <v>209</v>
      </c>
      <c r="C48" s="126" t="s">
        <v>204</v>
      </c>
      <c r="D48" s="108">
        <v>5.03</v>
      </c>
      <c r="E48" s="108"/>
      <c r="F48" s="127"/>
      <c r="G48" s="128"/>
      <c r="H48" s="39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3"/>
      <c r="P48" s="393"/>
      <c r="Q48" s="393"/>
      <c r="R48" s="393"/>
      <c r="S48" s="393"/>
      <c r="T48" s="393"/>
      <c r="U48" s="39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0" t="s">
        <v>382</v>
      </c>
      <c r="C49" s="187" t="s">
        <v>383</v>
      </c>
      <c r="D49" s="108">
        <v>5.03</v>
      </c>
      <c r="E49" s="108"/>
      <c r="F49" s="127"/>
      <c r="G49" s="128"/>
      <c r="H49" s="39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3"/>
      <c r="P49" s="393"/>
      <c r="Q49" s="393"/>
      <c r="R49" s="393"/>
      <c r="S49" s="393"/>
      <c r="T49" s="393"/>
      <c r="U49" s="39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0" t="s">
        <v>382</v>
      </c>
      <c r="C50" s="187" t="s">
        <v>384</v>
      </c>
      <c r="D50" s="108">
        <v>5.03</v>
      </c>
      <c r="E50" s="108"/>
      <c r="F50" s="127"/>
      <c r="G50" s="128"/>
      <c r="H50" s="39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3"/>
      <c r="P50" s="393"/>
      <c r="Q50" s="393"/>
      <c r="R50" s="393"/>
      <c r="S50" s="393"/>
      <c r="T50" s="393"/>
      <c r="U50" s="39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0" t="s">
        <v>382</v>
      </c>
      <c r="C51" s="187" t="s">
        <v>389</v>
      </c>
      <c r="D51" s="108">
        <v>5.03</v>
      </c>
      <c r="E51" s="108"/>
      <c r="F51" s="127"/>
      <c r="G51" s="128"/>
      <c r="H51" s="39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3"/>
      <c r="P51" s="393"/>
      <c r="Q51" s="393"/>
      <c r="R51" s="393"/>
      <c r="S51" s="393"/>
      <c r="T51" s="393"/>
      <c r="U51" s="39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0" t="s">
        <v>382</v>
      </c>
      <c r="C52" s="187" t="s">
        <v>391</v>
      </c>
      <c r="D52" s="108">
        <v>5.03</v>
      </c>
      <c r="E52" s="108"/>
      <c r="F52" s="127"/>
      <c r="G52" s="128"/>
      <c r="H52" s="39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3"/>
      <c r="P52" s="393"/>
      <c r="Q52" s="393"/>
      <c r="R52" s="393"/>
      <c r="S52" s="393"/>
      <c r="T52" s="393"/>
      <c r="U52" s="39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0" t="s">
        <v>418</v>
      </c>
      <c r="C53" s="187" t="s">
        <v>364</v>
      </c>
      <c r="D53" s="108">
        <v>5.03</v>
      </c>
      <c r="E53" s="108"/>
      <c r="F53" s="127"/>
      <c r="G53" s="128"/>
      <c r="H53" s="39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3"/>
      <c r="P53" s="393"/>
      <c r="Q53" s="393"/>
      <c r="R53" s="393"/>
      <c r="S53" s="393"/>
      <c r="T53" s="393"/>
      <c r="U53" s="39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0" t="s">
        <v>418</v>
      </c>
      <c r="C54" s="187" t="s">
        <v>365</v>
      </c>
      <c r="D54" s="108">
        <v>5.03</v>
      </c>
      <c r="E54" s="108"/>
      <c r="F54" s="127"/>
      <c r="G54" s="128"/>
      <c r="H54" s="39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3"/>
      <c r="P54" s="393"/>
      <c r="Q54" s="393"/>
      <c r="R54" s="393"/>
      <c r="S54" s="393"/>
      <c r="T54" s="393"/>
      <c r="U54" s="39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0" t="s">
        <v>418</v>
      </c>
      <c r="C55" s="187" t="s">
        <v>366</v>
      </c>
      <c r="D55" s="108">
        <v>5.03</v>
      </c>
      <c r="E55" s="108"/>
      <c r="F55" s="127"/>
      <c r="G55" s="128"/>
      <c r="H55" s="39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3"/>
      <c r="P55" s="393"/>
      <c r="Q55" s="393"/>
      <c r="R55" s="393"/>
      <c r="S55" s="393"/>
      <c r="T55" s="393"/>
      <c r="U55" s="39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0" t="s">
        <v>418</v>
      </c>
      <c r="C56" s="187" t="s">
        <v>367</v>
      </c>
      <c r="D56" s="108">
        <v>5.03</v>
      </c>
      <c r="E56" s="108"/>
      <c r="F56" s="127"/>
      <c r="G56" s="128"/>
      <c r="H56" s="39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3"/>
      <c r="P56" s="393"/>
      <c r="Q56" s="393"/>
      <c r="R56" s="393"/>
      <c r="S56" s="393"/>
      <c r="T56" s="393"/>
      <c r="U56" s="39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9"/>
      <c r="P57" s="389"/>
      <c r="Q57" s="389"/>
      <c r="R57" s="389"/>
      <c r="S57" s="389"/>
      <c r="T57" s="389"/>
      <c r="U57" s="38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9"/>
      <c r="P58" s="389"/>
      <c r="Q58" s="389"/>
      <c r="R58" s="389"/>
      <c r="S58" s="389"/>
      <c r="T58" s="389"/>
      <c r="U58" s="38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9"/>
      <c r="P59" s="389"/>
      <c r="Q59" s="389"/>
      <c r="R59" s="389"/>
      <c r="S59" s="389"/>
      <c r="T59" s="389"/>
      <c r="U59" s="38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9"/>
      <c r="P60" s="389"/>
      <c r="Q60" s="389"/>
      <c r="R60" s="389"/>
      <c r="S60" s="389"/>
      <c r="T60" s="389"/>
      <c r="U60" s="38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9"/>
      <c r="P61" s="389"/>
      <c r="Q61" s="389"/>
      <c r="R61" s="389"/>
      <c r="S61" s="389"/>
      <c r="T61" s="389"/>
      <c r="U61" s="38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9"/>
      <c r="P62" s="389"/>
      <c r="Q62" s="389"/>
      <c r="R62" s="389"/>
      <c r="S62" s="389"/>
      <c r="T62" s="389"/>
      <c r="U62" s="38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9"/>
      <c r="P63" s="389"/>
      <c r="Q63" s="389"/>
      <c r="R63" s="389"/>
      <c r="S63" s="389"/>
      <c r="T63" s="389"/>
      <c r="U63" s="38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9"/>
      <c r="P64" s="389"/>
      <c r="Q64" s="389"/>
      <c r="R64" s="389"/>
      <c r="S64" s="389"/>
      <c r="T64" s="389"/>
      <c r="U64" s="38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9"/>
      <c r="P65" s="389"/>
      <c r="Q65" s="389"/>
      <c r="R65" s="389"/>
      <c r="S65" s="389"/>
      <c r="T65" s="389"/>
      <c r="U65" s="38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9"/>
      <c r="P66" s="389"/>
      <c r="Q66" s="389"/>
      <c r="R66" s="389"/>
      <c r="S66" s="389"/>
      <c r="T66" s="389"/>
      <c r="U66" s="38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9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9"/>
      <c r="P67" s="389"/>
      <c r="Q67" s="389"/>
      <c r="R67" s="389"/>
      <c r="S67" s="389"/>
      <c r="T67" s="389"/>
      <c r="U67" s="38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9"/>
      <c r="P68" s="389"/>
      <c r="Q68" s="389"/>
      <c r="R68" s="389"/>
      <c r="S68" s="389"/>
      <c r="T68" s="389"/>
      <c r="U68" s="38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42736</v>
      </c>
      <c r="G69" s="128">
        <v>85</v>
      </c>
      <c r="H69" s="398">
        <f t="shared" si="11"/>
        <v>427.55</v>
      </c>
      <c r="I69" s="129">
        <f>1*4</f>
        <v>4</v>
      </c>
      <c r="J69" s="130">
        <f t="array" ref="J69">IF(ISERROR(G69/I69),"",G69/I69)</f>
        <v>21.25</v>
      </c>
      <c r="K69" s="131">
        <f t="array" ref="K69">IF(ISERROR(G69/L69),"",G69/L69)</f>
        <v>3.9534883720930232</v>
      </c>
      <c r="L69" s="129">
        <v>21.5</v>
      </c>
      <c r="M69" s="109">
        <f t="shared" ref="M69:M70" si="26">IF(ISERROR(I69-K69),"",I69-K69)</f>
        <v>4.6511627906976827E-2</v>
      </c>
      <c r="N69" s="130">
        <f t="shared" ref="N69:N70" si="27">SUM(O69:U69)</f>
        <v>0</v>
      </c>
      <c r="O69" s="389"/>
      <c r="P69" s="389"/>
      <c r="Q69" s="389"/>
      <c r="R69" s="389"/>
      <c r="S69" s="389"/>
      <c r="T69" s="389"/>
      <c r="U69" s="38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9"/>
      <c r="P70" s="389"/>
      <c r="Q70" s="389"/>
      <c r="R70" s="389"/>
      <c r="S70" s="389"/>
      <c r="T70" s="389"/>
      <c r="U70" s="38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8">
        <f t="shared" si="11"/>
        <v>0</v>
      </c>
      <c r="I71" s="129"/>
      <c r="J71" s="130"/>
      <c r="K71" s="131"/>
      <c r="L71" s="129"/>
      <c r="M71" s="109"/>
      <c r="N71" s="130"/>
      <c r="O71" s="389"/>
      <c r="P71" s="389"/>
      <c r="Q71" s="389"/>
      <c r="R71" s="389"/>
      <c r="S71" s="389"/>
      <c r="T71" s="389"/>
      <c r="U71" s="38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9"/>
      <c r="P72" s="389"/>
      <c r="Q72" s="389"/>
      <c r="R72" s="389"/>
      <c r="S72" s="389"/>
      <c r="T72" s="389"/>
      <c r="U72" s="38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9"/>
      <c r="P73" s="389"/>
      <c r="Q73" s="389"/>
      <c r="R73" s="389"/>
      <c r="S73" s="389"/>
      <c r="T73" s="389"/>
      <c r="U73" s="38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9"/>
      <c r="P74" s="389"/>
      <c r="Q74" s="389"/>
      <c r="R74" s="389"/>
      <c r="S74" s="389"/>
      <c r="T74" s="389"/>
      <c r="U74" s="38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9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9"/>
      <c r="P75" s="389"/>
      <c r="Q75" s="389"/>
      <c r="R75" s="389"/>
      <c r="S75" s="389"/>
      <c r="T75" s="389"/>
      <c r="U75" s="38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9"/>
      <c r="P76" s="389"/>
      <c r="Q76" s="389"/>
      <c r="R76" s="389"/>
      <c r="S76" s="389"/>
      <c r="T76" s="389"/>
      <c r="U76" s="38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9"/>
      <c r="P77" s="389"/>
      <c r="Q77" s="389"/>
      <c r="R77" s="389"/>
      <c r="S77" s="389"/>
      <c r="T77" s="389"/>
      <c r="U77" s="38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9"/>
      <c r="P78" s="389"/>
      <c r="Q78" s="389"/>
      <c r="R78" s="389"/>
      <c r="S78" s="389"/>
      <c r="T78" s="389"/>
      <c r="U78" s="38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9"/>
      <c r="P79" s="389"/>
      <c r="Q79" s="389"/>
      <c r="R79" s="389"/>
      <c r="S79" s="389"/>
      <c r="T79" s="389"/>
      <c r="U79" s="38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9"/>
      <c r="P80" s="389"/>
      <c r="Q80" s="389"/>
      <c r="R80" s="389"/>
      <c r="S80" s="389"/>
      <c r="T80" s="389"/>
      <c r="U80" s="38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9"/>
      <c r="P81" s="389"/>
      <c r="Q81" s="389"/>
      <c r="R81" s="389"/>
      <c r="S81" s="389"/>
      <c r="T81" s="389"/>
      <c r="U81" s="38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9"/>
      <c r="P82" s="389"/>
      <c r="Q82" s="389"/>
      <c r="R82" s="389"/>
      <c r="S82" s="389"/>
      <c r="T82" s="389"/>
      <c r="U82" s="38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9"/>
      <c r="P83" s="389"/>
      <c r="Q83" s="389"/>
      <c r="R83" s="389"/>
      <c r="S83" s="389"/>
      <c r="T83" s="389"/>
      <c r="U83" s="38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9"/>
      <c r="P84" s="389"/>
      <c r="Q84" s="389"/>
      <c r="R84" s="389"/>
      <c r="S84" s="389"/>
      <c r="T84" s="389"/>
      <c r="U84" s="38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9"/>
      <c r="P85" s="389"/>
      <c r="Q85" s="389"/>
      <c r="R85" s="389"/>
      <c r="S85" s="389"/>
      <c r="T85" s="389"/>
      <c r="U85" s="38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396" t="s">
        <v>202</v>
      </c>
      <c r="D86" s="143"/>
      <c r="E86" s="143"/>
      <c r="F86" s="144"/>
      <c r="G86" s="145">
        <f>SUM(G29:G85)</f>
        <v>2382</v>
      </c>
      <c r="H86" s="146">
        <f>SUM(H29:H85)</f>
        <v>12013.86</v>
      </c>
      <c r="I86" s="146">
        <f>SUM(I29:I85)</f>
        <v>59</v>
      </c>
      <c r="J86" s="130">
        <f t="array" ref="J86">IF(ISERROR(G86/I86),"",G86/I86)</f>
        <v>40.372881355932201</v>
      </c>
      <c r="K86" s="146">
        <f>SUM(K29:K85)</f>
        <v>64.25705980066445</v>
      </c>
      <c r="L86" s="147"/>
      <c r="M86" s="150">
        <f t="shared" ref="M86:V86" si="34">SUM(M29:M85)</f>
        <v>-5.2570598006644538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0" t="s">
        <v>217</v>
      </c>
      <c r="C87" s="126" t="s">
        <v>179</v>
      </c>
      <c r="D87" s="108">
        <v>5.03</v>
      </c>
      <c r="E87" s="108"/>
      <c r="F87" s="127"/>
      <c r="G87" s="128"/>
      <c r="H87" s="39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9"/>
      <c r="P87" s="389"/>
      <c r="Q87" s="389"/>
      <c r="R87" s="389"/>
      <c r="S87" s="389"/>
      <c r="T87" s="389"/>
      <c r="U87" s="38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0" t="s">
        <v>217</v>
      </c>
      <c r="C88" s="126" t="s">
        <v>186</v>
      </c>
      <c r="D88" s="108">
        <v>5.03</v>
      </c>
      <c r="E88" s="108"/>
      <c r="F88" s="127"/>
      <c r="G88" s="128"/>
      <c r="H88" s="39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9"/>
      <c r="P88" s="389"/>
      <c r="Q88" s="389"/>
      <c r="R88" s="389"/>
      <c r="S88" s="389"/>
      <c r="T88" s="389"/>
      <c r="U88" s="38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0" t="s">
        <v>217</v>
      </c>
      <c r="C89" s="126" t="s">
        <v>204</v>
      </c>
      <c r="D89" s="108">
        <v>5.03</v>
      </c>
      <c r="E89" s="108"/>
      <c r="F89" s="127"/>
      <c r="G89" s="128"/>
      <c r="H89" s="39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9"/>
      <c r="P89" s="389"/>
      <c r="Q89" s="389"/>
      <c r="R89" s="389"/>
      <c r="S89" s="389"/>
      <c r="T89" s="389"/>
      <c r="U89" s="38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9"/>
      <c r="P90" s="389"/>
      <c r="Q90" s="389"/>
      <c r="R90" s="389"/>
      <c r="S90" s="389"/>
      <c r="T90" s="389"/>
      <c r="U90" s="38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9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9"/>
      <c r="P91" s="389"/>
      <c r="Q91" s="389"/>
      <c r="R91" s="389"/>
      <c r="S91" s="389"/>
      <c r="T91" s="389"/>
      <c r="U91" s="38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9"/>
      <c r="P92" s="389"/>
      <c r="Q92" s="389"/>
      <c r="R92" s="389"/>
      <c r="S92" s="389"/>
      <c r="T92" s="389"/>
      <c r="U92" s="38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9"/>
      <c r="P93" s="389"/>
      <c r="Q93" s="389"/>
      <c r="R93" s="389"/>
      <c r="S93" s="389"/>
      <c r="T93" s="389"/>
      <c r="U93" s="38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42737</v>
      </c>
      <c r="G94" s="128">
        <v>81</v>
      </c>
      <c r="H94" s="398">
        <f t="shared" si="36"/>
        <v>407.43</v>
      </c>
      <c r="I94" s="129">
        <v>11</v>
      </c>
      <c r="J94" s="130">
        <f t="array" ref="J94">IF(ISERROR(G94/I94),"",G94/I94)</f>
        <v>7.3636363636363633</v>
      </c>
      <c r="K94" s="131">
        <f t="array" ref="K94">IF(ISERROR(G94/L94),"",G94/L94)</f>
        <v>8.7096774193548381</v>
      </c>
      <c r="L94" s="129">
        <v>9.3000000000000007</v>
      </c>
      <c r="M94" s="109">
        <f t="shared" si="37"/>
        <v>2.2903225806451619</v>
      </c>
      <c r="N94" s="130"/>
      <c r="O94" s="389"/>
      <c r="P94" s="389"/>
      <c r="Q94" s="389"/>
      <c r="R94" s="389"/>
      <c r="S94" s="389"/>
      <c r="T94" s="389"/>
      <c r="U94" s="38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9"/>
      <c r="P95" s="389"/>
      <c r="Q95" s="389"/>
      <c r="R95" s="389"/>
      <c r="S95" s="389"/>
      <c r="T95" s="389"/>
      <c r="U95" s="38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9"/>
      <c r="P96" s="389"/>
      <c r="Q96" s="389"/>
      <c r="R96" s="389"/>
      <c r="S96" s="389"/>
      <c r="T96" s="389"/>
      <c r="U96" s="38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9"/>
      <c r="P97" s="389"/>
      <c r="Q97" s="389"/>
      <c r="R97" s="389"/>
      <c r="S97" s="389"/>
      <c r="T97" s="389"/>
      <c r="U97" s="38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9"/>
      <c r="P98" s="389"/>
      <c r="Q98" s="389"/>
      <c r="R98" s="389"/>
      <c r="S98" s="389"/>
      <c r="T98" s="389"/>
      <c r="U98" s="38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9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9"/>
      <c r="P99" s="389"/>
      <c r="Q99" s="389"/>
      <c r="R99" s="389"/>
      <c r="S99" s="389"/>
      <c r="T99" s="389"/>
      <c r="U99" s="38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9"/>
      <c r="P100" s="389"/>
      <c r="Q100" s="389"/>
      <c r="R100" s="389"/>
      <c r="S100" s="389"/>
      <c r="T100" s="389"/>
      <c r="U100" s="38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9"/>
      <c r="P101" s="389"/>
      <c r="Q101" s="389"/>
      <c r="R101" s="389"/>
      <c r="S101" s="389"/>
      <c r="T101" s="389"/>
      <c r="U101" s="38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9"/>
      <c r="P102" s="389"/>
      <c r="Q102" s="389"/>
      <c r="R102" s="389"/>
      <c r="S102" s="389"/>
      <c r="T102" s="389"/>
      <c r="U102" s="38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9"/>
      <c r="P103" s="389"/>
      <c r="Q103" s="389"/>
      <c r="R103" s="389"/>
      <c r="S103" s="389"/>
      <c r="T103" s="389"/>
      <c r="U103" s="38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9"/>
      <c r="P104" s="389"/>
      <c r="Q104" s="389"/>
      <c r="R104" s="389"/>
      <c r="S104" s="389"/>
      <c r="T104" s="389"/>
      <c r="U104" s="38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9"/>
      <c r="P105" s="389"/>
      <c r="Q105" s="389"/>
      <c r="R105" s="389"/>
      <c r="S105" s="389"/>
      <c r="T105" s="389"/>
      <c r="U105" s="38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9"/>
      <c r="P106" s="389"/>
      <c r="Q106" s="389"/>
      <c r="R106" s="389"/>
      <c r="S106" s="389"/>
      <c r="T106" s="389"/>
      <c r="U106" s="38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0" t="s">
        <v>393</v>
      </c>
      <c r="C107" s="187" t="s">
        <v>395</v>
      </c>
      <c r="D107" s="108">
        <v>5</v>
      </c>
      <c r="E107" s="108"/>
      <c r="F107" s="127"/>
      <c r="G107" s="128"/>
      <c r="H107" s="398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9"/>
      <c r="P107" s="389"/>
      <c r="Q107" s="389"/>
      <c r="R107" s="389"/>
      <c r="S107" s="389"/>
      <c r="T107" s="389"/>
      <c r="U107" s="38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0" t="s">
        <v>393</v>
      </c>
      <c r="C108" s="187" t="s">
        <v>402</v>
      </c>
      <c r="D108" s="108">
        <v>5</v>
      </c>
      <c r="E108" s="108"/>
      <c r="F108" s="127"/>
      <c r="G108" s="128"/>
      <c r="H108" s="398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9"/>
      <c r="P108" s="389"/>
      <c r="Q108" s="389"/>
      <c r="R108" s="389"/>
      <c r="S108" s="389"/>
      <c r="T108" s="389"/>
      <c r="U108" s="38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0" t="s">
        <v>404</v>
      </c>
      <c r="C109" s="187" t="s">
        <v>405</v>
      </c>
      <c r="D109" s="108">
        <v>5</v>
      </c>
      <c r="E109" s="108"/>
      <c r="F109" s="127"/>
      <c r="G109" s="128"/>
      <c r="H109" s="398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9"/>
      <c r="P109" s="389"/>
      <c r="Q109" s="389"/>
      <c r="R109" s="389"/>
      <c r="S109" s="389"/>
      <c r="T109" s="389"/>
      <c r="U109" s="38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0" t="s">
        <v>492</v>
      </c>
      <c r="C110" s="187" t="s">
        <v>372</v>
      </c>
      <c r="D110" s="108">
        <v>5</v>
      </c>
      <c r="E110" s="108"/>
      <c r="F110" s="127"/>
      <c r="G110" s="128"/>
      <c r="H110" s="398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9"/>
      <c r="P110" s="389"/>
      <c r="Q110" s="389"/>
      <c r="R110" s="389"/>
      <c r="S110" s="389"/>
      <c r="T110" s="389"/>
      <c r="U110" s="38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0" t="s">
        <v>343</v>
      </c>
      <c r="C111" s="126" t="s">
        <v>345</v>
      </c>
      <c r="D111" s="108">
        <v>5</v>
      </c>
      <c r="E111" s="108"/>
      <c r="F111" s="127"/>
      <c r="G111" s="128"/>
      <c r="H111" s="398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9"/>
      <c r="P111" s="389"/>
      <c r="Q111" s="389"/>
      <c r="R111" s="389"/>
      <c r="S111" s="389"/>
      <c r="T111" s="389"/>
      <c r="U111" s="38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0" t="s">
        <v>343</v>
      </c>
      <c r="C112" s="126" t="s">
        <v>347</v>
      </c>
      <c r="D112" s="108">
        <v>5</v>
      </c>
      <c r="E112" s="108"/>
      <c r="F112" s="127"/>
      <c r="G112" s="128"/>
      <c r="H112" s="398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9"/>
      <c r="P112" s="389"/>
      <c r="Q112" s="389"/>
      <c r="R112" s="389"/>
      <c r="S112" s="389"/>
      <c r="T112" s="389"/>
      <c r="U112" s="38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9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9"/>
      <c r="P113" s="389"/>
      <c r="Q113" s="389"/>
      <c r="R113" s="389"/>
      <c r="S113" s="389"/>
      <c r="T113" s="389"/>
      <c r="U113" s="38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9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9"/>
      <c r="P114" s="389"/>
      <c r="Q114" s="389"/>
      <c r="R114" s="389"/>
      <c r="S114" s="389"/>
      <c r="T114" s="389"/>
      <c r="U114" s="38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f>23+21+90+90+90</f>
        <v>314</v>
      </c>
      <c r="H115" s="398">
        <f t="shared" si="36"/>
        <v>1570</v>
      </c>
      <c r="I115" s="129">
        <f>2.5*4+5.5</f>
        <v>15.5</v>
      </c>
      <c r="J115" s="130">
        <f t="array" ref="J115">IF(ISERROR(G115/I115),"",G115/I115)</f>
        <v>20.258064516129032</v>
      </c>
      <c r="K115" s="131">
        <f t="array" ref="K115">IF(ISERROR(G115/L115),"",G115/L115)</f>
        <v>13.083333333333334</v>
      </c>
      <c r="L115" s="129">
        <v>24</v>
      </c>
      <c r="M115" s="109">
        <f t="shared" si="37"/>
        <v>2.4166666666666661</v>
      </c>
      <c r="N115" s="130"/>
      <c r="O115" s="389"/>
      <c r="P115" s="389"/>
      <c r="Q115" s="389"/>
      <c r="R115" s="389"/>
      <c r="S115" s="389"/>
      <c r="T115" s="389"/>
      <c r="U115" s="38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98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389"/>
      <c r="P116" s="389"/>
      <c r="Q116" s="389"/>
      <c r="R116" s="389"/>
      <c r="S116" s="389"/>
      <c r="T116" s="389"/>
      <c r="U116" s="38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90+89+90</f>
        <v>269</v>
      </c>
      <c r="H117" s="398">
        <f t="shared" si="36"/>
        <v>1345</v>
      </c>
      <c r="I117" s="129">
        <f>4*4+2.5</f>
        <v>18.5</v>
      </c>
      <c r="J117" s="130">
        <f t="array" ref="J117">IF(ISERROR(G117/I117),"",G117/I117)</f>
        <v>14.54054054054054</v>
      </c>
      <c r="K117" s="131">
        <f t="array" ref="K117">IF(ISERROR(G117/L117),"",G117/L117)</f>
        <v>11.208333333333334</v>
      </c>
      <c r="L117" s="129">
        <v>24</v>
      </c>
      <c r="M117" s="109">
        <f t="shared" si="37"/>
        <v>7.2916666666666661</v>
      </c>
      <c r="N117" s="130"/>
      <c r="O117" s="389"/>
      <c r="P117" s="389"/>
      <c r="Q117" s="389"/>
      <c r="R117" s="389"/>
      <c r="S117" s="389"/>
      <c r="T117" s="389"/>
      <c r="U117" s="38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9"/>
      <c r="P118" s="389"/>
      <c r="Q118" s="389"/>
      <c r="R118" s="389"/>
      <c r="S118" s="389"/>
      <c r="T118" s="389"/>
      <c r="U118" s="38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9"/>
      <c r="P119" s="389"/>
      <c r="Q119" s="389"/>
      <c r="R119" s="389"/>
      <c r="S119" s="389"/>
      <c r="T119" s="389"/>
      <c r="U119" s="38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8">
        <f t="shared" si="36"/>
        <v>0</v>
      </c>
      <c r="I120" s="129"/>
      <c r="J120" s="130" t="str">
        <f t="array" ref="J120">IF(ISERROR(G120/I120),"",G120/I120)</f>
        <v/>
      </c>
      <c r="K120" s="39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9"/>
      <c r="P120" s="389"/>
      <c r="Q120" s="389"/>
      <c r="R120" s="389"/>
      <c r="S120" s="389"/>
      <c r="T120" s="389"/>
      <c r="U120" s="38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396" t="s">
        <v>202</v>
      </c>
      <c r="D121" s="143"/>
      <c r="E121" s="143"/>
      <c r="F121" s="144"/>
      <c r="G121" s="145">
        <f>SUM(G87:G120)</f>
        <v>664</v>
      </c>
      <c r="H121" s="146">
        <f>SUM(H87:H120)</f>
        <v>3322.4300000000003</v>
      </c>
      <c r="I121" s="146">
        <f>SUM(I87:I120)</f>
        <v>45</v>
      </c>
      <c r="J121" s="130">
        <f t="array" ref="J121">IF(ISERROR(G121/I121),"",G121/I121)</f>
        <v>14.755555555555556</v>
      </c>
      <c r="K121" s="146">
        <f>SUM(K87:K120)</f>
        <v>33.001344086021504</v>
      </c>
      <c r="L121" s="147"/>
      <c r="M121" s="150">
        <f t="shared" ref="M121:V121" si="50">SUM(M87:M120)</f>
        <v>11.998655913978494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9"/>
      <c r="P122" s="389"/>
      <c r="Q122" s="389"/>
      <c r="R122" s="389"/>
      <c r="S122" s="389"/>
      <c r="T122" s="389"/>
      <c r="U122" s="38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9"/>
      <c r="P123" s="389"/>
      <c r="Q123" s="389"/>
      <c r="R123" s="389"/>
      <c r="S123" s="389"/>
      <c r="T123" s="389"/>
      <c r="U123" s="38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9"/>
      <c r="P124" s="389"/>
      <c r="Q124" s="389"/>
      <c r="R124" s="389"/>
      <c r="S124" s="389"/>
      <c r="T124" s="389"/>
      <c r="U124" s="38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9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9"/>
      <c r="P125" s="389"/>
      <c r="Q125" s="389"/>
      <c r="R125" s="389"/>
      <c r="S125" s="389"/>
      <c r="T125" s="389"/>
      <c r="U125" s="38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4" t="s">
        <v>203</v>
      </c>
      <c r="D126" s="108">
        <v>5.03</v>
      </c>
      <c r="E126" s="108"/>
      <c r="F126" s="127"/>
      <c r="G126" s="128"/>
      <c r="H126" s="39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9"/>
      <c r="P126" s="389"/>
      <c r="Q126" s="389"/>
      <c r="R126" s="389"/>
      <c r="S126" s="389"/>
      <c r="T126" s="389"/>
      <c r="U126" s="38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9"/>
      <c r="P127" s="389"/>
      <c r="Q127" s="389"/>
      <c r="R127" s="389"/>
      <c r="S127" s="389"/>
      <c r="T127" s="389"/>
      <c r="U127" s="38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9"/>
      <c r="P128" s="389"/>
      <c r="Q128" s="389"/>
      <c r="R128" s="389"/>
      <c r="S128" s="389"/>
      <c r="T128" s="389"/>
      <c r="U128" s="38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4" t="s">
        <v>228</v>
      </c>
      <c r="D129" s="108">
        <v>5.03</v>
      </c>
      <c r="E129" s="108"/>
      <c r="F129" s="127"/>
      <c r="G129" s="128"/>
      <c r="H129" s="39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9"/>
      <c r="P129" s="389"/>
      <c r="Q129" s="389"/>
      <c r="R129" s="389"/>
      <c r="S129" s="389"/>
      <c r="T129" s="389"/>
      <c r="U129" s="38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94" t="s">
        <v>212</v>
      </c>
      <c r="D130" s="108">
        <v>5.03</v>
      </c>
      <c r="E130" s="108"/>
      <c r="F130" s="127"/>
      <c r="G130" s="128"/>
      <c r="H130" s="39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9"/>
      <c r="P130" s="389"/>
      <c r="Q130" s="389"/>
      <c r="R130" s="389"/>
      <c r="S130" s="389"/>
      <c r="T130" s="389"/>
      <c r="U130" s="38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4" t="s">
        <v>203</v>
      </c>
      <c r="D131" s="108">
        <v>5.03</v>
      </c>
      <c r="E131" s="108"/>
      <c r="F131" s="127"/>
      <c r="G131" s="128"/>
      <c r="H131" s="39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9"/>
      <c r="P131" s="389"/>
      <c r="Q131" s="389"/>
      <c r="R131" s="389"/>
      <c r="S131" s="389"/>
      <c r="T131" s="389"/>
      <c r="U131" s="38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4" t="s">
        <v>186</v>
      </c>
      <c r="D132" s="108">
        <v>5.03</v>
      </c>
      <c r="E132" s="108"/>
      <c r="F132" s="127"/>
      <c r="G132" s="128"/>
      <c r="H132" s="39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9"/>
      <c r="P132" s="389"/>
      <c r="Q132" s="389"/>
      <c r="R132" s="389"/>
      <c r="S132" s="389"/>
      <c r="T132" s="389"/>
      <c r="U132" s="38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4" t="s">
        <v>228</v>
      </c>
      <c r="D133" s="108">
        <v>5.03</v>
      </c>
      <c r="E133" s="108"/>
      <c r="F133" s="127"/>
      <c r="G133" s="128"/>
      <c r="H133" s="39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9"/>
      <c r="P133" s="389"/>
      <c r="Q133" s="389"/>
      <c r="R133" s="389"/>
      <c r="S133" s="389"/>
      <c r="T133" s="389"/>
      <c r="U133" s="38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4" t="s">
        <v>199</v>
      </c>
      <c r="D134" s="108">
        <v>5.03</v>
      </c>
      <c r="E134" s="108"/>
      <c r="F134" s="127"/>
      <c r="G134" s="128"/>
      <c r="H134" s="39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9"/>
      <c r="P134" s="389"/>
      <c r="Q134" s="389"/>
      <c r="R134" s="389"/>
      <c r="S134" s="389"/>
      <c r="T134" s="389"/>
      <c r="U134" s="38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9"/>
      <c r="P135" s="389"/>
      <c r="Q135" s="389"/>
      <c r="R135" s="389"/>
      <c r="S135" s="389"/>
      <c r="T135" s="389"/>
      <c r="U135" s="38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42737</v>
      </c>
      <c r="G136" s="128">
        <f>90*8+37</f>
        <v>757</v>
      </c>
      <c r="H136" s="398">
        <f t="shared" si="51"/>
        <v>3830.4199999999996</v>
      </c>
      <c r="I136" s="129">
        <f>11*3</f>
        <v>33</v>
      </c>
      <c r="J136" s="130">
        <f t="array" ref="J136">IF(ISERROR(G136/I136),"",G136/I136)</f>
        <v>22.939393939393938</v>
      </c>
      <c r="K136" s="131">
        <f t="array" ref="K136">IF(ISERROR(G136/L136),"",G136/L136)</f>
        <v>32.913043478260867</v>
      </c>
      <c r="L136" s="129">
        <v>23</v>
      </c>
      <c r="M136" s="109">
        <f t="shared" si="52"/>
        <v>8.6956521739132597E-2</v>
      </c>
      <c r="N136" s="130">
        <f t="shared" si="53"/>
        <v>0</v>
      </c>
      <c r="O136" s="389"/>
      <c r="P136" s="389"/>
      <c r="Q136" s="389"/>
      <c r="R136" s="389"/>
      <c r="S136" s="389"/>
      <c r="T136" s="389"/>
      <c r="U136" s="389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396" t="s">
        <v>202</v>
      </c>
      <c r="D137" s="143"/>
      <c r="E137" s="143"/>
      <c r="F137" s="144"/>
      <c r="G137" s="145">
        <f>SUM(G122:G136)</f>
        <v>757</v>
      </c>
      <c r="H137" s="146">
        <f>SUM(H122:H136)</f>
        <v>3830.4199999999996</v>
      </c>
      <c r="I137" s="146">
        <f>SUM(I122:I136)</f>
        <v>33</v>
      </c>
      <c r="J137" s="130">
        <f t="array" ref="J137">IF(ISERROR(G137/I137),"",G137/I137)</f>
        <v>22.939393939393938</v>
      </c>
      <c r="K137" s="146">
        <f>SUM(K122:K136)</f>
        <v>32.913043478260867</v>
      </c>
      <c r="L137" s="147"/>
      <c r="M137" s="150">
        <f>SUM(M122:M136)</f>
        <v>8.6956521739132597E-2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9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9"/>
      <c r="P138" s="389"/>
      <c r="Q138" s="389"/>
      <c r="R138" s="389"/>
      <c r="S138" s="389"/>
      <c r="T138" s="389"/>
      <c r="U138" s="38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9"/>
      <c r="P139" s="389"/>
      <c r="Q139" s="389"/>
      <c r="R139" s="389"/>
      <c r="S139" s="389"/>
      <c r="T139" s="389"/>
      <c r="U139" s="38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9"/>
      <c r="P140" s="389"/>
      <c r="Q140" s="389"/>
      <c r="R140" s="389"/>
      <c r="S140" s="389"/>
      <c r="T140" s="389"/>
      <c r="U140" s="38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9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9"/>
      <c r="P141" s="389"/>
      <c r="Q141" s="389"/>
      <c r="R141" s="389"/>
      <c r="S141" s="389"/>
      <c r="T141" s="389"/>
      <c r="U141" s="38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9"/>
      <c r="P142" s="389"/>
      <c r="Q142" s="389"/>
      <c r="R142" s="389"/>
      <c r="S142" s="389"/>
      <c r="T142" s="389"/>
      <c r="U142" s="38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9"/>
      <c r="P143" s="389"/>
      <c r="Q143" s="389"/>
      <c r="R143" s="389"/>
      <c r="S143" s="389"/>
      <c r="T143" s="389"/>
      <c r="U143" s="38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39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389"/>
      <c r="P144" s="389"/>
      <c r="Q144" s="389"/>
      <c r="R144" s="389"/>
      <c r="S144" s="389"/>
      <c r="T144" s="389"/>
      <c r="U144" s="389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398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389"/>
      <c r="P145" s="389"/>
      <c r="Q145" s="389"/>
      <c r="R145" s="389"/>
      <c r="S145" s="389"/>
      <c r="T145" s="389"/>
      <c r="U145" s="389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39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389"/>
      <c r="P147" s="389"/>
      <c r="Q147" s="389"/>
      <c r="R147" s="389"/>
      <c r="S147" s="389"/>
      <c r="T147" s="389"/>
      <c r="U147" s="38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hidden="1" customHeight="1">
      <c r="A148" s="618" t="s">
        <v>234</v>
      </c>
      <c r="B148" s="619"/>
      <c r="C148" s="396" t="s">
        <v>202</v>
      </c>
      <c r="D148" s="143"/>
      <c r="E148" s="143"/>
      <c r="F148" s="144"/>
      <c r="G148" s="145">
        <f>SUM(G138:G147)</f>
        <v>0</v>
      </c>
      <c r="H148" s="146">
        <f>SUM(H138:H147)</f>
        <v>0</v>
      </c>
      <c r="I148" s="146">
        <f>SUM(I138:I147)</f>
        <v>0</v>
      </c>
      <c r="J148" s="130" t="str">
        <f t="array" ref="J148">IF(ISERROR(G148/I148),"",G148/I148)</f>
        <v/>
      </c>
      <c r="K148" s="146">
        <f>SUM(K138:K147)</f>
        <v>0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 t="str">
        <f t="shared" si="62"/>
        <v/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388"/>
      <c r="D149" s="108">
        <v>3.65</v>
      </c>
      <c r="E149" s="108"/>
      <c r="F149" s="153"/>
      <c r="G149" s="128"/>
      <c r="H149" s="398">
        <f t="shared" ref="H149:H162" si="63">D149*G149</f>
        <v>0</v>
      </c>
      <c r="I149" s="129"/>
      <c r="J149" s="130" t="str">
        <f t="array" ref="J149">IF(ISERROR(G149/I149),"",G149/I149)</f>
        <v/>
      </c>
      <c r="K149" s="39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389"/>
      <c r="P149" s="389"/>
      <c r="Q149" s="389"/>
      <c r="R149" s="389"/>
      <c r="S149" s="389"/>
      <c r="T149" s="389"/>
      <c r="U149" s="38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388"/>
      <c r="D150" s="108">
        <v>6.58</v>
      </c>
      <c r="E150" s="108"/>
      <c r="F150" s="127"/>
      <c r="G150" s="128"/>
      <c r="H150" s="398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4"/>
        <v>0</v>
      </c>
      <c r="N150" s="130">
        <f t="shared" si="65"/>
        <v>0</v>
      </c>
      <c r="O150" s="389"/>
      <c r="P150" s="389"/>
      <c r="Q150" s="389"/>
      <c r="R150" s="389"/>
      <c r="S150" s="389"/>
      <c r="T150" s="389"/>
      <c r="U150" s="38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388"/>
      <c r="D151" s="108">
        <v>7.8</v>
      </c>
      <c r="E151" s="108"/>
      <c r="F151" s="127">
        <v>42737</v>
      </c>
      <c r="G151" s="128">
        <f>32*3</f>
        <v>96</v>
      </c>
      <c r="H151" s="398">
        <f t="shared" si="63"/>
        <v>748.8</v>
      </c>
      <c r="I151" s="129">
        <v>5</v>
      </c>
      <c r="J151" s="130">
        <f t="array" ref="J151">IF(ISERROR(G151/I151),"",G151/I151)</f>
        <v>19.2</v>
      </c>
      <c r="K151" s="131">
        <f t="array" ref="K151">IF(ISERROR(G151/L151),"",G151/L151)</f>
        <v>20.869565217391305</v>
      </c>
      <c r="L151" s="129">
        <v>4.5999999999999996</v>
      </c>
      <c r="M151" s="109">
        <f t="shared" si="64"/>
        <v>-15.869565217391305</v>
      </c>
      <c r="N151" s="130">
        <f t="shared" si="65"/>
        <v>0</v>
      </c>
      <c r="O151" s="389"/>
      <c r="P151" s="389"/>
      <c r="Q151" s="389"/>
      <c r="R151" s="389"/>
      <c r="S151" s="389"/>
      <c r="T151" s="389"/>
      <c r="U151" s="38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388"/>
      <c r="D152" s="108">
        <v>4.4000000000000004</v>
      </c>
      <c r="E152" s="108"/>
      <c r="F152" s="127"/>
      <c r="G152" s="128"/>
      <c r="H152" s="39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389"/>
      <c r="P152" s="389"/>
      <c r="Q152" s="389"/>
      <c r="R152" s="389"/>
      <c r="S152" s="389"/>
      <c r="T152" s="389"/>
      <c r="U152" s="38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39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389"/>
      <c r="P153" s="389"/>
      <c r="Q153" s="389"/>
      <c r="R153" s="389"/>
      <c r="S153" s="389"/>
      <c r="T153" s="389"/>
      <c r="U153" s="38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388" t="s">
        <v>239</v>
      </c>
      <c r="C154" s="388" t="s">
        <v>179</v>
      </c>
      <c r="D154" s="108">
        <v>6.04</v>
      </c>
      <c r="E154" s="108"/>
      <c r="F154" s="127"/>
      <c r="G154" s="128"/>
      <c r="H154" s="39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389"/>
      <c r="P154" s="389"/>
      <c r="Q154" s="389"/>
      <c r="R154" s="389"/>
      <c r="S154" s="389"/>
      <c r="T154" s="389"/>
      <c r="U154" s="38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388" t="s">
        <v>239</v>
      </c>
      <c r="C155" s="388" t="s">
        <v>186</v>
      </c>
      <c r="D155" s="108">
        <v>6.04</v>
      </c>
      <c r="E155" s="108"/>
      <c r="F155" s="127"/>
      <c r="G155" s="128"/>
      <c r="H155" s="39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389"/>
      <c r="P155" s="389"/>
      <c r="Q155" s="389"/>
      <c r="R155" s="389"/>
      <c r="S155" s="389"/>
      <c r="T155" s="389"/>
      <c r="U155" s="38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388" t="s">
        <v>443</v>
      </c>
      <c r="C156" s="388" t="s">
        <v>179</v>
      </c>
      <c r="D156" s="108">
        <v>6</v>
      </c>
      <c r="E156" s="108"/>
      <c r="F156" s="127"/>
      <c r="G156" s="128"/>
      <c r="H156" s="398">
        <f t="shared" si="63"/>
        <v>0</v>
      </c>
      <c r="I156" s="129"/>
      <c r="J156" s="130"/>
      <c r="K156" s="131"/>
      <c r="L156" s="129"/>
      <c r="M156" s="109"/>
      <c r="N156" s="130"/>
      <c r="O156" s="389"/>
      <c r="P156" s="389"/>
      <c r="Q156" s="389"/>
      <c r="R156" s="389"/>
      <c r="S156" s="389"/>
      <c r="T156" s="389"/>
      <c r="U156" s="38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388" t="s">
        <v>443</v>
      </c>
      <c r="C157" s="388" t="s">
        <v>60</v>
      </c>
      <c r="D157" s="108">
        <v>6</v>
      </c>
      <c r="E157" s="108"/>
      <c r="F157" s="127"/>
      <c r="G157" s="128"/>
      <c r="H157" s="39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389"/>
      <c r="P157" s="389"/>
      <c r="Q157" s="389"/>
      <c r="R157" s="389"/>
      <c r="S157" s="389"/>
      <c r="T157" s="389"/>
      <c r="U157" s="38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390" t="s">
        <v>240</v>
      </c>
      <c r="C158" s="126"/>
      <c r="D158" s="108">
        <v>7.3</v>
      </c>
      <c r="E158" s="108"/>
      <c r="F158" s="127"/>
      <c r="G158" s="128"/>
      <c r="H158" s="39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389"/>
      <c r="P158" s="389"/>
      <c r="Q158" s="389"/>
      <c r="R158" s="389"/>
      <c r="S158" s="389"/>
      <c r="T158" s="389"/>
      <c r="U158" s="38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390" t="s">
        <v>241</v>
      </c>
      <c r="C159" s="126"/>
      <c r="D159" s="108">
        <f>78*120/1000</f>
        <v>9.36</v>
      </c>
      <c r="E159" s="108"/>
      <c r="F159" s="127"/>
      <c r="G159" s="128"/>
      <c r="H159" s="39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389"/>
      <c r="P159" s="389"/>
      <c r="Q159" s="389"/>
      <c r="R159" s="389"/>
      <c r="S159" s="389"/>
      <c r="T159" s="389"/>
      <c r="U159" s="38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390" t="s">
        <v>242</v>
      </c>
      <c r="C160" s="126"/>
      <c r="D160" s="108">
        <v>4.5</v>
      </c>
      <c r="E160" s="108"/>
      <c r="F160" s="127"/>
      <c r="G160" s="128"/>
      <c r="H160" s="398">
        <f t="shared" si="63"/>
        <v>0</v>
      </c>
      <c r="I160" s="129"/>
      <c r="J160" s="130"/>
      <c r="K160" s="131"/>
      <c r="L160" s="129"/>
      <c r="M160" s="109"/>
      <c r="N160" s="130"/>
      <c r="O160" s="389"/>
      <c r="P160" s="389"/>
      <c r="Q160" s="389"/>
      <c r="R160" s="389"/>
      <c r="S160" s="389"/>
      <c r="T160" s="389"/>
      <c r="U160" s="38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390" t="s">
        <v>243</v>
      </c>
      <c r="C161" s="126"/>
      <c r="D161" s="108">
        <v>4.5</v>
      </c>
      <c r="E161" s="108"/>
      <c r="F161" s="127"/>
      <c r="G161" s="128"/>
      <c r="H161" s="398">
        <f t="shared" si="63"/>
        <v>0</v>
      </c>
      <c r="I161" s="129"/>
      <c r="J161" s="130"/>
      <c r="K161" s="131"/>
      <c r="L161" s="129"/>
      <c r="M161" s="109"/>
      <c r="N161" s="130"/>
      <c r="O161" s="389"/>
      <c r="P161" s="389"/>
      <c r="Q161" s="389"/>
      <c r="R161" s="389"/>
      <c r="S161" s="389"/>
      <c r="T161" s="389"/>
      <c r="U161" s="38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398">
        <f t="shared" si="63"/>
        <v>0</v>
      </c>
      <c r="I162" s="129"/>
      <c r="J162" s="130"/>
      <c r="K162" s="131"/>
      <c r="L162" s="129"/>
      <c r="M162" s="109"/>
      <c r="N162" s="130"/>
      <c r="O162" s="389"/>
      <c r="P162" s="389"/>
      <c r="Q162" s="389"/>
      <c r="R162" s="389"/>
      <c r="S162" s="389"/>
      <c r="T162" s="389"/>
      <c r="U162" s="389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396" t="s">
        <v>202</v>
      </c>
      <c r="D163" s="143"/>
      <c r="E163" s="143"/>
      <c r="F163" s="144"/>
      <c r="G163" s="145">
        <f>SUM(G149:G161)</f>
        <v>96</v>
      </c>
      <c r="H163" s="146">
        <f>SUM(H149:H159)</f>
        <v>748.8</v>
      </c>
      <c r="I163" s="146">
        <f>SUM(I149:I161)</f>
        <v>5</v>
      </c>
      <c r="J163" s="130">
        <f t="array" ref="J163">IF(ISERROR(G163/I163),"",G163/I163)</f>
        <v>19.2</v>
      </c>
      <c r="K163" s="146">
        <f>SUM(K149:K159)</f>
        <v>20.869565217391305</v>
      </c>
      <c r="L163" s="147"/>
      <c r="M163" s="150">
        <f t="shared" ref="M163:V163" si="75">SUM(M149:M159)</f>
        <v>-15.869565217391305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5313</v>
      </c>
      <c r="H164" s="154">
        <f>SUM(H28,H86,H121,H137,H148,H163)</f>
        <v>27075.53</v>
      </c>
      <c r="I164" s="154">
        <f>SUM(I28,I86,I121,I137,I148,I163)</f>
        <v>233</v>
      </c>
      <c r="J164" s="155">
        <f t="array" ref="J164">IF(ISERROR(G164/I164),"",G164/I164)</f>
        <v>22.802575107296136</v>
      </c>
      <c r="K164" s="154">
        <f>SUM(K28,K86,K121,K137,K148,K163)</f>
        <v>219.2808833590241</v>
      </c>
      <c r="L164" s="155">
        <f>IF(ISERROR(G164/K164),"",G164/K164)</f>
        <v>24.229198271247082</v>
      </c>
      <c r="M164" s="154">
        <f t="shared" ref="M164:AA164" si="76">SUM(M28,M86,M121,M137,M148,M163)</f>
        <v>13.719116640975905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395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395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395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395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395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395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395">
        <f>G164</f>
        <v>5313</v>
      </c>
      <c r="C171" s="638" t="s">
        <v>269</v>
      </c>
      <c r="D171" s="639"/>
      <c r="E171" s="631">
        <f>H164</f>
        <v>27075.53</v>
      </c>
      <c r="F171" s="631"/>
      <c r="G171" s="631" t="s">
        <v>270</v>
      </c>
      <c r="H171" s="631"/>
      <c r="I171" s="640">
        <f>L164</f>
        <v>24.229198271247082</v>
      </c>
      <c r="J171" s="640"/>
      <c r="K171" s="628" t="s">
        <v>271</v>
      </c>
      <c r="L171" s="628"/>
      <c r="M171" s="640">
        <f>J164</f>
        <v>22.802575107296136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395">
        <f>I164+C170</f>
        <v>237</v>
      </c>
      <c r="C172" s="641" t="s">
        <v>251</v>
      </c>
      <c r="D172" s="642"/>
      <c r="E172" s="643">
        <f>K164+I170</f>
        <v>260.28088335902407</v>
      </c>
      <c r="F172" s="643"/>
      <c r="G172" s="631" t="s">
        <v>274</v>
      </c>
      <c r="H172" s="631"/>
      <c r="I172" s="640">
        <f>B172-E172</f>
        <v>-23.280883359024074</v>
      </c>
      <c r="J172" s="640"/>
      <c r="K172" s="628" t="s">
        <v>275</v>
      </c>
      <c r="L172" s="628"/>
      <c r="M172" s="632">
        <f>IF(ISERROR(I172/E172),"",I172/E172)</f>
        <v>-8.9445229548076655E-2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395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539</v>
      </c>
      <c r="H177" s="388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390" t="s">
        <v>178</v>
      </c>
      <c r="C178" s="126" t="s">
        <v>179</v>
      </c>
      <c r="D178" s="108">
        <v>5.03</v>
      </c>
      <c r="E178" s="108"/>
      <c r="F178" s="127"/>
      <c r="G178" s="128"/>
      <c r="H178" s="39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389"/>
      <c r="P178" s="389"/>
      <c r="Q178" s="389"/>
      <c r="R178" s="389"/>
      <c r="S178" s="389"/>
      <c r="T178" s="389"/>
      <c r="U178" s="38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39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389"/>
      <c r="P179" s="389"/>
      <c r="Q179" s="389"/>
      <c r="R179" s="389"/>
      <c r="S179" s="389"/>
      <c r="T179" s="389"/>
      <c r="U179" s="38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39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9"/>
      <c r="P180" s="389"/>
      <c r="Q180" s="389"/>
      <c r="R180" s="389"/>
      <c r="S180" s="389"/>
      <c r="T180" s="389"/>
      <c r="U180" s="38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42736</v>
      </c>
      <c r="G181" s="128">
        <v>1</v>
      </c>
      <c r="H181" s="398">
        <f t="shared" si="77"/>
        <v>5.03</v>
      </c>
      <c r="I181" s="129">
        <v>0.05</v>
      </c>
      <c r="J181" s="130">
        <f t="array" ref="J181">IF(ISERROR(G181/I181),"",G181/I181)</f>
        <v>20</v>
      </c>
      <c r="K181" s="131">
        <f t="array" ref="K181">IF(ISERROR(G181/L181),"",G181/L181)</f>
        <v>5.2631578947368418E-2</v>
      </c>
      <c r="L181" s="129">
        <v>19</v>
      </c>
      <c r="M181" s="109">
        <f t="shared" si="78"/>
        <v>-2.6315789473684154E-3</v>
      </c>
      <c r="N181" s="130">
        <f t="shared" si="81"/>
        <v>0</v>
      </c>
      <c r="O181" s="389"/>
      <c r="P181" s="389"/>
      <c r="Q181" s="389"/>
      <c r="R181" s="389"/>
      <c r="S181" s="389"/>
      <c r="T181" s="389"/>
      <c r="U181" s="38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108*3+8</f>
        <v>332</v>
      </c>
      <c r="H182" s="398">
        <f t="shared" si="77"/>
        <v>1669.96</v>
      </c>
      <c r="I182" s="129">
        <f>7*4</f>
        <v>28</v>
      </c>
      <c r="J182" s="130">
        <f t="array" ref="J182">IF(ISERROR(G182/I182),"",G182/I182)</f>
        <v>11.857142857142858</v>
      </c>
      <c r="K182" s="131">
        <f t="array" ref="K182">IF(ISERROR(G182/L182),"",G182/L182)</f>
        <v>16.600000000000001</v>
      </c>
      <c r="L182" s="129">
        <v>20</v>
      </c>
      <c r="M182" s="109">
        <f t="shared" si="78"/>
        <v>11.399999999999999</v>
      </c>
      <c r="N182" s="130">
        <f t="shared" si="81"/>
        <v>0</v>
      </c>
      <c r="O182" s="389"/>
      <c r="P182" s="389"/>
      <c r="Q182" s="389"/>
      <c r="R182" s="389"/>
      <c r="S182" s="389"/>
      <c r="T182" s="389"/>
      <c r="U182" s="389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6"/>
      <c r="G183" s="137"/>
      <c r="H183" s="398">
        <f t="shared" si="77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8"/>
        <v>0</v>
      </c>
      <c r="N183" s="130">
        <f t="shared" si="81"/>
        <v>0</v>
      </c>
      <c r="O183" s="389"/>
      <c r="P183" s="389"/>
      <c r="Q183" s="389"/>
      <c r="R183" s="389"/>
      <c r="S183" s="389"/>
      <c r="T183" s="389"/>
      <c r="U183" s="389"/>
      <c r="V183" s="132">
        <f t="shared" si="79"/>
        <v>0</v>
      </c>
      <c r="W183" s="133" t="str">
        <f t="shared" si="80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39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9"/>
      <c r="P184" s="389"/>
      <c r="Q184" s="389"/>
      <c r="R184" s="389"/>
      <c r="S184" s="389"/>
      <c r="T184" s="389"/>
      <c r="U184" s="38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39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389"/>
      <c r="P185" s="389"/>
      <c r="Q185" s="389"/>
      <c r="R185" s="389"/>
      <c r="S185" s="389"/>
      <c r="T185" s="389"/>
      <c r="U185" s="38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398">
        <f t="shared" si="77"/>
        <v>0</v>
      </c>
      <c r="I186" s="39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9"/>
      <c r="P186" s="389"/>
      <c r="Q186" s="389"/>
      <c r="R186" s="389"/>
      <c r="S186" s="389"/>
      <c r="T186" s="389"/>
      <c r="U186" s="38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42737</v>
      </c>
      <c r="G187" s="128">
        <f>100*5+63</f>
        <v>563</v>
      </c>
      <c r="H187" s="398">
        <f t="shared" si="77"/>
        <v>2837.52</v>
      </c>
      <c r="I187" s="398">
        <f>7.5*5</f>
        <v>37.5</v>
      </c>
      <c r="J187" s="130">
        <f t="array" ref="J187">IF(ISERROR(G187/I187),"",G187/I187)</f>
        <v>15.013333333333334</v>
      </c>
      <c r="K187" s="131">
        <f t="array" ref="K187">IF(ISERROR(G187/L187),"",G187/L187)</f>
        <v>33.117647058823529</v>
      </c>
      <c r="L187" s="129">
        <v>17</v>
      </c>
      <c r="M187" s="109">
        <f t="shared" si="78"/>
        <v>4.382352941176471</v>
      </c>
      <c r="N187" s="130">
        <f t="shared" si="81"/>
        <v>0</v>
      </c>
      <c r="O187" s="389"/>
      <c r="P187" s="389"/>
      <c r="Q187" s="389"/>
      <c r="R187" s="389"/>
      <c r="S187" s="389"/>
      <c r="T187" s="389"/>
      <c r="U187" s="389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39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9"/>
      <c r="P188" s="389"/>
      <c r="Q188" s="389"/>
      <c r="R188" s="389"/>
      <c r="S188" s="389"/>
      <c r="T188" s="389"/>
      <c r="U188" s="38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39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389"/>
      <c r="P189" s="389"/>
      <c r="Q189" s="389"/>
      <c r="R189" s="389"/>
      <c r="S189" s="389"/>
      <c r="T189" s="389"/>
      <c r="U189" s="389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42736</v>
      </c>
      <c r="G190" s="128">
        <f>64+9</f>
        <v>73</v>
      </c>
      <c r="H190" s="398">
        <f t="shared" ref="H190:H198" si="82">D190*G190</f>
        <v>369.38</v>
      </c>
      <c r="I190" s="129">
        <v>4</v>
      </c>
      <c r="J190" s="130">
        <f t="array" ref="J190">IF(ISERROR(G190/I190),"",G190/I190)</f>
        <v>18.25</v>
      </c>
      <c r="K190" s="131">
        <f t="array" ref="K190">IF(ISERROR(G190/L190),"",G190/L190)</f>
        <v>3.8421052631578947</v>
      </c>
      <c r="L190" s="129">
        <v>19</v>
      </c>
      <c r="M190" s="109">
        <f t="shared" ref="M190:M198" si="83">IF(ISERROR(I190-K190),"",I190-K190)</f>
        <v>0.15789473684210531</v>
      </c>
      <c r="N190" s="130">
        <f t="shared" ref="N190:N192" si="84">SUM(O190:U190)</f>
        <v>0</v>
      </c>
      <c r="O190" s="389"/>
      <c r="P190" s="389"/>
      <c r="Q190" s="389"/>
      <c r="R190" s="389"/>
      <c r="S190" s="389"/>
      <c r="T190" s="389"/>
      <c r="U190" s="389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42736</v>
      </c>
      <c r="G191" s="128">
        <f>100*11+83</f>
        <v>1183</v>
      </c>
      <c r="H191" s="398">
        <f t="shared" si="82"/>
        <v>6021.47</v>
      </c>
      <c r="I191" s="129">
        <f>11.5*5</f>
        <v>57.5</v>
      </c>
      <c r="J191" s="130">
        <f t="array" ref="J191">IF(ISERROR(G191/I191),"",G191/I191)</f>
        <v>20.57391304347826</v>
      </c>
      <c r="K191" s="131">
        <f t="array" ref="K191">IF(ISERROR(G191/L191),"",G191/L191)</f>
        <v>51.434782608695649</v>
      </c>
      <c r="L191" s="129">
        <v>23</v>
      </c>
      <c r="M191" s="109">
        <f t="shared" si="83"/>
        <v>6.0652173913043512</v>
      </c>
      <c r="N191" s="130">
        <f t="shared" si="84"/>
        <v>0</v>
      </c>
      <c r="O191" s="389"/>
      <c r="P191" s="389"/>
      <c r="Q191" s="389"/>
      <c r="R191" s="389"/>
      <c r="S191" s="389"/>
      <c r="T191" s="389"/>
      <c r="U191" s="389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>
        <v>42736</v>
      </c>
      <c r="G192" s="128">
        <f>24+76</f>
        <v>100</v>
      </c>
      <c r="H192" s="398">
        <f t="shared" si="82"/>
        <v>509</v>
      </c>
      <c r="I192" s="129">
        <v>5</v>
      </c>
      <c r="J192" s="130">
        <f t="array" ref="J192">IF(ISERROR(G192/I192),"",G192/I192)</f>
        <v>20</v>
      </c>
      <c r="K192" s="131">
        <f t="array" ref="K192">IF(ISERROR(G192/L192),"",G192/L192)</f>
        <v>4.3478260869565215</v>
      </c>
      <c r="L192" s="129">
        <v>23</v>
      </c>
      <c r="M192" s="109">
        <f t="shared" si="83"/>
        <v>0.65217391304347849</v>
      </c>
      <c r="N192" s="130">
        <f t="shared" si="84"/>
        <v>0</v>
      </c>
      <c r="O192" s="389"/>
      <c r="P192" s="389"/>
      <c r="Q192" s="389"/>
      <c r="R192" s="389"/>
      <c r="S192" s="389"/>
      <c r="T192" s="389"/>
      <c r="U192" s="389"/>
      <c r="V192" s="132">
        <f t="shared" si="85"/>
        <v>0</v>
      </c>
      <c r="W192" s="133">
        <f t="shared" si="86"/>
        <v>0</v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388" t="s">
        <v>190</v>
      </c>
      <c r="D193" s="108">
        <v>4.8</v>
      </c>
      <c r="E193" s="108"/>
      <c r="F193" s="127"/>
      <c r="G193" s="128"/>
      <c r="H193" s="39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9"/>
      <c r="P193" s="389"/>
      <c r="Q193" s="389"/>
      <c r="R193" s="389"/>
      <c r="S193" s="389"/>
      <c r="T193" s="389"/>
      <c r="U193" s="38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388" t="s">
        <v>187</v>
      </c>
      <c r="D194" s="108">
        <v>4.8</v>
      </c>
      <c r="E194" s="108"/>
      <c r="F194" s="127"/>
      <c r="G194" s="128"/>
      <c r="H194" s="39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9"/>
      <c r="P194" s="389"/>
      <c r="Q194" s="389"/>
      <c r="R194" s="389"/>
      <c r="S194" s="389"/>
      <c r="T194" s="389"/>
      <c r="U194" s="38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388" t="s">
        <v>179</v>
      </c>
      <c r="D195" s="108">
        <v>4.8</v>
      </c>
      <c r="E195" s="108"/>
      <c r="F195" s="127"/>
      <c r="G195" s="128"/>
      <c r="H195" s="39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9"/>
      <c r="P195" s="389"/>
      <c r="Q195" s="389"/>
      <c r="R195" s="389"/>
      <c r="S195" s="389"/>
      <c r="T195" s="389"/>
      <c r="U195" s="38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388" t="s">
        <v>199</v>
      </c>
      <c r="D196" s="108">
        <v>4.8</v>
      </c>
      <c r="E196" s="108"/>
      <c r="F196" s="127"/>
      <c r="G196" s="128"/>
      <c r="H196" s="39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389"/>
      <c r="P196" s="389"/>
      <c r="Q196" s="389"/>
      <c r="R196" s="389"/>
      <c r="S196" s="389"/>
      <c r="T196" s="389"/>
      <c r="U196" s="38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39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389"/>
      <c r="P197" s="389"/>
      <c r="Q197" s="389"/>
      <c r="R197" s="389"/>
      <c r="S197" s="389"/>
      <c r="T197" s="389"/>
      <c r="U197" s="38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39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389"/>
      <c r="P198" s="389"/>
      <c r="Q198" s="389"/>
      <c r="R198" s="389"/>
      <c r="S198" s="389"/>
      <c r="T198" s="389"/>
      <c r="U198" s="38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396" t="s">
        <v>202</v>
      </c>
      <c r="D199" s="143"/>
      <c r="E199" s="143"/>
      <c r="F199" s="144"/>
      <c r="G199" s="145">
        <f>SUM(G178:G198)</f>
        <v>2252</v>
      </c>
      <c r="H199" s="146">
        <f>SUM(H178:H198)</f>
        <v>11412.36</v>
      </c>
      <c r="I199" s="146">
        <f>SUM(I178:I198)</f>
        <v>132.05000000000001</v>
      </c>
      <c r="J199" s="130">
        <f t="array" ref="J199">IF(ISERROR(G199/I199),"",G199/I199)</f>
        <v>17.054146156758801</v>
      </c>
      <c r="K199" s="146">
        <f>SUM(K178:K198)</f>
        <v>109.39499259658096</v>
      </c>
      <c r="L199" s="147"/>
      <c r="M199" s="150">
        <f t="shared" ref="M199:AA199" si="90">SUM(M178:M198)</f>
        <v>22.655007403419035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390" t="s">
        <v>206</v>
      </c>
      <c r="C200" s="126" t="s">
        <v>199</v>
      </c>
      <c r="D200" s="108">
        <v>5.03</v>
      </c>
      <c r="E200" s="108"/>
      <c r="F200" s="127"/>
      <c r="G200" s="128"/>
      <c r="H200" s="39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393"/>
      <c r="P200" s="393"/>
      <c r="Q200" s="393"/>
      <c r="R200" s="393"/>
      <c r="S200" s="393"/>
      <c r="T200" s="393"/>
      <c r="U200" s="39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390" t="s">
        <v>425</v>
      </c>
      <c r="C201" s="187" t="s">
        <v>427</v>
      </c>
      <c r="D201" s="108">
        <v>5.03</v>
      </c>
      <c r="E201" s="108"/>
      <c r="F201" s="127"/>
      <c r="G201" s="128"/>
      <c r="H201" s="39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393"/>
      <c r="P201" s="393"/>
      <c r="Q201" s="393"/>
      <c r="R201" s="393"/>
      <c r="S201" s="393"/>
      <c r="T201" s="393"/>
      <c r="U201" s="393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390" t="s">
        <v>206</v>
      </c>
      <c r="C202" s="126" t="s">
        <v>186</v>
      </c>
      <c r="D202" s="108">
        <v>5.03</v>
      </c>
      <c r="E202" s="108"/>
      <c r="F202" s="127"/>
      <c r="G202" s="128"/>
      <c r="H202" s="398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6">IF(ISERROR(I202-K202),"",I202-K202)</f>
        <v>0</v>
      </c>
      <c r="N202" s="130">
        <f t="shared" ref="N202:N204" si="97">SUM(O202:U202)</f>
        <v>0</v>
      </c>
      <c r="O202" s="393"/>
      <c r="P202" s="393"/>
      <c r="Q202" s="393"/>
      <c r="R202" s="393"/>
      <c r="S202" s="393"/>
      <c r="T202" s="393"/>
      <c r="U202" s="393"/>
      <c r="V202" s="132">
        <f t="shared" ref="V202:V204" si="98">SUM(X202:AA202)</f>
        <v>0</v>
      </c>
      <c r="W202" s="133" t="str">
        <f t="shared" ref="W202:W204" si="99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390" t="s">
        <v>206</v>
      </c>
      <c r="C203" s="126" t="s">
        <v>203</v>
      </c>
      <c r="D203" s="108">
        <v>5.03</v>
      </c>
      <c r="E203" s="108"/>
      <c r="F203" s="127"/>
      <c r="G203" s="128"/>
      <c r="H203" s="39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393"/>
      <c r="P203" s="393"/>
      <c r="Q203" s="393"/>
      <c r="R203" s="393"/>
      <c r="S203" s="393"/>
      <c r="T203" s="393"/>
      <c r="U203" s="39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390" t="s">
        <v>206</v>
      </c>
      <c r="C204" s="126" t="s">
        <v>207</v>
      </c>
      <c r="D204" s="108">
        <v>5.03</v>
      </c>
      <c r="E204" s="108"/>
      <c r="F204" s="127"/>
      <c r="G204" s="128"/>
      <c r="H204" s="398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393"/>
      <c r="P204" s="393"/>
      <c r="Q204" s="393"/>
      <c r="R204" s="393"/>
      <c r="S204" s="393"/>
      <c r="T204" s="393"/>
      <c r="U204" s="393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390" t="s">
        <v>414</v>
      </c>
      <c r="C205" s="187" t="s">
        <v>415</v>
      </c>
      <c r="D205" s="108">
        <v>5.03</v>
      </c>
      <c r="E205" s="108"/>
      <c r="F205" s="127"/>
      <c r="G205" s="128"/>
      <c r="H205" s="39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3"/>
      <c r="P205" s="393"/>
      <c r="Q205" s="393"/>
      <c r="R205" s="393"/>
      <c r="S205" s="393"/>
      <c r="T205" s="393"/>
      <c r="U205" s="39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390" t="s">
        <v>414</v>
      </c>
      <c r="C206" s="187" t="s">
        <v>416</v>
      </c>
      <c r="D206" s="108">
        <v>5.03</v>
      </c>
      <c r="E206" s="108"/>
      <c r="F206" s="127"/>
      <c r="G206" s="128"/>
      <c r="H206" s="39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3"/>
      <c r="P206" s="393"/>
      <c r="Q206" s="393"/>
      <c r="R206" s="393"/>
      <c r="S206" s="393"/>
      <c r="T206" s="393"/>
      <c r="U206" s="39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390" t="s">
        <v>414</v>
      </c>
      <c r="C207" s="187" t="s">
        <v>61</v>
      </c>
      <c r="D207" s="108">
        <v>5.03</v>
      </c>
      <c r="E207" s="108"/>
      <c r="F207" s="127"/>
      <c r="G207" s="128"/>
      <c r="H207" s="39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393"/>
      <c r="P207" s="393"/>
      <c r="Q207" s="393"/>
      <c r="R207" s="393"/>
      <c r="S207" s="393"/>
      <c r="T207" s="393"/>
      <c r="U207" s="39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390" t="s">
        <v>208</v>
      </c>
      <c r="C208" s="126" t="s">
        <v>179</v>
      </c>
      <c r="D208" s="108">
        <v>5.08</v>
      </c>
      <c r="E208" s="108"/>
      <c r="F208" s="127"/>
      <c r="G208" s="128"/>
      <c r="H208" s="39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393"/>
      <c r="P208" s="393"/>
      <c r="Q208" s="393"/>
      <c r="R208" s="393"/>
      <c r="S208" s="393"/>
      <c r="T208" s="393"/>
      <c r="U208" s="39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390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f>108*5+36</f>
        <v>576</v>
      </c>
      <c r="H209" s="398">
        <f t="shared" si="91"/>
        <v>2926.08</v>
      </c>
      <c r="I209" s="129">
        <f>11*4</f>
        <v>44</v>
      </c>
      <c r="J209" s="130">
        <f t="array" ref="J209">IF(ISERROR(G209/I209),"",G209/I209)</f>
        <v>13.090909090909092</v>
      </c>
      <c r="K209" s="131">
        <f t="array" ref="K209">IF(ISERROR(G209/L209),"",G209/L209)</f>
        <v>27.428571428571427</v>
      </c>
      <c r="L209" s="129">
        <v>21</v>
      </c>
      <c r="M209" s="109">
        <f t="shared" si="101"/>
        <v>16.571428571428573</v>
      </c>
      <c r="N209" s="130">
        <f t="shared" si="102"/>
        <v>0</v>
      </c>
      <c r="O209" s="393"/>
      <c r="P209" s="393"/>
      <c r="Q209" s="393"/>
      <c r="R209" s="393"/>
      <c r="S209" s="393"/>
      <c r="T209" s="393"/>
      <c r="U209" s="393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390" t="s">
        <v>208</v>
      </c>
      <c r="C210" s="126" t="s">
        <v>205</v>
      </c>
      <c r="D210" s="108">
        <v>5.08</v>
      </c>
      <c r="E210" s="108"/>
      <c r="F210" s="127"/>
      <c r="G210" s="128"/>
      <c r="H210" s="39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3"/>
      <c r="P210" s="393"/>
      <c r="Q210" s="393"/>
      <c r="R210" s="393"/>
      <c r="S210" s="393"/>
      <c r="T210" s="393"/>
      <c r="U210" s="39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390" t="s">
        <v>208</v>
      </c>
      <c r="C211" s="126" t="s">
        <v>186</v>
      </c>
      <c r="D211" s="108">
        <v>5.08</v>
      </c>
      <c r="E211" s="108"/>
      <c r="F211" s="127"/>
      <c r="G211" s="128"/>
      <c r="H211" s="39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3"/>
      <c r="P211" s="393"/>
      <c r="Q211" s="393"/>
      <c r="R211" s="393"/>
      <c r="S211" s="393"/>
      <c r="T211" s="393"/>
      <c r="U211" s="39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390" t="s">
        <v>208</v>
      </c>
      <c r="C212" s="126" t="s">
        <v>203</v>
      </c>
      <c r="D212" s="108">
        <v>5.08</v>
      </c>
      <c r="E212" s="108"/>
      <c r="F212" s="127"/>
      <c r="G212" s="128"/>
      <c r="H212" s="39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93"/>
      <c r="P212" s="393"/>
      <c r="Q212" s="393"/>
      <c r="R212" s="393"/>
      <c r="S212" s="393"/>
      <c r="T212" s="393"/>
      <c r="U212" s="39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390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38+95</f>
        <v>133</v>
      </c>
      <c r="H213" s="398">
        <f t="shared" si="91"/>
        <v>675.64</v>
      </c>
      <c r="I213" s="129">
        <f>11*4</f>
        <v>44</v>
      </c>
      <c r="J213" s="130">
        <f t="array" ref="J213">IF(ISERROR(G213/I213),"",G213/I213)</f>
        <v>3.0227272727272729</v>
      </c>
      <c r="K213" s="131">
        <f t="array" ref="K213">IF(ISERROR(G213/L213),"",G213/L213)</f>
        <v>6.333333333333333</v>
      </c>
      <c r="L213" s="129">
        <v>21</v>
      </c>
      <c r="M213" s="109">
        <f t="shared" si="101"/>
        <v>37.666666666666664</v>
      </c>
      <c r="N213" s="130">
        <f t="shared" si="102"/>
        <v>0</v>
      </c>
      <c r="O213" s="389"/>
      <c r="P213" s="389"/>
      <c r="Q213" s="389"/>
      <c r="R213" s="389"/>
      <c r="S213" s="389"/>
      <c r="T213" s="389"/>
      <c r="U213" s="38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390" t="s">
        <v>208</v>
      </c>
      <c r="C214" s="126" t="s">
        <v>187</v>
      </c>
      <c r="D214" s="108">
        <v>5.08</v>
      </c>
      <c r="E214" s="108"/>
      <c r="F214" s="127"/>
      <c r="G214" s="128"/>
      <c r="H214" s="39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93"/>
      <c r="P214" s="393"/>
      <c r="Q214" s="393"/>
      <c r="R214" s="393"/>
      <c r="S214" s="393"/>
      <c r="T214" s="393"/>
      <c r="U214" s="39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390" t="s">
        <v>208</v>
      </c>
      <c r="C215" s="126" t="s">
        <v>207</v>
      </c>
      <c r="D215" s="108">
        <v>5.08</v>
      </c>
      <c r="E215" s="108"/>
      <c r="F215" s="127"/>
      <c r="G215" s="128"/>
      <c r="H215" s="398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1"/>
        <v>0</v>
      </c>
      <c r="N215" s="130">
        <f t="shared" si="102"/>
        <v>0</v>
      </c>
      <c r="O215" s="389"/>
      <c r="P215" s="389"/>
      <c r="Q215" s="389"/>
      <c r="R215" s="389"/>
      <c r="S215" s="389"/>
      <c r="T215" s="389"/>
      <c r="U215" s="38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390" t="s">
        <v>209</v>
      </c>
      <c r="C216" s="126" t="s">
        <v>194</v>
      </c>
      <c r="D216" s="108">
        <v>5.03</v>
      </c>
      <c r="E216" s="108"/>
      <c r="F216" s="127"/>
      <c r="G216" s="128"/>
      <c r="H216" s="39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3"/>
      <c r="P216" s="393"/>
      <c r="Q216" s="393"/>
      <c r="R216" s="393"/>
      <c r="S216" s="393"/>
      <c r="T216" s="393"/>
      <c r="U216" s="39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390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f>21+108+24+108</f>
        <v>261</v>
      </c>
      <c r="H217" s="398">
        <f t="shared" si="91"/>
        <v>1312.8300000000002</v>
      </c>
      <c r="I217" s="129">
        <f>2.5*2</f>
        <v>5</v>
      </c>
      <c r="J217" s="130">
        <f t="array" ref="J217">IF(ISERROR(G217/I217),"",G217/I217)</f>
        <v>52.2</v>
      </c>
      <c r="K217" s="131">
        <f t="array" ref="K217">IF(ISERROR(G217/L217),"",G217/L217)</f>
        <v>4.6607142857142856</v>
      </c>
      <c r="L217" s="129">
        <v>56</v>
      </c>
      <c r="M217" s="109">
        <f t="shared" si="101"/>
        <v>0.33928571428571441</v>
      </c>
      <c r="N217" s="130">
        <f t="shared" si="102"/>
        <v>0</v>
      </c>
      <c r="O217" s="393"/>
      <c r="P217" s="393"/>
      <c r="Q217" s="393"/>
      <c r="R217" s="393"/>
      <c r="S217" s="393"/>
      <c r="T217" s="393"/>
      <c r="U217" s="393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390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108*8</f>
        <v>864</v>
      </c>
      <c r="H218" s="398">
        <f t="shared" si="91"/>
        <v>4345.92</v>
      </c>
      <c r="I218" s="129">
        <f>9*2</f>
        <v>18</v>
      </c>
      <c r="J218" s="130">
        <f t="array" ref="J218">IF(ISERROR(G218/I218),"",G218/I218)</f>
        <v>48</v>
      </c>
      <c r="K218" s="131">
        <f t="array" ref="K218">IF(ISERROR(G218/L218),"",G218/L218)</f>
        <v>15.428571428571429</v>
      </c>
      <c r="L218" s="129">
        <v>56</v>
      </c>
      <c r="M218" s="109">
        <f t="shared" si="101"/>
        <v>2.5714285714285712</v>
      </c>
      <c r="N218" s="130">
        <f t="shared" si="102"/>
        <v>0</v>
      </c>
      <c r="O218" s="393"/>
      <c r="P218" s="393"/>
      <c r="Q218" s="393"/>
      <c r="R218" s="393"/>
      <c r="S218" s="393"/>
      <c r="T218" s="393"/>
      <c r="U218" s="393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390" t="s">
        <v>209</v>
      </c>
      <c r="C219" s="126" t="s">
        <v>204</v>
      </c>
      <c r="D219" s="108">
        <v>5.03</v>
      </c>
      <c r="E219" s="108"/>
      <c r="F219" s="127"/>
      <c r="G219" s="128"/>
      <c r="H219" s="39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393"/>
      <c r="P219" s="393"/>
      <c r="Q219" s="393"/>
      <c r="R219" s="393"/>
      <c r="S219" s="393"/>
      <c r="T219" s="393"/>
      <c r="U219" s="39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390" t="s">
        <v>382</v>
      </c>
      <c r="C220" s="187" t="s">
        <v>383</v>
      </c>
      <c r="D220" s="108">
        <v>5.03</v>
      </c>
      <c r="E220" s="108"/>
      <c r="F220" s="127"/>
      <c r="G220" s="128"/>
      <c r="H220" s="39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3"/>
      <c r="P220" s="393"/>
      <c r="Q220" s="393"/>
      <c r="R220" s="393"/>
      <c r="S220" s="393"/>
      <c r="T220" s="393"/>
      <c r="U220" s="39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390" t="s">
        <v>382</v>
      </c>
      <c r="C221" s="187" t="s">
        <v>384</v>
      </c>
      <c r="D221" s="108">
        <v>5.03</v>
      </c>
      <c r="E221" s="108"/>
      <c r="F221" s="127"/>
      <c r="G221" s="128"/>
      <c r="H221" s="39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3"/>
      <c r="P221" s="393"/>
      <c r="Q221" s="393"/>
      <c r="R221" s="393"/>
      <c r="S221" s="393"/>
      <c r="T221" s="393"/>
      <c r="U221" s="39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390" t="s">
        <v>382</v>
      </c>
      <c r="C222" s="187" t="s">
        <v>389</v>
      </c>
      <c r="D222" s="108">
        <v>5.03</v>
      </c>
      <c r="E222" s="108"/>
      <c r="F222" s="127"/>
      <c r="G222" s="128"/>
      <c r="H222" s="39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3"/>
      <c r="P222" s="393"/>
      <c r="Q222" s="393"/>
      <c r="R222" s="393"/>
      <c r="S222" s="393"/>
      <c r="T222" s="393"/>
      <c r="U222" s="39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390" t="s">
        <v>382</v>
      </c>
      <c r="C223" s="187" t="s">
        <v>391</v>
      </c>
      <c r="D223" s="108">
        <v>5.03</v>
      </c>
      <c r="E223" s="108"/>
      <c r="F223" s="127"/>
      <c r="G223" s="128"/>
      <c r="H223" s="39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393"/>
      <c r="P223" s="393"/>
      <c r="Q223" s="393"/>
      <c r="R223" s="393"/>
      <c r="S223" s="393"/>
      <c r="T223" s="393"/>
      <c r="U223" s="39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390" t="s">
        <v>418</v>
      </c>
      <c r="C224" s="187" t="s">
        <v>364</v>
      </c>
      <c r="D224" s="108">
        <v>5.03</v>
      </c>
      <c r="E224" s="108"/>
      <c r="F224" s="127"/>
      <c r="G224" s="128"/>
      <c r="H224" s="39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3"/>
      <c r="P224" s="393"/>
      <c r="Q224" s="393"/>
      <c r="R224" s="393"/>
      <c r="S224" s="393"/>
      <c r="T224" s="393"/>
      <c r="U224" s="39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390" t="s">
        <v>418</v>
      </c>
      <c r="C225" s="187" t="s">
        <v>365</v>
      </c>
      <c r="D225" s="108">
        <v>5.03</v>
      </c>
      <c r="E225" s="108"/>
      <c r="F225" s="127"/>
      <c r="G225" s="128"/>
      <c r="H225" s="39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3"/>
      <c r="P225" s="393"/>
      <c r="Q225" s="393"/>
      <c r="R225" s="393"/>
      <c r="S225" s="393"/>
      <c r="T225" s="393"/>
      <c r="U225" s="39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390" t="s">
        <v>418</v>
      </c>
      <c r="C226" s="187" t="s">
        <v>366</v>
      </c>
      <c r="D226" s="108">
        <v>5.03</v>
      </c>
      <c r="E226" s="108"/>
      <c r="F226" s="127"/>
      <c r="G226" s="128"/>
      <c r="H226" s="39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3"/>
      <c r="P226" s="393"/>
      <c r="Q226" s="393"/>
      <c r="R226" s="393"/>
      <c r="S226" s="393"/>
      <c r="T226" s="393"/>
      <c r="U226" s="39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390" t="s">
        <v>418</v>
      </c>
      <c r="C227" s="187" t="s">
        <v>367</v>
      </c>
      <c r="D227" s="108">
        <v>5.03</v>
      </c>
      <c r="E227" s="108"/>
      <c r="F227" s="127"/>
      <c r="G227" s="128"/>
      <c r="H227" s="39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393"/>
      <c r="P227" s="393"/>
      <c r="Q227" s="393"/>
      <c r="R227" s="393"/>
      <c r="S227" s="393"/>
      <c r="T227" s="393"/>
      <c r="U227" s="39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39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9"/>
      <c r="P228" s="389"/>
      <c r="Q228" s="389"/>
      <c r="R228" s="389"/>
      <c r="S228" s="389"/>
      <c r="T228" s="389"/>
      <c r="U228" s="38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39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9"/>
      <c r="P229" s="389"/>
      <c r="Q229" s="389"/>
      <c r="R229" s="389"/>
      <c r="S229" s="389"/>
      <c r="T229" s="389"/>
      <c r="U229" s="38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39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389"/>
      <c r="P230" s="389"/>
      <c r="Q230" s="389"/>
      <c r="R230" s="389"/>
      <c r="S230" s="389"/>
      <c r="T230" s="389"/>
      <c r="U230" s="38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39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9"/>
      <c r="P231" s="389"/>
      <c r="Q231" s="389"/>
      <c r="R231" s="389"/>
      <c r="S231" s="389"/>
      <c r="T231" s="389"/>
      <c r="U231" s="38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39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9"/>
      <c r="P232" s="389"/>
      <c r="Q232" s="389"/>
      <c r="R232" s="389"/>
      <c r="S232" s="389"/>
      <c r="T232" s="389"/>
      <c r="U232" s="38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39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9"/>
      <c r="P233" s="389"/>
      <c r="Q233" s="389"/>
      <c r="R233" s="389"/>
      <c r="S233" s="389"/>
      <c r="T233" s="389"/>
      <c r="U233" s="38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39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9"/>
      <c r="P234" s="389"/>
      <c r="Q234" s="389"/>
      <c r="R234" s="389"/>
      <c r="S234" s="389"/>
      <c r="T234" s="389"/>
      <c r="U234" s="38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39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9"/>
      <c r="P235" s="389"/>
      <c r="Q235" s="389"/>
      <c r="R235" s="389"/>
      <c r="S235" s="389"/>
      <c r="T235" s="389"/>
      <c r="U235" s="38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39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9"/>
      <c r="P236" s="389"/>
      <c r="Q236" s="389"/>
      <c r="R236" s="389"/>
      <c r="S236" s="389"/>
      <c r="T236" s="389"/>
      <c r="U236" s="38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39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389"/>
      <c r="P237" s="389"/>
      <c r="Q237" s="389"/>
      <c r="R237" s="389"/>
      <c r="S237" s="389"/>
      <c r="T237" s="389"/>
      <c r="U237" s="38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39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389"/>
      <c r="P238" s="389"/>
      <c r="Q238" s="389"/>
      <c r="R238" s="389"/>
      <c r="S238" s="389"/>
      <c r="T238" s="389"/>
      <c r="U238" s="38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39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389"/>
      <c r="P239" s="389"/>
      <c r="Q239" s="389"/>
      <c r="R239" s="389"/>
      <c r="S239" s="389"/>
      <c r="T239" s="389"/>
      <c r="U239" s="38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42736</v>
      </c>
      <c r="G240" s="128">
        <f>100*2+38+102</f>
        <v>340</v>
      </c>
      <c r="H240" s="398">
        <f t="shared" si="91"/>
        <v>1710.2</v>
      </c>
      <c r="I240" s="129">
        <f>4.5*5</f>
        <v>22.5</v>
      </c>
      <c r="J240" s="130">
        <f t="array" ref="J240">IF(ISERROR(G240/I240),"",G240/I240)</f>
        <v>15.111111111111111</v>
      </c>
      <c r="K240" s="131">
        <f t="array" ref="K240">IF(ISERROR(G240/L240),"",G240/L240)</f>
        <v>15.813953488372093</v>
      </c>
      <c r="L240" s="129">
        <v>21.5</v>
      </c>
      <c r="M240" s="109">
        <f t="shared" si="107"/>
        <v>6.6860465116279073</v>
      </c>
      <c r="N240" s="130">
        <f t="shared" ref="N240:N241" si="108">SUM(O240:U240)</f>
        <v>0</v>
      </c>
      <c r="O240" s="389"/>
      <c r="P240" s="389"/>
      <c r="Q240" s="389"/>
      <c r="R240" s="389"/>
      <c r="S240" s="389"/>
      <c r="T240" s="389"/>
      <c r="U240" s="38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39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389"/>
      <c r="P241" s="389"/>
      <c r="Q241" s="389"/>
      <c r="R241" s="389"/>
      <c r="S241" s="389"/>
      <c r="T241" s="389"/>
      <c r="U241" s="38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39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389"/>
      <c r="P242" s="389"/>
      <c r="Q242" s="389"/>
      <c r="R242" s="389"/>
      <c r="S242" s="389"/>
      <c r="T242" s="389"/>
      <c r="U242" s="38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39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389"/>
      <c r="P243" s="389"/>
      <c r="Q243" s="389"/>
      <c r="R243" s="389"/>
      <c r="S243" s="389"/>
      <c r="T243" s="389"/>
      <c r="U243" s="38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39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9"/>
      <c r="P244" s="389"/>
      <c r="Q244" s="389"/>
      <c r="R244" s="389"/>
      <c r="S244" s="389"/>
      <c r="T244" s="389"/>
      <c r="U244" s="38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39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9"/>
      <c r="P245" s="389"/>
      <c r="Q245" s="389"/>
      <c r="R245" s="389"/>
      <c r="S245" s="389"/>
      <c r="T245" s="389"/>
      <c r="U245" s="38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39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389"/>
      <c r="P246" s="389"/>
      <c r="Q246" s="389"/>
      <c r="R246" s="389"/>
      <c r="S246" s="389"/>
      <c r="T246" s="389"/>
      <c r="U246" s="38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39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9"/>
      <c r="P247" s="389"/>
      <c r="Q247" s="389"/>
      <c r="R247" s="389"/>
      <c r="S247" s="389"/>
      <c r="T247" s="389"/>
      <c r="U247" s="38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39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9"/>
      <c r="P248" s="389"/>
      <c r="Q248" s="389"/>
      <c r="R248" s="389"/>
      <c r="S248" s="389"/>
      <c r="T248" s="389"/>
      <c r="U248" s="38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39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9"/>
      <c r="P249" s="389"/>
      <c r="Q249" s="389"/>
      <c r="R249" s="389"/>
      <c r="S249" s="389"/>
      <c r="T249" s="389"/>
      <c r="U249" s="38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39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389"/>
      <c r="P250" s="389"/>
      <c r="Q250" s="389"/>
      <c r="R250" s="389"/>
      <c r="S250" s="389"/>
      <c r="T250" s="389"/>
      <c r="U250" s="38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39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9"/>
      <c r="P251" s="389"/>
      <c r="Q251" s="389"/>
      <c r="R251" s="389"/>
      <c r="S251" s="389"/>
      <c r="T251" s="389"/>
      <c r="U251" s="38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39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9"/>
      <c r="P252" s="389"/>
      <c r="Q252" s="389"/>
      <c r="R252" s="389"/>
      <c r="S252" s="389"/>
      <c r="T252" s="389"/>
      <c r="U252" s="38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39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9"/>
      <c r="P253" s="389"/>
      <c r="Q253" s="389"/>
      <c r="R253" s="389"/>
      <c r="S253" s="389"/>
      <c r="T253" s="389"/>
      <c r="U253" s="38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39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9"/>
      <c r="P254" s="389"/>
      <c r="Q254" s="389"/>
      <c r="R254" s="389"/>
      <c r="S254" s="389"/>
      <c r="T254" s="389"/>
      <c r="U254" s="38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39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9"/>
      <c r="P255" s="389"/>
      <c r="Q255" s="389"/>
      <c r="R255" s="389"/>
      <c r="S255" s="389"/>
      <c r="T255" s="389"/>
      <c r="U255" s="38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39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389"/>
      <c r="P256" s="389"/>
      <c r="Q256" s="389"/>
      <c r="R256" s="389"/>
      <c r="S256" s="389"/>
      <c r="T256" s="389"/>
      <c r="U256" s="38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396" t="s">
        <v>202</v>
      </c>
      <c r="D257" s="143"/>
      <c r="E257" s="143"/>
      <c r="F257" s="144"/>
      <c r="G257" s="145">
        <f>SUM(G200:G256)</f>
        <v>2174</v>
      </c>
      <c r="H257" s="146">
        <f>SUM(H200:H256)</f>
        <v>10970.670000000002</v>
      </c>
      <c r="I257" s="146">
        <f>SUM(I200:I256)</f>
        <v>133.5</v>
      </c>
      <c r="J257" s="130">
        <f t="array" ref="J257">IF(ISERROR(G257/I257),"",G257/I257)</f>
        <v>16.284644194756556</v>
      </c>
      <c r="K257" s="146">
        <f>SUM(K200:K256)</f>
        <v>69.66514396456256</v>
      </c>
      <c r="L257" s="147"/>
      <c r="M257" s="150">
        <f t="shared" ref="M257:V257" si="114">SUM(M200:M256)</f>
        <v>63.834856035437433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390" t="s">
        <v>217</v>
      </c>
      <c r="C258" s="126" t="s">
        <v>179</v>
      </c>
      <c r="D258" s="108">
        <v>5.03</v>
      </c>
      <c r="E258" s="108"/>
      <c r="F258" s="127"/>
      <c r="G258" s="128"/>
      <c r="H258" s="39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389"/>
      <c r="P258" s="389"/>
      <c r="Q258" s="389"/>
      <c r="R258" s="389"/>
      <c r="S258" s="389"/>
      <c r="T258" s="389"/>
      <c r="U258" s="38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390" t="s">
        <v>217</v>
      </c>
      <c r="C259" s="126" t="s">
        <v>186</v>
      </c>
      <c r="D259" s="108">
        <v>5.03</v>
      </c>
      <c r="E259" s="108"/>
      <c r="F259" s="127"/>
      <c r="G259" s="128"/>
      <c r="H259" s="39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9"/>
      <c r="P259" s="389"/>
      <c r="Q259" s="389"/>
      <c r="R259" s="389"/>
      <c r="S259" s="389"/>
      <c r="T259" s="389"/>
      <c r="U259" s="38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390" t="s">
        <v>217</v>
      </c>
      <c r="C260" s="126" t="s">
        <v>204</v>
      </c>
      <c r="D260" s="108">
        <v>5.03</v>
      </c>
      <c r="E260" s="108"/>
      <c r="F260" s="127"/>
      <c r="G260" s="128"/>
      <c r="H260" s="398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389"/>
      <c r="P260" s="389"/>
      <c r="Q260" s="389"/>
      <c r="R260" s="389"/>
      <c r="S260" s="389"/>
      <c r="T260" s="389"/>
      <c r="U260" s="38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39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9"/>
      <c r="P261" s="389"/>
      <c r="Q261" s="389"/>
      <c r="R261" s="389"/>
      <c r="S261" s="389"/>
      <c r="T261" s="389"/>
      <c r="U261" s="38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39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9"/>
      <c r="P262" s="389"/>
      <c r="Q262" s="389"/>
      <c r="R262" s="389"/>
      <c r="S262" s="389"/>
      <c r="T262" s="389"/>
      <c r="U262" s="38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>
        <v>42736</v>
      </c>
      <c r="G263" s="128">
        <v>38</v>
      </c>
      <c r="H263" s="398">
        <f t="shared" si="116"/>
        <v>191.14000000000001</v>
      </c>
      <c r="I263" s="129">
        <v>5</v>
      </c>
      <c r="J263" s="130">
        <f t="array" ref="J263">IF(ISERROR(G263/I263),"",G263/I263)</f>
        <v>7.6</v>
      </c>
      <c r="K263" s="131">
        <f t="array" ref="K263">IF(ISERROR(G263/L263),"",G263/L263)</f>
        <v>4.086021505376344</v>
      </c>
      <c r="L263" s="129">
        <v>9.3000000000000007</v>
      </c>
      <c r="M263" s="109">
        <f t="shared" si="117"/>
        <v>0.91397849462365599</v>
      </c>
      <c r="N263" s="130">
        <f t="shared" si="118"/>
        <v>0</v>
      </c>
      <c r="O263" s="389"/>
      <c r="P263" s="389"/>
      <c r="Q263" s="389"/>
      <c r="R263" s="389"/>
      <c r="S263" s="389"/>
      <c r="T263" s="389"/>
      <c r="U263" s="38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39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9"/>
      <c r="P264" s="389"/>
      <c r="Q264" s="389"/>
      <c r="R264" s="389"/>
      <c r="S264" s="389"/>
      <c r="T264" s="389"/>
      <c r="U264" s="38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>
        <v>42737</v>
      </c>
      <c r="G265" s="128">
        <v>96</v>
      </c>
      <c r="H265" s="398">
        <f t="shared" si="116"/>
        <v>482.88</v>
      </c>
      <c r="I265" s="129">
        <v>11</v>
      </c>
      <c r="J265" s="130">
        <f t="array" ref="J265">IF(ISERROR(G265/I265),"",G265/I265)</f>
        <v>8.7272727272727266</v>
      </c>
      <c r="K265" s="131">
        <f t="array" ref="K265">IF(ISERROR(G265/L265),"",G265/L265)</f>
        <v>10.32258064516129</v>
      </c>
      <c r="L265" s="129">
        <v>9.3000000000000007</v>
      </c>
      <c r="M265" s="109">
        <f t="shared" si="117"/>
        <v>0.67741935483870996</v>
      </c>
      <c r="N265" s="130">
        <f t="shared" si="118"/>
        <v>0</v>
      </c>
      <c r="O265" s="389"/>
      <c r="P265" s="389"/>
      <c r="Q265" s="389"/>
      <c r="R265" s="389"/>
      <c r="S265" s="389"/>
      <c r="T265" s="389"/>
      <c r="U265" s="38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39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9"/>
      <c r="P266" s="389"/>
      <c r="Q266" s="389"/>
      <c r="R266" s="389"/>
      <c r="S266" s="389"/>
      <c r="T266" s="389"/>
      <c r="U266" s="38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39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9"/>
      <c r="P267" s="389"/>
      <c r="Q267" s="389"/>
      <c r="R267" s="389"/>
      <c r="S267" s="389"/>
      <c r="T267" s="389"/>
      <c r="U267" s="38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39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9"/>
      <c r="P268" s="389"/>
      <c r="Q268" s="389"/>
      <c r="R268" s="389"/>
      <c r="S268" s="389"/>
      <c r="T268" s="389"/>
      <c r="U268" s="38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39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389"/>
      <c r="P269" s="389"/>
      <c r="Q269" s="389"/>
      <c r="R269" s="389"/>
      <c r="S269" s="389"/>
      <c r="T269" s="389"/>
      <c r="U269" s="38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39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389"/>
      <c r="P270" s="389"/>
      <c r="Q270" s="389"/>
      <c r="R270" s="389"/>
      <c r="S270" s="389"/>
      <c r="T270" s="389"/>
      <c r="U270" s="38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39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9"/>
      <c r="P271" s="389"/>
      <c r="Q271" s="389"/>
      <c r="R271" s="389"/>
      <c r="S271" s="389"/>
      <c r="T271" s="389"/>
      <c r="U271" s="38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39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9"/>
      <c r="P272" s="389"/>
      <c r="Q272" s="389"/>
      <c r="R272" s="389"/>
      <c r="S272" s="389"/>
      <c r="T272" s="389"/>
      <c r="U272" s="38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39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389"/>
      <c r="P273" s="389"/>
      <c r="Q273" s="389"/>
      <c r="R273" s="389"/>
      <c r="S273" s="389"/>
      <c r="T273" s="389"/>
      <c r="U273" s="38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390" t="s">
        <v>222</v>
      </c>
      <c r="C274" s="126" t="s">
        <v>181</v>
      </c>
      <c r="D274" s="108">
        <v>9.36</v>
      </c>
      <c r="E274" s="108"/>
      <c r="F274" s="127"/>
      <c r="G274" s="128"/>
      <c r="H274" s="39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9"/>
      <c r="P274" s="389"/>
      <c r="Q274" s="389"/>
      <c r="R274" s="389"/>
      <c r="S274" s="389"/>
      <c r="T274" s="389"/>
      <c r="U274" s="38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390" t="s">
        <v>222</v>
      </c>
      <c r="C275" s="126" t="s">
        <v>179</v>
      </c>
      <c r="D275" s="108">
        <v>9.36</v>
      </c>
      <c r="E275" s="108"/>
      <c r="F275" s="127"/>
      <c r="G275" s="128"/>
      <c r="H275" s="39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9"/>
      <c r="P275" s="389"/>
      <c r="Q275" s="389"/>
      <c r="R275" s="389"/>
      <c r="S275" s="389"/>
      <c r="T275" s="389"/>
      <c r="U275" s="38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390" t="s">
        <v>222</v>
      </c>
      <c r="C276" s="126" t="s">
        <v>221</v>
      </c>
      <c r="D276" s="108">
        <v>9.36</v>
      </c>
      <c r="E276" s="108"/>
      <c r="F276" s="127"/>
      <c r="G276" s="128"/>
      <c r="H276" s="39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9"/>
      <c r="P276" s="389"/>
      <c r="Q276" s="389"/>
      <c r="R276" s="389"/>
      <c r="S276" s="389"/>
      <c r="T276" s="389"/>
      <c r="U276" s="38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390" t="s">
        <v>222</v>
      </c>
      <c r="C277" s="126" t="s">
        <v>186</v>
      </c>
      <c r="D277" s="108">
        <v>9.36</v>
      </c>
      <c r="E277" s="108"/>
      <c r="F277" s="127"/>
      <c r="G277" s="128"/>
      <c r="H277" s="39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389"/>
      <c r="P277" s="389"/>
      <c r="Q277" s="389"/>
      <c r="R277" s="389"/>
      <c r="S277" s="389"/>
      <c r="T277" s="389"/>
      <c r="U277" s="38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390" t="s">
        <v>393</v>
      </c>
      <c r="C278" s="187" t="s">
        <v>395</v>
      </c>
      <c r="D278" s="108">
        <v>5</v>
      </c>
      <c r="E278" s="108"/>
      <c r="F278" s="127"/>
      <c r="G278" s="128"/>
      <c r="H278" s="398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9"/>
      <c r="P278" s="389"/>
      <c r="Q278" s="389"/>
      <c r="R278" s="389"/>
      <c r="S278" s="389"/>
      <c r="T278" s="389"/>
      <c r="U278" s="38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390" t="s">
        <v>393</v>
      </c>
      <c r="C279" s="187" t="s">
        <v>402</v>
      </c>
      <c r="D279" s="108">
        <v>5</v>
      </c>
      <c r="E279" s="108"/>
      <c r="F279" s="127"/>
      <c r="G279" s="128"/>
      <c r="H279" s="398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9"/>
      <c r="P279" s="389"/>
      <c r="Q279" s="389"/>
      <c r="R279" s="389"/>
      <c r="S279" s="389"/>
      <c r="T279" s="389"/>
      <c r="U279" s="38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390" t="s">
        <v>404</v>
      </c>
      <c r="C280" s="187" t="s">
        <v>405</v>
      </c>
      <c r="D280" s="108">
        <v>5</v>
      </c>
      <c r="E280" s="108"/>
      <c r="F280" s="127"/>
      <c r="G280" s="128"/>
      <c r="H280" s="398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9"/>
      <c r="P280" s="389"/>
      <c r="Q280" s="389"/>
      <c r="R280" s="389"/>
      <c r="S280" s="389"/>
      <c r="T280" s="389"/>
      <c r="U280" s="38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390" t="s">
        <v>342</v>
      </c>
      <c r="C281" s="187" t="s">
        <v>372</v>
      </c>
      <c r="D281" s="108">
        <v>5</v>
      </c>
      <c r="E281" s="108"/>
      <c r="F281" s="127"/>
      <c r="G281" s="128"/>
      <c r="H281" s="398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9"/>
      <c r="P281" s="389"/>
      <c r="Q281" s="389"/>
      <c r="R281" s="389"/>
      <c r="S281" s="389"/>
      <c r="T281" s="389"/>
      <c r="U281" s="38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390" t="s">
        <v>343</v>
      </c>
      <c r="C282" s="126" t="s">
        <v>345</v>
      </c>
      <c r="D282" s="108">
        <v>5</v>
      </c>
      <c r="E282" s="108"/>
      <c r="F282" s="127"/>
      <c r="G282" s="128"/>
      <c r="H282" s="398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9"/>
      <c r="P282" s="389"/>
      <c r="Q282" s="389"/>
      <c r="R282" s="389"/>
      <c r="S282" s="389"/>
      <c r="T282" s="389"/>
      <c r="U282" s="38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390" t="s">
        <v>343</v>
      </c>
      <c r="C283" s="126" t="s">
        <v>347</v>
      </c>
      <c r="D283" s="108">
        <v>5</v>
      </c>
      <c r="E283" s="108"/>
      <c r="F283" s="127"/>
      <c r="G283" s="128"/>
      <c r="H283" s="398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389"/>
      <c r="P283" s="389"/>
      <c r="Q283" s="389"/>
      <c r="R283" s="389"/>
      <c r="S283" s="389"/>
      <c r="T283" s="389"/>
      <c r="U283" s="389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398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9"/>
      <c r="P284" s="389"/>
      <c r="Q284" s="389"/>
      <c r="R284" s="389"/>
      <c r="S284" s="389"/>
      <c r="T284" s="389"/>
      <c r="U284" s="389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39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389"/>
      <c r="P285" s="389"/>
      <c r="Q285" s="389"/>
      <c r="R285" s="389"/>
      <c r="S285" s="389"/>
      <c r="T285" s="389"/>
      <c r="U285" s="38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398">
        <f t="shared" si="116"/>
        <v>0</v>
      </c>
      <c r="I286" s="129"/>
      <c r="J286" s="130" t="str">
        <f t="array" ref="J286">IF(ISERROR(G286/I286),"",G286/I286)</f>
        <v/>
      </c>
      <c r="K286" s="131"/>
      <c r="L286" s="129">
        <v>24</v>
      </c>
      <c r="M286" s="109"/>
      <c r="N286" s="130"/>
      <c r="O286" s="389"/>
      <c r="P286" s="389"/>
      <c r="Q286" s="389"/>
      <c r="R286" s="389"/>
      <c r="S286" s="389"/>
      <c r="T286" s="389"/>
      <c r="U286" s="38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398">
        <f t="shared" si="116"/>
        <v>0</v>
      </c>
      <c r="I287" s="129"/>
      <c r="J287" s="130" t="str">
        <f t="array" ref="J287">IF(ISERROR(G287/I287),"",G287/I287)</f>
        <v/>
      </c>
      <c r="K287" s="131"/>
      <c r="L287" s="129">
        <v>24</v>
      </c>
      <c r="M287" s="109"/>
      <c r="N287" s="130"/>
      <c r="O287" s="389"/>
      <c r="P287" s="389"/>
      <c r="Q287" s="389"/>
      <c r="R287" s="389"/>
      <c r="S287" s="389"/>
      <c r="T287" s="389"/>
      <c r="U287" s="38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>
        <v>42736</v>
      </c>
      <c r="G288" s="128">
        <f>90+90+80</f>
        <v>260</v>
      </c>
      <c r="H288" s="398">
        <f t="shared" si="116"/>
        <v>1307.8</v>
      </c>
      <c r="I288" s="129">
        <f>8*6</f>
        <v>48</v>
      </c>
      <c r="J288" s="130">
        <f t="array" ref="J288">IF(ISERROR(G288/I288),"",G288/I288)</f>
        <v>5.416666666666667</v>
      </c>
      <c r="K288" s="131">
        <f t="array" ref="K288">IF(ISERROR(G288/L288),"",G288/L288)</f>
        <v>10.833333333333334</v>
      </c>
      <c r="L288" s="129">
        <v>24</v>
      </c>
      <c r="M288" s="109">
        <f t="shared" ref="M288" si="127">IF(ISERROR(I288-K288),"",I288-K288)</f>
        <v>37.166666666666664</v>
      </c>
      <c r="N288" s="130"/>
      <c r="O288" s="389"/>
      <c r="P288" s="389"/>
      <c r="Q288" s="389"/>
      <c r="R288" s="389"/>
      <c r="S288" s="389"/>
      <c r="T288" s="389"/>
      <c r="U288" s="389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398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389"/>
      <c r="P289" s="389"/>
      <c r="Q289" s="389"/>
      <c r="R289" s="389"/>
      <c r="S289" s="389"/>
      <c r="T289" s="389"/>
      <c r="U289" s="389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39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389"/>
      <c r="P290" s="389"/>
      <c r="Q290" s="389"/>
      <c r="R290" s="389"/>
      <c r="S290" s="389"/>
      <c r="T290" s="389"/>
      <c r="U290" s="389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398">
        <f t="shared" si="116"/>
        <v>0</v>
      </c>
      <c r="I291" s="129"/>
      <c r="J291" s="130" t="str">
        <f t="array" ref="J291">IF(ISERROR(G291/I291),"",G291/I291)</f>
        <v/>
      </c>
      <c r="K291" s="39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389"/>
      <c r="P291" s="389"/>
      <c r="Q291" s="389"/>
      <c r="R291" s="389"/>
      <c r="S291" s="389"/>
      <c r="T291" s="389"/>
      <c r="U291" s="389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396" t="s">
        <v>202</v>
      </c>
      <c r="D292" s="143"/>
      <c r="E292" s="143"/>
      <c r="F292" s="144"/>
      <c r="G292" s="145">
        <f>SUM(G258:G291)</f>
        <v>394</v>
      </c>
      <c r="H292" s="146">
        <f>SUM(H258:H291)</f>
        <v>1981.82</v>
      </c>
      <c r="I292" s="146">
        <f>SUM(I258:I291)</f>
        <v>64</v>
      </c>
      <c r="J292" s="130">
        <f t="array" ref="J292">IF(ISERROR(G292/I292),"",G292/I292)</f>
        <v>6.15625</v>
      </c>
      <c r="K292" s="146">
        <f>SUM(K258:K291)</f>
        <v>25.241935483870968</v>
      </c>
      <c r="L292" s="147"/>
      <c r="M292" s="150">
        <f t="shared" ref="M292:V292" si="132">SUM(M258:M291)</f>
        <v>38.758064516129032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39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389"/>
      <c r="P293" s="389"/>
      <c r="Q293" s="389"/>
      <c r="R293" s="389"/>
      <c r="S293" s="389"/>
      <c r="T293" s="389"/>
      <c r="U293" s="389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39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389"/>
      <c r="P294" s="389"/>
      <c r="Q294" s="389"/>
      <c r="R294" s="389"/>
      <c r="S294" s="389"/>
      <c r="T294" s="389"/>
      <c r="U294" s="389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42737</v>
      </c>
      <c r="G295" s="128">
        <v>88</v>
      </c>
      <c r="H295" s="398">
        <f t="shared" si="133"/>
        <v>443.52</v>
      </c>
      <c r="I295" s="129">
        <f>3*4</f>
        <v>12</v>
      </c>
      <c r="J295" s="130">
        <f t="array" ref="J295">IF(ISERROR(G295/I295),"",G295/I295)</f>
        <v>7.333333333333333</v>
      </c>
      <c r="K295" s="131">
        <f t="array" ref="K295">IF(ISERROR(G295/L295),"",G295/L295)</f>
        <v>4.4000000000000004</v>
      </c>
      <c r="L295" s="129">
        <v>20</v>
      </c>
      <c r="M295" s="109">
        <f t="shared" si="134"/>
        <v>7.6</v>
      </c>
      <c r="N295" s="130">
        <f t="shared" si="135"/>
        <v>0</v>
      </c>
      <c r="O295" s="389"/>
      <c r="P295" s="389"/>
      <c r="Q295" s="389"/>
      <c r="R295" s="389"/>
      <c r="S295" s="389"/>
      <c r="T295" s="389"/>
      <c r="U295" s="389"/>
      <c r="V295" s="132">
        <f t="shared" si="136"/>
        <v>0</v>
      </c>
      <c r="W295" s="133">
        <f t="shared" si="131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39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389"/>
      <c r="P296" s="389"/>
      <c r="Q296" s="389"/>
      <c r="R296" s="389"/>
      <c r="S296" s="389"/>
      <c r="T296" s="389"/>
      <c r="U296" s="389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394" t="s">
        <v>203</v>
      </c>
      <c r="D297" s="108">
        <v>5.03</v>
      </c>
      <c r="E297" s="108"/>
      <c r="F297" s="127"/>
      <c r="G297" s="128"/>
      <c r="H297" s="39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389"/>
      <c r="P297" s="389"/>
      <c r="Q297" s="389"/>
      <c r="R297" s="389"/>
      <c r="S297" s="389"/>
      <c r="T297" s="389"/>
      <c r="U297" s="389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39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389"/>
      <c r="P298" s="389"/>
      <c r="Q298" s="389"/>
      <c r="R298" s="389"/>
      <c r="S298" s="389"/>
      <c r="T298" s="389"/>
      <c r="U298" s="389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39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389"/>
      <c r="P299" s="389"/>
      <c r="Q299" s="389"/>
      <c r="R299" s="389"/>
      <c r="S299" s="389"/>
      <c r="T299" s="389"/>
      <c r="U299" s="389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394" t="s">
        <v>228</v>
      </c>
      <c r="D300" s="108">
        <v>5.03</v>
      </c>
      <c r="E300" s="108"/>
      <c r="F300" s="127"/>
      <c r="G300" s="128"/>
      <c r="H300" s="39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389"/>
      <c r="P300" s="389"/>
      <c r="Q300" s="389"/>
      <c r="R300" s="389"/>
      <c r="S300" s="389"/>
      <c r="T300" s="389"/>
      <c r="U300" s="389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394" t="s">
        <v>212</v>
      </c>
      <c r="D301" s="108">
        <v>5.03</v>
      </c>
      <c r="E301" s="108"/>
      <c r="F301" s="127"/>
      <c r="G301" s="128"/>
      <c r="H301" s="39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389"/>
      <c r="P301" s="389"/>
      <c r="Q301" s="389"/>
      <c r="R301" s="389"/>
      <c r="S301" s="389"/>
      <c r="T301" s="389"/>
      <c r="U301" s="389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394" t="s">
        <v>203</v>
      </c>
      <c r="D302" s="108">
        <v>5.03</v>
      </c>
      <c r="E302" s="108"/>
      <c r="F302" s="127"/>
      <c r="G302" s="128"/>
      <c r="H302" s="39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389"/>
      <c r="P302" s="389"/>
      <c r="Q302" s="389"/>
      <c r="R302" s="389"/>
      <c r="S302" s="389"/>
      <c r="T302" s="389"/>
      <c r="U302" s="389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394" t="s">
        <v>186</v>
      </c>
      <c r="D303" s="108">
        <v>5.03</v>
      </c>
      <c r="E303" s="108"/>
      <c r="F303" s="127"/>
      <c r="G303" s="128"/>
      <c r="H303" s="39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389"/>
      <c r="P303" s="389"/>
      <c r="Q303" s="389"/>
      <c r="R303" s="389"/>
      <c r="S303" s="389"/>
      <c r="T303" s="389"/>
      <c r="U303" s="389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394" t="s">
        <v>228</v>
      </c>
      <c r="D304" s="108">
        <v>5.03</v>
      </c>
      <c r="E304" s="108"/>
      <c r="F304" s="127"/>
      <c r="G304" s="128"/>
      <c r="H304" s="39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389"/>
      <c r="P304" s="389"/>
      <c r="Q304" s="389"/>
      <c r="R304" s="389"/>
      <c r="S304" s="389"/>
      <c r="T304" s="389"/>
      <c r="U304" s="389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394" t="s">
        <v>199</v>
      </c>
      <c r="D305" s="108">
        <v>5.03</v>
      </c>
      <c r="E305" s="108"/>
      <c r="F305" s="127"/>
      <c r="G305" s="128"/>
      <c r="H305" s="39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389"/>
      <c r="P305" s="389"/>
      <c r="Q305" s="389"/>
      <c r="R305" s="389"/>
      <c r="S305" s="389"/>
      <c r="T305" s="389"/>
      <c r="U305" s="389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42736</v>
      </c>
      <c r="G306" s="128">
        <v>47</v>
      </c>
      <c r="H306" s="398">
        <f t="shared" si="133"/>
        <v>237.82</v>
      </c>
      <c r="I306" s="129">
        <v>2</v>
      </c>
      <c r="J306" s="130">
        <f t="array" ref="J306">IF(ISERROR(G306/I306),"",G306/I306)</f>
        <v>23.5</v>
      </c>
      <c r="K306" s="131">
        <f t="array" ref="K306">IF(ISERROR(G306/L306),"",G306/L306)</f>
        <v>1.88</v>
      </c>
      <c r="L306" s="129">
        <v>25</v>
      </c>
      <c r="M306" s="109">
        <f t="shared" si="134"/>
        <v>0.12000000000000011</v>
      </c>
      <c r="N306" s="130">
        <f t="shared" si="135"/>
        <v>0</v>
      </c>
      <c r="O306" s="389"/>
      <c r="P306" s="389"/>
      <c r="Q306" s="389"/>
      <c r="R306" s="389"/>
      <c r="S306" s="389"/>
      <c r="T306" s="389"/>
      <c r="U306" s="389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42737</v>
      </c>
      <c r="G307" s="128">
        <f>90*7+91</f>
        <v>721</v>
      </c>
      <c r="H307" s="398">
        <f t="shared" si="133"/>
        <v>3648.2599999999998</v>
      </c>
      <c r="I307" s="129">
        <f>8.5*4</f>
        <v>34</v>
      </c>
      <c r="J307" s="130">
        <f t="array" ref="J307">IF(ISERROR(G307/I307),"",G307/I307)</f>
        <v>21.205882352941178</v>
      </c>
      <c r="K307" s="131">
        <f t="array" ref="K307">IF(ISERROR(G307/L307),"",G307/L307)</f>
        <v>28.84</v>
      </c>
      <c r="L307" s="129">
        <v>25</v>
      </c>
      <c r="M307" s="109">
        <f t="shared" si="134"/>
        <v>5.16</v>
      </c>
      <c r="N307" s="130">
        <f t="shared" si="135"/>
        <v>0</v>
      </c>
      <c r="O307" s="389"/>
      <c r="P307" s="389"/>
      <c r="Q307" s="389"/>
      <c r="R307" s="389"/>
      <c r="S307" s="389"/>
      <c r="T307" s="389"/>
      <c r="U307" s="389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396" t="s">
        <v>202</v>
      </c>
      <c r="D308" s="143"/>
      <c r="E308" s="143"/>
      <c r="F308" s="144"/>
      <c r="G308" s="145">
        <f>SUM(G293:G307)</f>
        <v>856</v>
      </c>
      <c r="H308" s="146">
        <f>SUM(H293:H307)</f>
        <v>4329.5999999999995</v>
      </c>
      <c r="I308" s="146">
        <f>SUM(I293:I307)</f>
        <v>48</v>
      </c>
      <c r="J308" s="130">
        <f t="array" ref="J308">IF(ISERROR(G308/I308),"",G308/I308)</f>
        <v>17.833333333333332</v>
      </c>
      <c r="K308" s="146">
        <f>SUM(K293:K307)</f>
        <v>35.119999999999997</v>
      </c>
      <c r="L308" s="146"/>
      <c r="M308" s="150">
        <f>SUM(M293:M307)</f>
        <v>12.879999999999999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39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389"/>
      <c r="P309" s="389"/>
      <c r="Q309" s="389"/>
      <c r="R309" s="389"/>
      <c r="S309" s="389"/>
      <c r="T309" s="389"/>
      <c r="U309" s="389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39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389"/>
      <c r="P310" s="389"/>
      <c r="Q310" s="389"/>
      <c r="R310" s="389"/>
      <c r="S310" s="389"/>
      <c r="T310" s="389"/>
      <c r="U310" s="389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39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389"/>
      <c r="P311" s="389"/>
      <c r="Q311" s="389"/>
      <c r="R311" s="389"/>
      <c r="S311" s="389"/>
      <c r="T311" s="389"/>
      <c r="U311" s="389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39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389"/>
      <c r="P312" s="389"/>
      <c r="Q312" s="389"/>
      <c r="R312" s="389"/>
      <c r="S312" s="389"/>
      <c r="T312" s="389"/>
      <c r="U312" s="389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39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389"/>
      <c r="P313" s="389"/>
      <c r="Q313" s="389"/>
      <c r="R313" s="389"/>
      <c r="S313" s="389"/>
      <c r="T313" s="389"/>
      <c r="U313" s="389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39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389"/>
      <c r="P314" s="389"/>
      <c r="Q314" s="389"/>
      <c r="R314" s="389"/>
      <c r="S314" s="389"/>
      <c r="T314" s="389"/>
      <c r="U314" s="389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42727</v>
      </c>
      <c r="G315" s="128">
        <v>6</v>
      </c>
      <c r="H315" s="398">
        <f t="shared" si="137"/>
        <v>30.18</v>
      </c>
      <c r="I315" s="129">
        <v>1</v>
      </c>
      <c r="J315" s="130">
        <f t="array" ref="J315">IF(ISERROR(G315/I315),"",G315/I315)</f>
        <v>6</v>
      </c>
      <c r="K315" s="131">
        <f t="array" ref="K315">IF(ISERROR(G315/L315),"",G315/L315)</f>
        <v>0.44444444444444442</v>
      </c>
      <c r="L315" s="129">
        <v>13.5</v>
      </c>
      <c r="M315" s="109">
        <f t="shared" ref="M315:M316" si="141">IF(ISERROR(I315-K315),"",I315-K315)</f>
        <v>0.55555555555555558</v>
      </c>
      <c r="N315" s="130"/>
      <c r="O315" s="389"/>
      <c r="P315" s="389"/>
      <c r="Q315" s="389"/>
      <c r="R315" s="389"/>
      <c r="S315" s="389"/>
      <c r="T315" s="389"/>
      <c r="U315" s="38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v>90</v>
      </c>
      <c r="H316" s="398">
        <f t="shared" si="137"/>
        <v>452.70000000000005</v>
      </c>
      <c r="I316" s="129">
        <f>3.5*4</f>
        <v>14</v>
      </c>
      <c r="J316" s="130">
        <f t="array" ref="J316">IF(ISERROR(G316/I316),"",G316/I316)</f>
        <v>6.4285714285714288</v>
      </c>
      <c r="K316" s="131">
        <f t="array" ref="K316">IF(ISERROR(G316/L316),"",G316/L316)</f>
        <v>6.666666666666667</v>
      </c>
      <c r="L316" s="129">
        <v>13.5</v>
      </c>
      <c r="M316" s="109">
        <f t="shared" si="141"/>
        <v>7.333333333333333</v>
      </c>
      <c r="N316" s="130"/>
      <c r="O316" s="389"/>
      <c r="P316" s="389"/>
      <c r="Q316" s="389"/>
      <c r="R316" s="389"/>
      <c r="S316" s="389"/>
      <c r="T316" s="389"/>
      <c r="U316" s="389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39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389"/>
      <c r="P318" s="389"/>
      <c r="Q318" s="389"/>
      <c r="R318" s="389"/>
      <c r="S318" s="389"/>
      <c r="T318" s="389"/>
      <c r="U318" s="389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396" t="s">
        <v>202</v>
      </c>
      <c r="D319" s="143"/>
      <c r="E319" s="143"/>
      <c r="F319" s="144"/>
      <c r="G319" s="145">
        <f>SUM(G309:G318)</f>
        <v>96</v>
      </c>
      <c r="H319" s="146">
        <f>SUM(H309:H318)</f>
        <v>482.88000000000005</v>
      </c>
      <c r="I319" s="146">
        <f>SUM(I309:I318)</f>
        <v>15</v>
      </c>
      <c r="J319" s="130">
        <f t="array" ref="J319">IF(ISERROR(G319/I319),"",G319/I319)</f>
        <v>6.4</v>
      </c>
      <c r="K319" s="146">
        <f>SUM(K309:K318)</f>
        <v>7.1111111111111116</v>
      </c>
      <c r="L319" s="147"/>
      <c r="M319" s="150">
        <f>SUM(M309:M318)</f>
        <v>7.8888888888888884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388"/>
      <c r="D320" s="108">
        <v>3.65</v>
      </c>
      <c r="E320" s="108"/>
      <c r="F320" s="153"/>
      <c r="G320" s="128"/>
      <c r="H320" s="398">
        <f t="shared" ref="H320:H333" si="146">D320*G320</f>
        <v>0</v>
      </c>
      <c r="I320" s="129"/>
      <c r="J320" s="130" t="str">
        <f t="array" ref="J320">IF(ISERROR(G320/I320),"",G320/I320)</f>
        <v/>
      </c>
      <c r="K320" s="39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389"/>
      <c r="P320" s="389"/>
      <c r="Q320" s="389"/>
      <c r="R320" s="389"/>
      <c r="S320" s="389"/>
      <c r="T320" s="389"/>
      <c r="U320" s="389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388"/>
      <c r="D321" s="108">
        <v>6.58</v>
      </c>
      <c r="E321" s="108"/>
      <c r="F321" s="127"/>
      <c r="G321" s="128"/>
      <c r="H321" s="39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389"/>
      <c r="P321" s="389"/>
      <c r="Q321" s="389"/>
      <c r="R321" s="389"/>
      <c r="S321" s="389"/>
      <c r="T321" s="389"/>
      <c r="U321" s="389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388"/>
      <c r="D322" s="108">
        <v>7.8</v>
      </c>
      <c r="E322" s="108"/>
      <c r="F322" s="127"/>
      <c r="G322" s="128"/>
      <c r="H322" s="398">
        <f t="shared" si="146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7"/>
        <v>0</v>
      </c>
      <c r="N322" s="130">
        <f t="shared" si="148"/>
        <v>0</v>
      </c>
      <c r="O322" s="389"/>
      <c r="P322" s="389"/>
      <c r="Q322" s="389"/>
      <c r="R322" s="389"/>
      <c r="S322" s="389"/>
      <c r="T322" s="389"/>
      <c r="U322" s="389"/>
      <c r="V322" s="132">
        <f t="shared" si="149"/>
        <v>0</v>
      </c>
      <c r="W322" s="133" t="str">
        <f t="shared" si="145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388"/>
      <c r="D323" s="108">
        <v>4.4000000000000004</v>
      </c>
      <c r="E323" s="108"/>
      <c r="F323" s="127"/>
      <c r="G323" s="128"/>
      <c r="H323" s="398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389"/>
      <c r="P323" s="389"/>
      <c r="Q323" s="389"/>
      <c r="R323" s="389"/>
      <c r="S323" s="389"/>
      <c r="T323" s="389"/>
      <c r="U323" s="389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388"/>
      <c r="D324" s="108"/>
      <c r="E324" s="108"/>
      <c r="F324" s="127"/>
      <c r="G324" s="128"/>
      <c r="H324" s="39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389"/>
      <c r="P324" s="389"/>
      <c r="Q324" s="389"/>
      <c r="R324" s="389"/>
      <c r="S324" s="389"/>
      <c r="T324" s="389"/>
      <c r="U324" s="38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388" t="s">
        <v>239</v>
      </c>
      <c r="C325" s="388" t="s">
        <v>179</v>
      </c>
      <c r="D325" s="108">
        <v>6.04</v>
      </c>
      <c r="E325" s="108"/>
      <c r="F325" s="127"/>
      <c r="G325" s="128"/>
      <c r="H325" s="39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389"/>
      <c r="P325" s="389"/>
      <c r="Q325" s="389"/>
      <c r="R325" s="389"/>
      <c r="S325" s="389"/>
      <c r="T325" s="389"/>
      <c r="U325" s="389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388" t="s">
        <v>239</v>
      </c>
      <c r="C326" s="388" t="s">
        <v>186</v>
      </c>
      <c r="D326" s="108">
        <v>6.04</v>
      </c>
      <c r="E326" s="108"/>
      <c r="F326" s="127"/>
      <c r="G326" s="128"/>
      <c r="H326" s="39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389"/>
      <c r="P326" s="389"/>
      <c r="Q326" s="389"/>
      <c r="R326" s="389"/>
      <c r="S326" s="389"/>
      <c r="T326" s="389"/>
      <c r="U326" s="389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388" t="s">
        <v>443</v>
      </c>
      <c r="C327" s="388" t="s">
        <v>179</v>
      </c>
      <c r="D327" s="108">
        <v>6</v>
      </c>
      <c r="E327" s="108"/>
      <c r="F327" s="127"/>
      <c r="G327" s="128"/>
      <c r="H327" s="398">
        <f t="shared" si="146"/>
        <v>0</v>
      </c>
      <c r="I327" s="129"/>
      <c r="J327" s="130"/>
      <c r="K327" s="131"/>
      <c r="L327" s="129"/>
      <c r="M327" s="109"/>
      <c r="N327" s="130"/>
      <c r="O327" s="389"/>
      <c r="P327" s="389"/>
      <c r="Q327" s="389"/>
      <c r="R327" s="389"/>
      <c r="S327" s="389"/>
      <c r="T327" s="389"/>
      <c r="U327" s="38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388" t="s">
        <v>443</v>
      </c>
      <c r="C328" s="388" t="s">
        <v>60</v>
      </c>
      <c r="D328" s="108">
        <v>6</v>
      </c>
      <c r="E328" s="108"/>
      <c r="F328" s="127"/>
      <c r="G328" s="128"/>
      <c r="H328" s="39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389"/>
      <c r="P328" s="389"/>
      <c r="Q328" s="389"/>
      <c r="R328" s="389"/>
      <c r="S328" s="389"/>
      <c r="T328" s="389"/>
      <c r="U328" s="38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390" t="s">
        <v>240</v>
      </c>
      <c r="C329" s="126"/>
      <c r="D329" s="108">
        <v>7.3</v>
      </c>
      <c r="E329" s="108"/>
      <c r="F329" s="127"/>
      <c r="G329" s="128"/>
      <c r="H329" s="398">
        <f t="shared" si="146"/>
        <v>0</v>
      </c>
      <c r="I329" s="129"/>
      <c r="J329" s="130"/>
      <c r="K329" s="131"/>
      <c r="L329" s="129"/>
      <c r="M329" s="109"/>
      <c r="N329" s="130"/>
      <c r="O329" s="389"/>
      <c r="P329" s="389"/>
      <c r="Q329" s="389"/>
      <c r="R329" s="389"/>
      <c r="S329" s="389"/>
      <c r="T329" s="389"/>
      <c r="U329" s="38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390" t="s">
        <v>241</v>
      </c>
      <c r="C330" s="126"/>
      <c r="D330" s="108">
        <f>78*120/1000</f>
        <v>9.36</v>
      </c>
      <c r="E330" s="108"/>
      <c r="F330" s="127"/>
      <c r="G330" s="128"/>
      <c r="H330" s="39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389"/>
      <c r="P330" s="389"/>
      <c r="Q330" s="389"/>
      <c r="R330" s="389"/>
      <c r="S330" s="389"/>
      <c r="T330" s="389"/>
      <c r="U330" s="389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390" t="s">
        <v>242</v>
      </c>
      <c r="C331" s="126"/>
      <c r="D331" s="108">
        <v>4.5</v>
      </c>
      <c r="E331" s="108"/>
      <c r="F331" s="127"/>
      <c r="G331" s="128"/>
      <c r="H331" s="39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9"/>
      <c r="P331" s="389"/>
      <c r="Q331" s="389"/>
      <c r="R331" s="389"/>
      <c r="S331" s="389"/>
      <c r="T331" s="389"/>
      <c r="U331" s="38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390" t="s">
        <v>243</v>
      </c>
      <c r="C332" s="126"/>
      <c r="D332" s="108">
        <v>4.5</v>
      </c>
      <c r="E332" s="108"/>
      <c r="F332" s="127"/>
      <c r="G332" s="128"/>
      <c r="H332" s="39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389"/>
      <c r="P332" s="389"/>
      <c r="Q332" s="389"/>
      <c r="R332" s="389"/>
      <c r="S332" s="389"/>
      <c r="T332" s="389"/>
      <c r="U332" s="38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39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389"/>
      <c r="P333" s="389"/>
      <c r="Q333" s="389"/>
      <c r="R333" s="389"/>
      <c r="S333" s="389"/>
      <c r="T333" s="389"/>
      <c r="U333" s="389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18" t="s">
        <v>244</v>
      </c>
      <c r="B334" s="619"/>
      <c r="C334" s="396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7">SUM(M320:M330)</f>
        <v>0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5772</v>
      </c>
      <c r="H335" s="154">
        <f>SUM(H199,H257,H292,H308,H319,H334)</f>
        <v>29177.33</v>
      </c>
      <c r="I335" s="154">
        <f>SUM(I199,I257,I292,I308,I319,I334)</f>
        <v>392.55</v>
      </c>
      <c r="J335" s="155">
        <f t="array" ref="J335">IF(ISERROR(G335/I335),"",G335/I335)</f>
        <v>14.703859380970577</v>
      </c>
      <c r="K335" s="154">
        <f>SUM(K199,K257,K292,K308,K319,K334)</f>
        <v>246.5331831561256</v>
      </c>
      <c r="L335" s="155">
        <f>IF(ISERROR(G335/K335),"",G335/K335)</f>
        <v>23.412669751417127</v>
      </c>
      <c r="M335" s="154">
        <f t="shared" ref="M335:AA335" si="158">SUM(M199,M257,M292,M308,M319,M334)</f>
        <v>146.01681684387438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3" t="s">
        <v>476</v>
      </c>
      <c r="B336" s="395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395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395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395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395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395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395">
        <f>G335</f>
        <v>5772</v>
      </c>
      <c r="C342" s="638" t="s">
        <v>269</v>
      </c>
      <c r="D342" s="639"/>
      <c r="E342" s="631">
        <f>H335</f>
        <v>29177.33</v>
      </c>
      <c r="F342" s="631"/>
      <c r="G342" s="631" t="s">
        <v>270</v>
      </c>
      <c r="H342" s="631"/>
      <c r="I342" s="640">
        <f>L335</f>
        <v>23.412669751417127</v>
      </c>
      <c r="J342" s="640"/>
      <c r="K342" s="628" t="s">
        <v>271</v>
      </c>
      <c r="L342" s="628"/>
      <c r="M342" s="640">
        <f>J335</f>
        <v>14.703859380970577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395">
        <f>I335+C341</f>
        <v>394.55</v>
      </c>
      <c r="C343" s="641" t="s">
        <v>251</v>
      </c>
      <c r="D343" s="642"/>
      <c r="E343" s="643">
        <f>K335+I341</f>
        <v>276.53318315612557</v>
      </c>
      <c r="F343" s="643"/>
      <c r="G343" s="631" t="s">
        <v>274</v>
      </c>
      <c r="H343" s="631"/>
      <c r="I343" s="640">
        <f>B343-E343</f>
        <v>118.01681684387444</v>
      </c>
      <c r="J343" s="640"/>
      <c r="K343" s="628" t="s">
        <v>275</v>
      </c>
      <c r="L343" s="628"/>
      <c r="M343" s="632">
        <f>IF(ISERROR(I343/E343),"",I343/E343)</f>
        <v>0.42677271312225956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395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296</v>
      </c>
      <c r="H348" s="388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390" t="s">
        <v>178</v>
      </c>
      <c r="C349" s="126" t="s">
        <v>179</v>
      </c>
      <c r="D349" s="108">
        <v>5.03</v>
      </c>
      <c r="E349" s="108"/>
      <c r="F349" s="127"/>
      <c r="G349" s="128"/>
      <c r="H349" s="39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389"/>
      <c r="P349" s="389"/>
      <c r="Q349" s="389"/>
      <c r="R349" s="389"/>
      <c r="S349" s="389"/>
      <c r="T349" s="389"/>
      <c r="U349" s="389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39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389"/>
      <c r="P350" s="389"/>
      <c r="Q350" s="389"/>
      <c r="R350" s="389"/>
      <c r="S350" s="389"/>
      <c r="T350" s="389"/>
      <c r="U350" s="38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39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389"/>
      <c r="P351" s="389"/>
      <c r="Q351" s="389"/>
      <c r="R351" s="389"/>
      <c r="S351" s="389"/>
      <c r="T351" s="389"/>
      <c r="U351" s="38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39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389"/>
      <c r="P352" s="389"/>
      <c r="Q352" s="389"/>
      <c r="R352" s="389"/>
      <c r="S352" s="389"/>
      <c r="T352" s="389"/>
      <c r="U352" s="38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39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389"/>
      <c r="P353" s="389"/>
      <c r="Q353" s="389"/>
      <c r="R353" s="389"/>
      <c r="S353" s="389"/>
      <c r="T353" s="389"/>
      <c r="U353" s="389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39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389"/>
      <c r="P354" s="389"/>
      <c r="Q354" s="389"/>
      <c r="R354" s="389"/>
      <c r="S354" s="389"/>
      <c r="T354" s="389"/>
      <c r="U354" s="389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39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389"/>
      <c r="P355" s="389"/>
      <c r="Q355" s="389"/>
      <c r="R355" s="389"/>
      <c r="S355" s="389"/>
      <c r="T355" s="389"/>
      <c r="U355" s="38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39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389"/>
      <c r="P356" s="389"/>
      <c r="Q356" s="389"/>
      <c r="R356" s="389"/>
      <c r="S356" s="389"/>
      <c r="T356" s="389"/>
      <c r="U356" s="38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398">
        <f t="shared" si="159"/>
        <v>0</v>
      </c>
      <c r="I357" s="39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389"/>
      <c r="P357" s="389"/>
      <c r="Q357" s="389"/>
      <c r="R357" s="389"/>
      <c r="S357" s="389"/>
      <c r="T357" s="389"/>
      <c r="U357" s="38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398">
        <f t="shared" si="159"/>
        <v>0</v>
      </c>
      <c r="I358" s="39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389"/>
      <c r="P358" s="389"/>
      <c r="Q358" s="389"/>
      <c r="R358" s="389"/>
      <c r="S358" s="389"/>
      <c r="T358" s="389"/>
      <c r="U358" s="38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398">
        <f t="shared" si="159"/>
        <v>0</v>
      </c>
      <c r="I359" s="398"/>
      <c r="J359" s="130"/>
      <c r="K359" s="131"/>
      <c r="L359" s="129"/>
      <c r="M359" s="109"/>
      <c r="N359" s="130"/>
      <c r="O359" s="389"/>
      <c r="P359" s="389"/>
      <c r="Q359" s="389"/>
      <c r="R359" s="389"/>
      <c r="S359" s="389"/>
      <c r="T359" s="389"/>
      <c r="U359" s="38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398">
        <f t="shared" si="159"/>
        <v>0</v>
      </c>
      <c r="I360" s="398"/>
      <c r="J360" s="130"/>
      <c r="K360" s="131"/>
      <c r="L360" s="129"/>
      <c r="M360" s="109"/>
      <c r="N360" s="130"/>
      <c r="O360" s="389"/>
      <c r="P360" s="389"/>
      <c r="Q360" s="389"/>
      <c r="R360" s="389"/>
      <c r="S360" s="389"/>
      <c r="T360" s="389"/>
      <c r="U360" s="38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39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389"/>
      <c r="P361" s="389"/>
      <c r="Q361" s="389"/>
      <c r="R361" s="389"/>
      <c r="S361" s="389"/>
      <c r="T361" s="389"/>
      <c r="U361" s="389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39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389"/>
      <c r="P362" s="389"/>
      <c r="Q362" s="389"/>
      <c r="R362" s="389"/>
      <c r="S362" s="389"/>
      <c r="T362" s="389"/>
      <c r="U362" s="389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39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389"/>
      <c r="P363" s="389"/>
      <c r="Q363" s="389"/>
      <c r="R363" s="389"/>
      <c r="S363" s="389"/>
      <c r="T363" s="389"/>
      <c r="U363" s="389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388" t="s">
        <v>190</v>
      </c>
      <c r="D364" s="108">
        <v>4.8</v>
      </c>
      <c r="E364" s="108"/>
      <c r="F364" s="127"/>
      <c r="G364" s="128"/>
      <c r="H364" s="39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389"/>
      <c r="P364" s="389"/>
      <c r="Q364" s="389"/>
      <c r="R364" s="389"/>
      <c r="S364" s="389"/>
      <c r="T364" s="389"/>
      <c r="U364" s="38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388" t="s">
        <v>187</v>
      </c>
      <c r="D365" s="108">
        <v>4.8</v>
      </c>
      <c r="E365" s="108"/>
      <c r="F365" s="127"/>
      <c r="G365" s="128"/>
      <c r="H365" s="39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389"/>
      <c r="P365" s="389"/>
      <c r="Q365" s="389"/>
      <c r="R365" s="389"/>
      <c r="S365" s="389"/>
      <c r="T365" s="389"/>
      <c r="U365" s="38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388" t="s">
        <v>179</v>
      </c>
      <c r="D366" s="108">
        <v>4.8</v>
      </c>
      <c r="E366" s="108"/>
      <c r="F366" s="127"/>
      <c r="G366" s="128"/>
      <c r="H366" s="39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389"/>
      <c r="P366" s="389"/>
      <c r="Q366" s="389"/>
      <c r="R366" s="389"/>
      <c r="S366" s="389"/>
      <c r="T366" s="389"/>
      <c r="U366" s="38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388" t="s">
        <v>199</v>
      </c>
      <c r="D367" s="108">
        <v>4.8</v>
      </c>
      <c r="E367" s="108"/>
      <c r="F367" s="127"/>
      <c r="G367" s="128"/>
      <c r="H367" s="39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389"/>
      <c r="P367" s="389"/>
      <c r="Q367" s="389"/>
      <c r="R367" s="389"/>
      <c r="S367" s="389"/>
      <c r="T367" s="389"/>
      <c r="U367" s="38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39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389"/>
      <c r="P368" s="389"/>
      <c r="Q368" s="389"/>
      <c r="R368" s="389"/>
      <c r="S368" s="389"/>
      <c r="T368" s="389"/>
      <c r="U368" s="389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39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389"/>
      <c r="P369" s="389"/>
      <c r="Q369" s="389"/>
      <c r="R369" s="389"/>
      <c r="S369" s="389"/>
      <c r="T369" s="389"/>
      <c r="U369" s="389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39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390" t="s">
        <v>206</v>
      </c>
      <c r="C371" s="126" t="s">
        <v>199</v>
      </c>
      <c r="D371" s="108">
        <v>5.03</v>
      </c>
      <c r="E371" s="108"/>
      <c r="F371" s="127"/>
      <c r="G371" s="128"/>
      <c r="H371" s="39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393"/>
      <c r="P371" s="393"/>
      <c r="Q371" s="393"/>
      <c r="R371" s="393"/>
      <c r="S371" s="393"/>
      <c r="T371" s="393"/>
      <c r="U371" s="393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390" t="s">
        <v>425</v>
      </c>
      <c r="C372" s="187" t="s">
        <v>427</v>
      </c>
      <c r="D372" s="108">
        <v>5.03</v>
      </c>
      <c r="E372" s="108"/>
      <c r="F372" s="127"/>
      <c r="G372" s="128"/>
      <c r="H372" s="39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393"/>
      <c r="P372" s="393"/>
      <c r="Q372" s="393"/>
      <c r="R372" s="393"/>
      <c r="S372" s="393"/>
      <c r="T372" s="393"/>
      <c r="U372" s="39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390" t="s">
        <v>206</v>
      </c>
      <c r="C373" s="126" t="s">
        <v>186</v>
      </c>
      <c r="D373" s="108">
        <v>5.03</v>
      </c>
      <c r="E373" s="108"/>
      <c r="F373" s="127"/>
      <c r="G373" s="128"/>
      <c r="H373" s="39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393"/>
      <c r="P373" s="393"/>
      <c r="Q373" s="393"/>
      <c r="R373" s="393"/>
      <c r="S373" s="393"/>
      <c r="T373" s="393"/>
      <c r="U373" s="393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390" t="s">
        <v>206</v>
      </c>
      <c r="C374" s="126" t="s">
        <v>203</v>
      </c>
      <c r="D374" s="108">
        <v>5.03</v>
      </c>
      <c r="E374" s="108"/>
      <c r="F374" s="127"/>
      <c r="G374" s="128"/>
      <c r="H374" s="39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393"/>
      <c r="P374" s="393"/>
      <c r="Q374" s="393"/>
      <c r="R374" s="393"/>
      <c r="S374" s="393"/>
      <c r="T374" s="393"/>
      <c r="U374" s="393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390" t="s">
        <v>206</v>
      </c>
      <c r="C375" s="126" t="s">
        <v>207</v>
      </c>
      <c r="D375" s="108">
        <v>5.03</v>
      </c>
      <c r="E375" s="108"/>
      <c r="F375" s="127"/>
      <c r="G375" s="128"/>
      <c r="H375" s="39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393"/>
      <c r="P375" s="393"/>
      <c r="Q375" s="393"/>
      <c r="R375" s="393"/>
      <c r="S375" s="393"/>
      <c r="T375" s="393"/>
      <c r="U375" s="393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390" t="s">
        <v>414</v>
      </c>
      <c r="C376" s="187" t="s">
        <v>415</v>
      </c>
      <c r="D376" s="108"/>
      <c r="E376" s="108"/>
      <c r="F376" s="127"/>
      <c r="G376" s="128"/>
      <c r="H376" s="39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393"/>
      <c r="P376" s="393"/>
      <c r="Q376" s="393"/>
      <c r="R376" s="393"/>
      <c r="S376" s="393"/>
      <c r="T376" s="393"/>
      <c r="U376" s="39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390" t="s">
        <v>414</v>
      </c>
      <c r="C377" s="187" t="s">
        <v>416</v>
      </c>
      <c r="D377" s="108"/>
      <c r="E377" s="108"/>
      <c r="F377" s="127"/>
      <c r="G377" s="128"/>
      <c r="H377" s="39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393"/>
      <c r="P377" s="393"/>
      <c r="Q377" s="393"/>
      <c r="R377" s="393"/>
      <c r="S377" s="393"/>
      <c r="T377" s="393"/>
      <c r="U377" s="39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390" t="s">
        <v>414</v>
      </c>
      <c r="C378" s="187" t="s">
        <v>61</v>
      </c>
      <c r="D378" s="108"/>
      <c r="E378" s="108"/>
      <c r="F378" s="127"/>
      <c r="G378" s="128"/>
      <c r="H378" s="39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393"/>
      <c r="P378" s="393"/>
      <c r="Q378" s="393"/>
      <c r="R378" s="393"/>
      <c r="S378" s="393"/>
      <c r="T378" s="393"/>
      <c r="U378" s="39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390" t="s">
        <v>208</v>
      </c>
      <c r="C379" s="126" t="s">
        <v>179</v>
      </c>
      <c r="D379" s="108">
        <v>5.08</v>
      </c>
      <c r="E379" s="108"/>
      <c r="F379" s="127"/>
      <c r="G379" s="128"/>
      <c r="H379" s="39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393"/>
      <c r="P379" s="393"/>
      <c r="Q379" s="393"/>
      <c r="R379" s="393"/>
      <c r="S379" s="393"/>
      <c r="T379" s="393"/>
      <c r="U379" s="393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390" t="s">
        <v>208</v>
      </c>
      <c r="C380" s="126" t="s">
        <v>204</v>
      </c>
      <c r="D380" s="108">
        <v>5.08</v>
      </c>
      <c r="E380" s="108"/>
      <c r="F380" s="127"/>
      <c r="G380" s="128"/>
      <c r="H380" s="39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393"/>
      <c r="P380" s="393"/>
      <c r="Q380" s="393"/>
      <c r="R380" s="393"/>
      <c r="S380" s="393"/>
      <c r="T380" s="393"/>
      <c r="U380" s="393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390" t="s">
        <v>208</v>
      </c>
      <c r="C381" s="126" t="s">
        <v>205</v>
      </c>
      <c r="D381" s="108">
        <v>5.08</v>
      </c>
      <c r="E381" s="108"/>
      <c r="F381" s="127"/>
      <c r="G381" s="128"/>
      <c r="H381" s="39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393"/>
      <c r="P381" s="393"/>
      <c r="Q381" s="393"/>
      <c r="R381" s="393"/>
      <c r="S381" s="393"/>
      <c r="T381" s="393"/>
      <c r="U381" s="393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390" t="s">
        <v>208</v>
      </c>
      <c r="C382" s="126" t="s">
        <v>186</v>
      </c>
      <c r="D382" s="108">
        <v>5.08</v>
      </c>
      <c r="E382" s="108"/>
      <c r="F382" s="127"/>
      <c r="G382" s="128"/>
      <c r="H382" s="39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393"/>
      <c r="P382" s="393"/>
      <c r="Q382" s="393"/>
      <c r="R382" s="393"/>
      <c r="S382" s="393"/>
      <c r="T382" s="393"/>
      <c r="U382" s="393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390" t="s">
        <v>208</v>
      </c>
      <c r="C383" s="126" t="s">
        <v>203</v>
      </c>
      <c r="D383" s="108">
        <v>5.08</v>
      </c>
      <c r="E383" s="108"/>
      <c r="F383" s="127"/>
      <c r="G383" s="128"/>
      <c r="H383" s="39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393"/>
      <c r="P383" s="393"/>
      <c r="Q383" s="393"/>
      <c r="R383" s="393"/>
      <c r="S383" s="393"/>
      <c r="T383" s="393"/>
      <c r="U383" s="393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390" t="s">
        <v>208</v>
      </c>
      <c r="C384" s="126" t="s">
        <v>199</v>
      </c>
      <c r="D384" s="108">
        <v>5.08</v>
      </c>
      <c r="E384" s="108"/>
      <c r="F384" s="127"/>
      <c r="G384" s="128"/>
      <c r="H384" s="39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389"/>
      <c r="P384" s="389"/>
      <c r="Q384" s="389"/>
      <c r="R384" s="389"/>
      <c r="S384" s="389"/>
      <c r="T384" s="389"/>
      <c r="U384" s="389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390" t="s">
        <v>208</v>
      </c>
      <c r="C385" s="126" t="s">
        <v>187</v>
      </c>
      <c r="D385" s="108">
        <v>5.08</v>
      </c>
      <c r="E385" s="108"/>
      <c r="F385" s="127"/>
      <c r="G385" s="128"/>
      <c r="H385" s="39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393"/>
      <c r="P385" s="393"/>
      <c r="Q385" s="393"/>
      <c r="R385" s="393"/>
      <c r="S385" s="393"/>
      <c r="T385" s="393"/>
      <c r="U385" s="393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390" t="s">
        <v>208</v>
      </c>
      <c r="C386" s="126" t="s">
        <v>207</v>
      </c>
      <c r="D386" s="108">
        <v>5.08</v>
      </c>
      <c r="E386" s="108"/>
      <c r="F386" s="127"/>
      <c r="G386" s="128"/>
      <c r="H386" s="39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389"/>
      <c r="P386" s="389"/>
      <c r="Q386" s="389"/>
      <c r="R386" s="389"/>
      <c r="S386" s="389"/>
      <c r="T386" s="389"/>
      <c r="U386" s="389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390" t="s">
        <v>209</v>
      </c>
      <c r="C387" s="126" t="s">
        <v>194</v>
      </c>
      <c r="D387" s="108">
        <v>5.03</v>
      </c>
      <c r="E387" s="108"/>
      <c r="F387" s="127"/>
      <c r="G387" s="128"/>
      <c r="H387" s="39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393"/>
      <c r="P387" s="393"/>
      <c r="Q387" s="393"/>
      <c r="R387" s="393"/>
      <c r="S387" s="393"/>
      <c r="T387" s="393"/>
      <c r="U387" s="393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390" t="s">
        <v>209</v>
      </c>
      <c r="C388" s="126" t="s">
        <v>179</v>
      </c>
      <c r="D388" s="108">
        <v>5.03</v>
      </c>
      <c r="E388" s="108"/>
      <c r="F388" s="127"/>
      <c r="G388" s="128"/>
      <c r="H388" s="39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393"/>
      <c r="P388" s="393"/>
      <c r="Q388" s="393"/>
      <c r="R388" s="393"/>
      <c r="S388" s="393"/>
      <c r="T388" s="393"/>
      <c r="U388" s="393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390" t="s">
        <v>209</v>
      </c>
      <c r="C389" s="126" t="s">
        <v>195</v>
      </c>
      <c r="D389" s="108">
        <v>5.03</v>
      </c>
      <c r="E389" s="108"/>
      <c r="F389" s="127"/>
      <c r="G389" s="128"/>
      <c r="H389" s="39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393"/>
      <c r="P389" s="393"/>
      <c r="Q389" s="393"/>
      <c r="R389" s="393"/>
      <c r="S389" s="393"/>
      <c r="T389" s="393"/>
      <c r="U389" s="393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390" t="s">
        <v>209</v>
      </c>
      <c r="C390" s="126" t="s">
        <v>204</v>
      </c>
      <c r="D390" s="108">
        <v>5.03</v>
      </c>
      <c r="E390" s="108"/>
      <c r="F390" s="127"/>
      <c r="G390" s="128"/>
      <c r="H390" s="39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393"/>
      <c r="P390" s="393"/>
      <c r="Q390" s="393"/>
      <c r="R390" s="393"/>
      <c r="S390" s="393"/>
      <c r="T390" s="393"/>
      <c r="U390" s="393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390" t="s">
        <v>382</v>
      </c>
      <c r="C391" s="187" t="s">
        <v>383</v>
      </c>
      <c r="D391" s="108">
        <v>5.03</v>
      </c>
      <c r="E391" s="108"/>
      <c r="F391" s="127"/>
      <c r="G391" s="128"/>
      <c r="H391" s="39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393"/>
      <c r="P391" s="393"/>
      <c r="Q391" s="393"/>
      <c r="R391" s="393"/>
      <c r="S391" s="393"/>
      <c r="T391" s="393"/>
      <c r="U391" s="39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390" t="s">
        <v>382</v>
      </c>
      <c r="C392" s="187" t="s">
        <v>384</v>
      </c>
      <c r="D392" s="108">
        <v>5.03</v>
      </c>
      <c r="E392" s="108"/>
      <c r="F392" s="127"/>
      <c r="G392" s="128"/>
      <c r="H392" s="39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393"/>
      <c r="P392" s="393"/>
      <c r="Q392" s="393"/>
      <c r="R392" s="393"/>
      <c r="S392" s="393"/>
      <c r="T392" s="393"/>
      <c r="U392" s="39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390" t="s">
        <v>382</v>
      </c>
      <c r="C393" s="187" t="s">
        <v>389</v>
      </c>
      <c r="D393" s="108">
        <v>5.03</v>
      </c>
      <c r="E393" s="108"/>
      <c r="F393" s="127"/>
      <c r="G393" s="128"/>
      <c r="H393" s="39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393"/>
      <c r="P393" s="393"/>
      <c r="Q393" s="393"/>
      <c r="R393" s="393"/>
      <c r="S393" s="393"/>
      <c r="T393" s="393"/>
      <c r="U393" s="39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390" t="s">
        <v>382</v>
      </c>
      <c r="C394" s="187" t="s">
        <v>391</v>
      </c>
      <c r="D394" s="108">
        <v>5.03</v>
      </c>
      <c r="E394" s="108"/>
      <c r="F394" s="127"/>
      <c r="G394" s="128"/>
      <c r="H394" s="39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393"/>
      <c r="P394" s="393"/>
      <c r="Q394" s="393"/>
      <c r="R394" s="393"/>
      <c r="S394" s="393"/>
      <c r="T394" s="393"/>
      <c r="U394" s="39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390" t="s">
        <v>418</v>
      </c>
      <c r="C395" s="187" t="s">
        <v>364</v>
      </c>
      <c r="D395" s="108">
        <v>5.03</v>
      </c>
      <c r="E395" s="108"/>
      <c r="F395" s="127"/>
      <c r="G395" s="128"/>
      <c r="H395" s="39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393"/>
      <c r="P395" s="393"/>
      <c r="Q395" s="393"/>
      <c r="R395" s="393"/>
      <c r="S395" s="393"/>
      <c r="T395" s="393"/>
      <c r="U395" s="39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390" t="s">
        <v>418</v>
      </c>
      <c r="C396" s="187" t="s">
        <v>365</v>
      </c>
      <c r="D396" s="108">
        <v>5.03</v>
      </c>
      <c r="E396" s="108"/>
      <c r="F396" s="127"/>
      <c r="G396" s="128"/>
      <c r="H396" s="39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393"/>
      <c r="P396" s="393"/>
      <c r="Q396" s="393"/>
      <c r="R396" s="393"/>
      <c r="S396" s="393"/>
      <c r="T396" s="393"/>
      <c r="U396" s="39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390" t="s">
        <v>418</v>
      </c>
      <c r="C397" s="187" t="s">
        <v>366</v>
      </c>
      <c r="D397" s="108">
        <v>5.03</v>
      </c>
      <c r="E397" s="108"/>
      <c r="F397" s="127"/>
      <c r="G397" s="128"/>
      <c r="H397" s="39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393"/>
      <c r="P397" s="393"/>
      <c r="Q397" s="393"/>
      <c r="R397" s="393"/>
      <c r="S397" s="393"/>
      <c r="T397" s="393"/>
      <c r="U397" s="39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390" t="s">
        <v>418</v>
      </c>
      <c r="C398" s="187" t="s">
        <v>367</v>
      </c>
      <c r="D398" s="108">
        <v>5.03</v>
      </c>
      <c r="E398" s="108"/>
      <c r="F398" s="127"/>
      <c r="G398" s="128"/>
      <c r="H398" s="39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393"/>
      <c r="P398" s="393"/>
      <c r="Q398" s="393"/>
      <c r="R398" s="393"/>
      <c r="S398" s="393"/>
      <c r="T398" s="393"/>
      <c r="U398" s="39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39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389"/>
      <c r="P399" s="389"/>
      <c r="Q399" s="389"/>
      <c r="R399" s="389"/>
      <c r="S399" s="389"/>
      <c r="T399" s="389"/>
      <c r="U399" s="389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39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389"/>
      <c r="P400" s="389"/>
      <c r="Q400" s="389"/>
      <c r="R400" s="389"/>
      <c r="S400" s="389"/>
      <c r="T400" s="389"/>
      <c r="U400" s="389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39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389"/>
      <c r="P401" s="389"/>
      <c r="Q401" s="389"/>
      <c r="R401" s="389"/>
      <c r="S401" s="389"/>
      <c r="T401" s="389"/>
      <c r="U401" s="389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39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389"/>
      <c r="P402" s="389"/>
      <c r="Q402" s="389"/>
      <c r="R402" s="389"/>
      <c r="S402" s="389"/>
      <c r="T402" s="389"/>
      <c r="U402" s="389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39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389"/>
      <c r="P403" s="389"/>
      <c r="Q403" s="389"/>
      <c r="R403" s="389"/>
      <c r="S403" s="389"/>
      <c r="T403" s="389"/>
      <c r="U403" s="389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39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389"/>
      <c r="P404" s="389"/>
      <c r="Q404" s="389"/>
      <c r="R404" s="389"/>
      <c r="S404" s="389"/>
      <c r="T404" s="389"/>
      <c r="U404" s="389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39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389"/>
      <c r="P405" s="389"/>
      <c r="Q405" s="389"/>
      <c r="R405" s="389"/>
      <c r="S405" s="389"/>
      <c r="T405" s="389"/>
      <c r="U405" s="389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39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389"/>
      <c r="P406" s="389"/>
      <c r="Q406" s="389"/>
      <c r="R406" s="389"/>
      <c r="S406" s="389"/>
      <c r="T406" s="389"/>
      <c r="U406" s="389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39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389"/>
      <c r="P407" s="389"/>
      <c r="Q407" s="389"/>
      <c r="R407" s="389"/>
      <c r="S407" s="389"/>
      <c r="T407" s="389"/>
      <c r="U407" s="389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39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389"/>
      <c r="P408" s="389"/>
      <c r="Q408" s="389"/>
      <c r="R408" s="389"/>
      <c r="S408" s="389"/>
      <c r="T408" s="389"/>
      <c r="U408" s="389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39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389"/>
      <c r="P409" s="389"/>
      <c r="Q409" s="389"/>
      <c r="R409" s="389"/>
      <c r="S409" s="389"/>
      <c r="T409" s="389"/>
      <c r="U409" s="38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39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389"/>
      <c r="P410" s="389"/>
      <c r="Q410" s="389"/>
      <c r="R410" s="389"/>
      <c r="S410" s="389"/>
      <c r="T410" s="389"/>
      <c r="U410" s="38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39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389"/>
      <c r="P411" s="389"/>
      <c r="Q411" s="389"/>
      <c r="R411" s="389"/>
      <c r="S411" s="389"/>
      <c r="T411" s="389"/>
      <c r="U411" s="389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39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389"/>
      <c r="P412" s="389"/>
      <c r="Q412" s="389"/>
      <c r="R412" s="389"/>
      <c r="S412" s="389"/>
      <c r="T412" s="389"/>
      <c r="U412" s="389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398">
        <f t="shared" si="172"/>
        <v>0</v>
      </c>
      <c r="I413" s="129"/>
      <c r="J413" s="130"/>
      <c r="K413" s="131"/>
      <c r="L413" s="129"/>
      <c r="M413" s="109"/>
      <c r="N413" s="130"/>
      <c r="O413" s="389"/>
      <c r="P413" s="389"/>
      <c r="Q413" s="389"/>
      <c r="R413" s="389"/>
      <c r="S413" s="389"/>
      <c r="T413" s="389"/>
      <c r="U413" s="38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39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389"/>
      <c r="P414" s="389"/>
      <c r="Q414" s="389"/>
      <c r="R414" s="389"/>
      <c r="S414" s="389"/>
      <c r="T414" s="389"/>
      <c r="U414" s="389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39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389"/>
      <c r="P415" s="389"/>
      <c r="Q415" s="389"/>
      <c r="R415" s="389"/>
      <c r="S415" s="389"/>
      <c r="T415" s="389"/>
      <c r="U415" s="389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39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389"/>
      <c r="P416" s="389"/>
      <c r="Q416" s="389"/>
      <c r="R416" s="389"/>
      <c r="S416" s="389"/>
      <c r="T416" s="389"/>
      <c r="U416" s="389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39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389"/>
      <c r="P417" s="389"/>
      <c r="Q417" s="389"/>
      <c r="R417" s="389"/>
      <c r="S417" s="389"/>
      <c r="T417" s="389"/>
      <c r="U417" s="389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39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389"/>
      <c r="P418" s="389"/>
      <c r="Q418" s="389"/>
      <c r="R418" s="389"/>
      <c r="S418" s="389"/>
      <c r="T418" s="389"/>
      <c r="U418" s="38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39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389"/>
      <c r="P419" s="389"/>
      <c r="Q419" s="389"/>
      <c r="R419" s="389"/>
      <c r="S419" s="389"/>
      <c r="T419" s="389"/>
      <c r="U419" s="38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39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389"/>
      <c r="P420" s="389"/>
      <c r="Q420" s="389"/>
      <c r="R420" s="389"/>
      <c r="S420" s="389"/>
      <c r="T420" s="389"/>
      <c r="U420" s="38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39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389"/>
      <c r="P421" s="389"/>
      <c r="Q421" s="389"/>
      <c r="R421" s="389"/>
      <c r="S421" s="389"/>
      <c r="T421" s="389"/>
      <c r="U421" s="38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39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389"/>
      <c r="P422" s="389"/>
      <c r="Q422" s="389"/>
      <c r="R422" s="389"/>
      <c r="S422" s="389"/>
      <c r="T422" s="389"/>
      <c r="U422" s="38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39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389"/>
      <c r="P423" s="389"/>
      <c r="Q423" s="389"/>
      <c r="R423" s="389"/>
      <c r="S423" s="389"/>
      <c r="T423" s="389"/>
      <c r="U423" s="38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39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389"/>
      <c r="P424" s="389"/>
      <c r="Q424" s="389"/>
      <c r="R424" s="389"/>
      <c r="S424" s="389"/>
      <c r="T424" s="389"/>
      <c r="U424" s="38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39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389"/>
      <c r="P425" s="389"/>
      <c r="Q425" s="389"/>
      <c r="R425" s="389"/>
      <c r="S425" s="389"/>
      <c r="T425" s="389"/>
      <c r="U425" s="38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39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389"/>
      <c r="P426" s="389"/>
      <c r="Q426" s="389"/>
      <c r="R426" s="389"/>
      <c r="S426" s="389"/>
      <c r="T426" s="389"/>
      <c r="U426" s="38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39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389"/>
      <c r="P427" s="389"/>
      <c r="Q427" s="389"/>
      <c r="R427" s="389"/>
      <c r="S427" s="389"/>
      <c r="T427" s="389"/>
      <c r="U427" s="38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39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390" t="s">
        <v>217</v>
      </c>
      <c r="C429" s="126" t="s">
        <v>179</v>
      </c>
      <c r="D429" s="108">
        <v>5.03</v>
      </c>
      <c r="E429" s="108"/>
      <c r="F429" s="127"/>
      <c r="G429" s="128"/>
      <c r="H429" s="39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389"/>
      <c r="P429" s="389"/>
      <c r="Q429" s="389"/>
      <c r="R429" s="389"/>
      <c r="S429" s="389"/>
      <c r="T429" s="389"/>
      <c r="U429" s="389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390" t="s">
        <v>217</v>
      </c>
      <c r="C430" s="126" t="s">
        <v>186</v>
      </c>
      <c r="D430" s="108">
        <v>5.03</v>
      </c>
      <c r="E430" s="108"/>
      <c r="F430" s="127"/>
      <c r="G430" s="128"/>
      <c r="H430" s="39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389"/>
      <c r="P430" s="389"/>
      <c r="Q430" s="389"/>
      <c r="R430" s="389"/>
      <c r="S430" s="389"/>
      <c r="T430" s="389"/>
      <c r="U430" s="389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390" t="s">
        <v>217</v>
      </c>
      <c r="C431" s="126" t="s">
        <v>204</v>
      </c>
      <c r="D431" s="108">
        <v>5.03</v>
      </c>
      <c r="E431" s="108"/>
      <c r="F431" s="127"/>
      <c r="G431" s="128"/>
      <c r="H431" s="39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389"/>
      <c r="P431" s="389"/>
      <c r="Q431" s="389"/>
      <c r="R431" s="389"/>
      <c r="S431" s="389"/>
      <c r="T431" s="389"/>
      <c r="U431" s="389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39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389"/>
      <c r="P432" s="389"/>
      <c r="Q432" s="389"/>
      <c r="R432" s="389"/>
      <c r="S432" s="389"/>
      <c r="T432" s="389"/>
      <c r="U432" s="389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39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389"/>
      <c r="P433" s="389"/>
      <c r="Q433" s="389"/>
      <c r="R433" s="389"/>
      <c r="S433" s="389"/>
      <c r="T433" s="389"/>
      <c r="U433" s="389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>
        <v>42736</v>
      </c>
      <c r="G434" s="128">
        <f>5+5</f>
        <v>10</v>
      </c>
      <c r="H434" s="398">
        <f t="shared" si="197"/>
        <v>50.300000000000004</v>
      </c>
      <c r="I434" s="129">
        <f>0.5*2</f>
        <v>1</v>
      </c>
      <c r="J434" s="130">
        <f t="array" ref="J434">IF(ISERROR(G434/I434),"",G434/I434)</f>
        <v>10</v>
      </c>
      <c r="K434" s="131">
        <f t="array" ref="K434">IF(ISERROR(G434/L434),"",G434/L434)</f>
        <v>1.075268817204301</v>
      </c>
      <c r="L434" s="129">
        <v>9.3000000000000007</v>
      </c>
      <c r="M434" s="109">
        <f t="shared" si="198"/>
        <v>-7.5268817204301008E-2</v>
      </c>
      <c r="N434" s="130">
        <f t="shared" si="199"/>
        <v>0</v>
      </c>
      <c r="O434" s="389"/>
      <c r="P434" s="389"/>
      <c r="Q434" s="389"/>
      <c r="R434" s="389"/>
      <c r="S434" s="389"/>
      <c r="T434" s="389"/>
      <c r="U434" s="389"/>
      <c r="V434" s="132">
        <f t="shared" si="200"/>
        <v>0</v>
      </c>
      <c r="W434" s="133">
        <f t="shared" si="196"/>
        <v>0</v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39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389"/>
      <c r="P435" s="389"/>
      <c r="Q435" s="389"/>
      <c r="R435" s="389"/>
      <c r="S435" s="389"/>
      <c r="T435" s="389"/>
      <c r="U435" s="389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>
        <v>42737</v>
      </c>
      <c r="G436" s="128">
        <f>121+111+164+84+96+68+70+120</f>
        <v>834</v>
      </c>
      <c r="H436" s="398">
        <f t="shared" si="197"/>
        <v>4195.0200000000004</v>
      </c>
      <c r="I436" s="129">
        <f>6.5*2+10.5+10.5+8+9+8+8+10</f>
        <v>77</v>
      </c>
      <c r="J436" s="130">
        <f t="array" ref="J436">IF(ISERROR(G436/I436),"",G436/I436)</f>
        <v>10.831168831168831</v>
      </c>
      <c r="K436" s="131">
        <f t="array" ref="K436">IF(ISERROR(G436/L436),"",G436/L436)</f>
        <v>89.677419354838705</v>
      </c>
      <c r="L436" s="129">
        <v>9.3000000000000007</v>
      </c>
      <c r="M436" s="109">
        <f t="shared" si="198"/>
        <v>-12.677419354838705</v>
      </c>
      <c r="N436" s="130">
        <f t="shared" si="199"/>
        <v>0</v>
      </c>
      <c r="O436" s="389"/>
      <c r="P436" s="389"/>
      <c r="Q436" s="389"/>
      <c r="R436" s="389"/>
      <c r="S436" s="389"/>
      <c r="T436" s="389"/>
      <c r="U436" s="38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39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9"/>
      <c r="P437" s="389"/>
      <c r="Q437" s="389"/>
      <c r="R437" s="389"/>
      <c r="S437" s="389"/>
      <c r="T437" s="389"/>
      <c r="U437" s="38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39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9"/>
      <c r="P438" s="389"/>
      <c r="Q438" s="389"/>
      <c r="R438" s="389"/>
      <c r="S438" s="389"/>
      <c r="T438" s="389"/>
      <c r="U438" s="38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39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389"/>
      <c r="P439" s="389"/>
      <c r="Q439" s="389"/>
      <c r="R439" s="389"/>
      <c r="S439" s="389"/>
      <c r="T439" s="389"/>
      <c r="U439" s="38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39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389"/>
      <c r="P440" s="389"/>
      <c r="Q440" s="389"/>
      <c r="R440" s="389"/>
      <c r="S440" s="389"/>
      <c r="T440" s="389"/>
      <c r="U440" s="38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39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389"/>
      <c r="P441" s="389"/>
      <c r="Q441" s="389"/>
      <c r="R441" s="389"/>
      <c r="S441" s="389"/>
      <c r="T441" s="389"/>
      <c r="U441" s="389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39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389"/>
      <c r="P442" s="389"/>
      <c r="Q442" s="389"/>
      <c r="R442" s="389"/>
      <c r="S442" s="389"/>
      <c r="T442" s="389"/>
      <c r="U442" s="389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39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389"/>
      <c r="P443" s="389"/>
      <c r="Q443" s="389"/>
      <c r="R443" s="389"/>
      <c r="S443" s="389"/>
      <c r="T443" s="389"/>
      <c r="U443" s="389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39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389"/>
      <c r="P444" s="389"/>
      <c r="Q444" s="389"/>
      <c r="R444" s="389"/>
      <c r="S444" s="389"/>
      <c r="T444" s="389"/>
      <c r="U444" s="389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390" t="s">
        <v>222</v>
      </c>
      <c r="C445" s="126" t="s">
        <v>181</v>
      </c>
      <c r="D445" s="108">
        <v>9.36</v>
      </c>
      <c r="E445" s="108"/>
      <c r="F445" s="127"/>
      <c r="G445" s="128"/>
      <c r="H445" s="39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389"/>
      <c r="P445" s="389"/>
      <c r="Q445" s="389"/>
      <c r="R445" s="389"/>
      <c r="S445" s="389"/>
      <c r="T445" s="389"/>
      <c r="U445" s="389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390" t="s">
        <v>222</v>
      </c>
      <c r="C446" s="126" t="s">
        <v>179</v>
      </c>
      <c r="D446" s="108">
        <v>9.36</v>
      </c>
      <c r="E446" s="108"/>
      <c r="F446" s="127"/>
      <c r="G446" s="128"/>
      <c r="H446" s="39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389"/>
      <c r="P446" s="389"/>
      <c r="Q446" s="389"/>
      <c r="R446" s="389"/>
      <c r="S446" s="389"/>
      <c r="T446" s="389"/>
      <c r="U446" s="389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390" t="s">
        <v>222</v>
      </c>
      <c r="C447" s="126" t="s">
        <v>221</v>
      </c>
      <c r="D447" s="108">
        <v>9.36</v>
      </c>
      <c r="E447" s="108"/>
      <c r="F447" s="127"/>
      <c r="G447" s="128"/>
      <c r="H447" s="39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389"/>
      <c r="P447" s="389"/>
      <c r="Q447" s="389"/>
      <c r="R447" s="389"/>
      <c r="S447" s="389"/>
      <c r="T447" s="389"/>
      <c r="U447" s="389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390" t="s">
        <v>222</v>
      </c>
      <c r="C448" s="126" t="s">
        <v>186</v>
      </c>
      <c r="D448" s="108">
        <v>9.36</v>
      </c>
      <c r="E448" s="108"/>
      <c r="F448" s="127"/>
      <c r="G448" s="128"/>
      <c r="H448" s="39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389"/>
      <c r="P448" s="389"/>
      <c r="Q448" s="389"/>
      <c r="R448" s="389"/>
      <c r="S448" s="389"/>
      <c r="T448" s="389"/>
      <c r="U448" s="389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390" t="s">
        <v>393</v>
      </c>
      <c r="C449" s="187" t="s">
        <v>395</v>
      </c>
      <c r="D449" s="108">
        <v>5</v>
      </c>
      <c r="E449" s="108"/>
      <c r="F449" s="127"/>
      <c r="G449" s="128"/>
      <c r="H449" s="39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389"/>
      <c r="P449" s="389"/>
      <c r="Q449" s="389"/>
      <c r="R449" s="389"/>
      <c r="S449" s="389"/>
      <c r="T449" s="389"/>
      <c r="U449" s="38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390" t="s">
        <v>393</v>
      </c>
      <c r="C450" s="187" t="s">
        <v>402</v>
      </c>
      <c r="D450" s="108">
        <v>5</v>
      </c>
      <c r="E450" s="108"/>
      <c r="F450" s="127"/>
      <c r="G450" s="128"/>
      <c r="H450" s="39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389"/>
      <c r="P450" s="389"/>
      <c r="Q450" s="389"/>
      <c r="R450" s="389"/>
      <c r="S450" s="389"/>
      <c r="T450" s="389"/>
      <c r="U450" s="38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390" t="s">
        <v>404</v>
      </c>
      <c r="C451" s="187" t="s">
        <v>405</v>
      </c>
      <c r="D451" s="108">
        <v>5</v>
      </c>
      <c r="E451" s="108"/>
      <c r="F451" s="127"/>
      <c r="G451" s="128"/>
      <c r="H451" s="39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389"/>
      <c r="P451" s="389"/>
      <c r="Q451" s="389"/>
      <c r="R451" s="389"/>
      <c r="S451" s="389"/>
      <c r="T451" s="389"/>
      <c r="U451" s="38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390" t="s">
        <v>342</v>
      </c>
      <c r="C452" s="187" t="s">
        <v>372</v>
      </c>
      <c r="D452" s="108">
        <v>5</v>
      </c>
      <c r="E452" s="108"/>
      <c r="F452" s="127"/>
      <c r="G452" s="128"/>
      <c r="H452" s="39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389"/>
      <c r="P452" s="389"/>
      <c r="Q452" s="389"/>
      <c r="R452" s="389"/>
      <c r="S452" s="389"/>
      <c r="T452" s="389"/>
      <c r="U452" s="38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390" t="s">
        <v>343</v>
      </c>
      <c r="C453" s="126" t="s">
        <v>345</v>
      </c>
      <c r="D453" s="108">
        <v>5</v>
      </c>
      <c r="E453" s="108"/>
      <c r="F453" s="127"/>
      <c r="G453" s="128"/>
      <c r="H453" s="39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389"/>
      <c r="P453" s="389"/>
      <c r="Q453" s="389"/>
      <c r="R453" s="389"/>
      <c r="S453" s="389"/>
      <c r="T453" s="389"/>
      <c r="U453" s="38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390" t="s">
        <v>343</v>
      </c>
      <c r="C454" s="126" t="s">
        <v>347</v>
      </c>
      <c r="D454" s="108">
        <v>5</v>
      </c>
      <c r="E454" s="108"/>
      <c r="F454" s="127"/>
      <c r="G454" s="128"/>
      <c r="H454" s="39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389"/>
      <c r="P454" s="389"/>
      <c r="Q454" s="389"/>
      <c r="R454" s="389"/>
      <c r="S454" s="389"/>
      <c r="T454" s="389"/>
      <c r="U454" s="38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39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389"/>
      <c r="P455" s="389"/>
      <c r="Q455" s="389"/>
      <c r="R455" s="389"/>
      <c r="S455" s="389"/>
      <c r="T455" s="389"/>
      <c r="U455" s="389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39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389"/>
      <c r="P456" s="389"/>
      <c r="Q456" s="389"/>
      <c r="R456" s="389"/>
      <c r="S456" s="389"/>
      <c r="T456" s="389"/>
      <c r="U456" s="389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39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389"/>
      <c r="P457" s="389"/>
      <c r="Q457" s="389"/>
      <c r="R457" s="389"/>
      <c r="S457" s="389"/>
      <c r="T457" s="389"/>
      <c r="U457" s="38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39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389"/>
      <c r="P458" s="389"/>
      <c r="Q458" s="389"/>
      <c r="R458" s="389"/>
      <c r="S458" s="389"/>
      <c r="T458" s="389"/>
      <c r="U458" s="38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39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389"/>
      <c r="P459" s="389"/>
      <c r="Q459" s="389"/>
      <c r="R459" s="389"/>
      <c r="S459" s="389"/>
      <c r="T459" s="389"/>
      <c r="U459" s="38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39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389"/>
      <c r="P460" s="389"/>
      <c r="Q460" s="389"/>
      <c r="R460" s="389"/>
      <c r="S460" s="389"/>
      <c r="T460" s="389"/>
      <c r="U460" s="389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39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389"/>
      <c r="P461" s="389"/>
      <c r="Q461" s="389"/>
      <c r="R461" s="389"/>
      <c r="S461" s="389"/>
      <c r="T461" s="389"/>
      <c r="U461" s="389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398">
        <f t="shared" si="197"/>
        <v>0</v>
      </c>
      <c r="I462" s="129"/>
      <c r="J462" s="130" t="str">
        <f t="array" ref="J462">IF(ISERROR(G462/I462),"",G462/I462)</f>
        <v/>
      </c>
      <c r="K462" s="39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389"/>
      <c r="P462" s="389"/>
      <c r="Q462" s="389"/>
      <c r="R462" s="389"/>
      <c r="S462" s="389"/>
      <c r="T462" s="389"/>
      <c r="U462" s="389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396" t="s">
        <v>202</v>
      </c>
      <c r="D463" s="143"/>
      <c r="E463" s="143"/>
      <c r="F463" s="144"/>
      <c r="G463" s="145">
        <f>SUM(G429:G462)</f>
        <v>844</v>
      </c>
      <c r="H463" s="146">
        <f>SUM(H429:H462)</f>
        <v>4245.3200000000006</v>
      </c>
      <c r="I463" s="146">
        <f>SUM(I429:I462)</f>
        <v>78</v>
      </c>
      <c r="J463" s="130">
        <f t="array" ref="J463">IF(ISERROR(G463/I463),"",G463/I463)</f>
        <v>10.820512820512821</v>
      </c>
      <c r="K463" s="146">
        <f>SUM(K429:K462)</f>
        <v>90.752688172043008</v>
      </c>
      <c r="L463" s="147"/>
      <c r="M463" s="150">
        <f t="shared" ref="M463:V463" si="211">SUM(M429:M462)</f>
        <v>-12.752688172043005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39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389"/>
      <c r="P464" s="389"/>
      <c r="Q464" s="389"/>
      <c r="R464" s="389"/>
      <c r="S464" s="389"/>
      <c r="T464" s="389"/>
      <c r="U464" s="389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39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389"/>
      <c r="P465" s="389"/>
      <c r="Q465" s="389"/>
      <c r="R465" s="389"/>
      <c r="S465" s="389"/>
      <c r="T465" s="389"/>
      <c r="U465" s="389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39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389"/>
      <c r="P466" s="389"/>
      <c r="Q466" s="389"/>
      <c r="R466" s="389"/>
      <c r="S466" s="389"/>
      <c r="T466" s="389"/>
      <c r="U466" s="389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39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389"/>
      <c r="P467" s="389"/>
      <c r="Q467" s="389"/>
      <c r="R467" s="389"/>
      <c r="S467" s="389"/>
      <c r="T467" s="389"/>
      <c r="U467" s="389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394" t="s">
        <v>203</v>
      </c>
      <c r="D468" s="108">
        <v>5.03</v>
      </c>
      <c r="E468" s="108"/>
      <c r="F468" s="127"/>
      <c r="G468" s="128"/>
      <c r="H468" s="39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389"/>
      <c r="P468" s="389"/>
      <c r="Q468" s="389"/>
      <c r="R468" s="389"/>
      <c r="S468" s="389"/>
      <c r="T468" s="389"/>
      <c r="U468" s="389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39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389"/>
      <c r="P469" s="389"/>
      <c r="Q469" s="389"/>
      <c r="R469" s="389"/>
      <c r="S469" s="389"/>
      <c r="T469" s="389"/>
      <c r="U469" s="389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39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389"/>
      <c r="P470" s="389"/>
      <c r="Q470" s="389"/>
      <c r="R470" s="389"/>
      <c r="S470" s="389"/>
      <c r="T470" s="389"/>
      <c r="U470" s="389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394" t="s">
        <v>228</v>
      </c>
      <c r="D471" s="108">
        <v>5.03</v>
      </c>
      <c r="E471" s="108"/>
      <c r="F471" s="127"/>
      <c r="G471" s="128"/>
      <c r="H471" s="39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389"/>
      <c r="P471" s="389"/>
      <c r="Q471" s="389"/>
      <c r="R471" s="389"/>
      <c r="S471" s="389"/>
      <c r="T471" s="389"/>
      <c r="U471" s="389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394" t="s">
        <v>212</v>
      </c>
      <c r="D472" s="108">
        <v>5.03</v>
      </c>
      <c r="E472" s="108"/>
      <c r="F472" s="127"/>
      <c r="G472" s="128"/>
      <c r="H472" s="39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389"/>
      <c r="P472" s="389"/>
      <c r="Q472" s="389"/>
      <c r="R472" s="389"/>
      <c r="S472" s="389"/>
      <c r="T472" s="389"/>
      <c r="U472" s="389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394" t="s">
        <v>203</v>
      </c>
      <c r="D473" s="108">
        <v>5.03</v>
      </c>
      <c r="E473" s="108"/>
      <c r="F473" s="127"/>
      <c r="G473" s="128"/>
      <c r="H473" s="39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389"/>
      <c r="P473" s="389"/>
      <c r="Q473" s="389"/>
      <c r="R473" s="389"/>
      <c r="S473" s="389"/>
      <c r="T473" s="389"/>
      <c r="U473" s="389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394" t="s">
        <v>186</v>
      </c>
      <c r="D474" s="108">
        <v>5.03</v>
      </c>
      <c r="E474" s="108"/>
      <c r="F474" s="127"/>
      <c r="G474" s="128"/>
      <c r="H474" s="39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389"/>
      <c r="P474" s="389"/>
      <c r="Q474" s="389"/>
      <c r="R474" s="389"/>
      <c r="S474" s="389"/>
      <c r="T474" s="389"/>
      <c r="U474" s="389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394" t="s">
        <v>228</v>
      </c>
      <c r="D475" s="108">
        <v>5.03</v>
      </c>
      <c r="E475" s="108"/>
      <c r="F475" s="127"/>
      <c r="G475" s="128"/>
      <c r="H475" s="39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389"/>
      <c r="P475" s="389"/>
      <c r="Q475" s="389"/>
      <c r="R475" s="389"/>
      <c r="S475" s="389"/>
      <c r="T475" s="389"/>
      <c r="U475" s="389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394" t="s">
        <v>199</v>
      </c>
      <c r="D476" s="108">
        <v>5.03</v>
      </c>
      <c r="E476" s="108"/>
      <c r="F476" s="127"/>
      <c r="G476" s="128"/>
      <c r="H476" s="39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389"/>
      <c r="P476" s="389"/>
      <c r="Q476" s="389"/>
      <c r="R476" s="389"/>
      <c r="S476" s="389"/>
      <c r="T476" s="389"/>
      <c r="U476" s="389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39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389"/>
      <c r="P477" s="389"/>
      <c r="Q477" s="389"/>
      <c r="R477" s="389"/>
      <c r="S477" s="389"/>
      <c r="T477" s="389"/>
      <c r="U477" s="389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39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389"/>
      <c r="P478" s="389"/>
      <c r="Q478" s="389"/>
      <c r="R478" s="389"/>
      <c r="S478" s="389"/>
      <c r="T478" s="389"/>
      <c r="U478" s="389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39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39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389"/>
      <c r="P480" s="389"/>
      <c r="Q480" s="389"/>
      <c r="R480" s="389"/>
      <c r="S480" s="389"/>
      <c r="T480" s="389"/>
      <c r="U480" s="389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39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389"/>
      <c r="P481" s="389"/>
      <c r="Q481" s="389"/>
      <c r="R481" s="389"/>
      <c r="S481" s="389"/>
      <c r="T481" s="389"/>
      <c r="U481" s="389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39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389"/>
      <c r="P482" s="389"/>
      <c r="Q482" s="389"/>
      <c r="R482" s="389"/>
      <c r="S482" s="389"/>
      <c r="T482" s="389"/>
      <c r="U482" s="389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39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389"/>
      <c r="P483" s="389"/>
      <c r="Q483" s="389"/>
      <c r="R483" s="389"/>
      <c r="S483" s="389"/>
      <c r="T483" s="389"/>
      <c r="U483" s="389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39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389"/>
      <c r="P484" s="389"/>
      <c r="Q484" s="389"/>
      <c r="R484" s="389"/>
      <c r="S484" s="389"/>
      <c r="T484" s="389"/>
      <c r="U484" s="389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39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389"/>
      <c r="P485" s="389"/>
      <c r="Q485" s="389"/>
      <c r="R485" s="389"/>
      <c r="S485" s="389"/>
      <c r="T485" s="389"/>
      <c r="U485" s="38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39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389"/>
      <c r="P486" s="389"/>
      <c r="Q486" s="389"/>
      <c r="R486" s="389"/>
      <c r="S486" s="389"/>
      <c r="T486" s="389"/>
      <c r="U486" s="38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39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389"/>
      <c r="P487" s="389"/>
      <c r="Q487" s="389"/>
      <c r="R487" s="389"/>
      <c r="S487" s="389"/>
      <c r="T487" s="389"/>
      <c r="U487" s="389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39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389"/>
      <c r="P489" s="389"/>
      <c r="Q489" s="389"/>
      <c r="R489" s="389"/>
      <c r="S489" s="389"/>
      <c r="T489" s="389"/>
      <c r="U489" s="389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39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388"/>
      <c r="D491" s="108">
        <v>3.65</v>
      </c>
      <c r="E491" s="108"/>
      <c r="F491" s="153"/>
      <c r="G491" s="128"/>
      <c r="H491" s="398">
        <f t="shared" ref="H491:H505" si="224">D491*G491</f>
        <v>0</v>
      </c>
      <c r="I491" s="129"/>
      <c r="J491" s="130" t="str">
        <f t="array" ref="J491">IF(ISERROR(G491/I491),"",G491/I491)</f>
        <v/>
      </c>
      <c r="K491" s="39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389"/>
      <c r="P491" s="389"/>
      <c r="Q491" s="389"/>
      <c r="R491" s="389"/>
      <c r="S491" s="389"/>
      <c r="T491" s="389"/>
      <c r="U491" s="389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388"/>
      <c r="D492" s="108">
        <v>6.58</v>
      </c>
      <c r="E492" s="108"/>
      <c r="F492" s="127"/>
      <c r="G492" s="128"/>
      <c r="H492" s="39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389"/>
      <c r="P492" s="389"/>
      <c r="Q492" s="389"/>
      <c r="R492" s="389"/>
      <c r="S492" s="389"/>
      <c r="T492" s="389"/>
      <c r="U492" s="389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388"/>
      <c r="D493" s="108">
        <v>7.8</v>
      </c>
      <c r="E493" s="108"/>
      <c r="F493" s="127"/>
      <c r="G493" s="128"/>
      <c r="H493" s="39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389"/>
      <c r="P493" s="389"/>
      <c r="Q493" s="389"/>
      <c r="R493" s="389"/>
      <c r="S493" s="389"/>
      <c r="T493" s="389"/>
      <c r="U493" s="389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388"/>
      <c r="D494" s="108">
        <v>4.4000000000000004</v>
      </c>
      <c r="E494" s="108"/>
      <c r="F494" s="127"/>
      <c r="G494" s="128"/>
      <c r="H494" s="39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389"/>
      <c r="P494" s="389"/>
      <c r="Q494" s="389"/>
      <c r="R494" s="389"/>
      <c r="S494" s="389"/>
      <c r="T494" s="389"/>
      <c r="U494" s="389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398">
        <f t="shared" si="224"/>
        <v>0</v>
      </c>
      <c r="I495" s="129"/>
      <c r="J495" s="130"/>
      <c r="K495" s="131"/>
      <c r="L495" s="129"/>
      <c r="M495" s="109"/>
      <c r="N495" s="130"/>
      <c r="O495" s="389"/>
      <c r="P495" s="389"/>
      <c r="Q495" s="389"/>
      <c r="R495" s="389"/>
      <c r="S495" s="389"/>
      <c r="T495" s="389"/>
      <c r="U495" s="38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388"/>
      <c r="D496" s="108"/>
      <c r="E496" s="108"/>
      <c r="F496" s="127"/>
      <c r="G496" s="128"/>
      <c r="H496" s="39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389"/>
      <c r="P496" s="389"/>
      <c r="Q496" s="389"/>
      <c r="R496" s="389"/>
      <c r="S496" s="389"/>
      <c r="T496" s="389"/>
      <c r="U496" s="38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388" t="s">
        <v>239</v>
      </c>
      <c r="C497" s="388" t="s">
        <v>179</v>
      </c>
      <c r="D497" s="108">
        <v>6.04</v>
      </c>
      <c r="E497" s="108"/>
      <c r="F497" s="127"/>
      <c r="G497" s="128"/>
      <c r="H497" s="39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389"/>
      <c r="P497" s="389"/>
      <c r="Q497" s="389"/>
      <c r="R497" s="389"/>
      <c r="S497" s="389"/>
      <c r="T497" s="389"/>
      <c r="U497" s="389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388" t="s">
        <v>239</v>
      </c>
      <c r="C498" s="388" t="s">
        <v>186</v>
      </c>
      <c r="D498" s="108">
        <v>6.04</v>
      </c>
      <c r="E498" s="108"/>
      <c r="F498" s="127"/>
      <c r="G498" s="128"/>
      <c r="H498" s="39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389"/>
      <c r="P498" s="389"/>
      <c r="Q498" s="389"/>
      <c r="R498" s="389"/>
      <c r="S498" s="389"/>
      <c r="T498" s="389"/>
      <c r="U498" s="389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388" t="s">
        <v>443</v>
      </c>
      <c r="C499" s="388" t="s">
        <v>179</v>
      </c>
      <c r="D499" s="108"/>
      <c r="E499" s="108"/>
      <c r="F499" s="127"/>
      <c r="G499" s="128"/>
      <c r="H499" s="398">
        <f t="shared" si="224"/>
        <v>0</v>
      </c>
      <c r="I499" s="129"/>
      <c r="J499" s="130"/>
      <c r="K499" s="131"/>
      <c r="L499" s="129"/>
      <c r="M499" s="109"/>
      <c r="N499" s="130"/>
      <c r="O499" s="389"/>
      <c r="P499" s="389"/>
      <c r="Q499" s="389"/>
      <c r="R499" s="389"/>
      <c r="S499" s="389"/>
      <c r="T499" s="389"/>
      <c r="U499" s="38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388" t="s">
        <v>443</v>
      </c>
      <c r="C500" s="388" t="s">
        <v>186</v>
      </c>
      <c r="D500" s="108"/>
      <c r="E500" s="108"/>
      <c r="F500" s="127"/>
      <c r="G500" s="128"/>
      <c r="H500" s="398">
        <f t="shared" si="224"/>
        <v>0</v>
      </c>
      <c r="I500" s="129"/>
      <c r="J500" s="130"/>
      <c r="K500" s="131"/>
      <c r="L500" s="129"/>
      <c r="M500" s="109"/>
      <c r="N500" s="130"/>
      <c r="O500" s="389"/>
      <c r="P500" s="389"/>
      <c r="Q500" s="389"/>
      <c r="R500" s="389"/>
      <c r="S500" s="389"/>
      <c r="T500" s="389"/>
      <c r="U500" s="38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390" t="s">
        <v>240</v>
      </c>
      <c r="C501" s="126"/>
      <c r="D501" s="108">
        <v>7.3</v>
      </c>
      <c r="E501" s="108"/>
      <c r="F501" s="127"/>
      <c r="G501" s="128"/>
      <c r="H501" s="39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389"/>
      <c r="P501" s="389"/>
      <c r="Q501" s="389"/>
      <c r="R501" s="389"/>
      <c r="S501" s="389"/>
      <c r="T501" s="389"/>
      <c r="U501" s="389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390" t="s">
        <v>241</v>
      </c>
      <c r="C502" s="126"/>
      <c r="D502" s="108">
        <f>78*120/1000</f>
        <v>9.36</v>
      </c>
      <c r="E502" s="108"/>
      <c r="F502" s="127"/>
      <c r="G502" s="128"/>
      <c r="H502" s="398">
        <f t="shared" si="224"/>
        <v>0</v>
      </c>
      <c r="I502" s="129"/>
      <c r="J502" s="130"/>
      <c r="K502" s="131"/>
      <c r="L502" s="129"/>
      <c r="M502" s="109"/>
      <c r="N502" s="130"/>
      <c r="O502" s="389"/>
      <c r="P502" s="389"/>
      <c r="Q502" s="389"/>
      <c r="R502" s="389"/>
      <c r="S502" s="389"/>
      <c r="T502" s="389"/>
      <c r="U502" s="38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390" t="s">
        <v>242</v>
      </c>
      <c r="C503" s="126"/>
      <c r="D503" s="108">
        <v>4.5</v>
      </c>
      <c r="E503" s="108"/>
      <c r="F503" s="127"/>
      <c r="G503" s="128"/>
      <c r="H503" s="398">
        <f t="shared" si="224"/>
        <v>0</v>
      </c>
      <c r="I503" s="129"/>
      <c r="J503" s="130"/>
      <c r="K503" s="131"/>
      <c r="L503" s="129"/>
      <c r="M503" s="109"/>
      <c r="N503" s="130"/>
      <c r="O503" s="389"/>
      <c r="P503" s="389"/>
      <c r="Q503" s="389"/>
      <c r="R503" s="389"/>
      <c r="S503" s="389"/>
      <c r="T503" s="389"/>
      <c r="U503" s="38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390" t="s">
        <v>243</v>
      </c>
      <c r="C504" s="126"/>
      <c r="D504" s="108">
        <v>4.5</v>
      </c>
      <c r="E504" s="108"/>
      <c r="F504" s="127"/>
      <c r="G504" s="128"/>
      <c r="H504" s="398">
        <f t="shared" si="224"/>
        <v>0</v>
      </c>
      <c r="I504" s="129"/>
      <c r="J504" s="130"/>
      <c r="K504" s="131"/>
      <c r="L504" s="129"/>
      <c r="M504" s="109"/>
      <c r="N504" s="130"/>
      <c r="O504" s="389"/>
      <c r="P504" s="389"/>
      <c r="Q504" s="389"/>
      <c r="R504" s="389"/>
      <c r="S504" s="389"/>
      <c r="T504" s="389"/>
      <c r="U504" s="38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390"/>
      <c r="C505" s="126"/>
      <c r="D505" s="108"/>
      <c r="E505" s="108"/>
      <c r="F505" s="127"/>
      <c r="G505" s="128"/>
      <c r="H505" s="398">
        <f t="shared" si="224"/>
        <v>0</v>
      </c>
      <c r="I505" s="129"/>
      <c r="J505" s="130"/>
      <c r="K505" s="131"/>
      <c r="L505" s="129"/>
      <c r="M505" s="109"/>
      <c r="N505" s="130"/>
      <c r="O505" s="389"/>
      <c r="P505" s="389"/>
      <c r="Q505" s="389"/>
      <c r="R505" s="389"/>
      <c r="S505" s="389"/>
      <c r="T505" s="389"/>
      <c r="U505" s="38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39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844</v>
      </c>
      <c r="H507" s="154">
        <f>SUM(H370,H428,H463,H479,H490,H506)</f>
        <v>4245.3200000000006</v>
      </c>
      <c r="I507" s="154">
        <f>SUM(I370,I428,I463,I479,I490,I506)</f>
        <v>78</v>
      </c>
      <c r="J507" s="155">
        <f t="array" ref="J507">IF(ISERROR(G507/I507),"",G507/I507)</f>
        <v>10.820512820512821</v>
      </c>
      <c r="K507" s="154">
        <f>SUM(K370,K428,K463,K479,K490,K506)</f>
        <v>90.752688172043008</v>
      </c>
      <c r="L507" s="155">
        <f>IF(ISERROR(G507/K507),"",G507/K507)</f>
        <v>9.3000000000000007</v>
      </c>
      <c r="M507" s="154">
        <f t="shared" ref="M507:V507" si="237">SUM(M370,M428,M463,M479,M490,M506)</f>
        <v>-12.752688172043005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395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395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395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395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395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395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395">
        <f>G507</f>
        <v>844</v>
      </c>
      <c r="C514" s="638" t="s">
        <v>269</v>
      </c>
      <c r="D514" s="639"/>
      <c r="E514" s="631">
        <f>H507</f>
        <v>4245.3200000000006</v>
      </c>
      <c r="F514" s="631"/>
      <c r="G514" s="631" t="s">
        <v>270</v>
      </c>
      <c r="H514" s="631"/>
      <c r="I514" s="640">
        <f>L507</f>
        <v>9.3000000000000007</v>
      </c>
      <c r="J514" s="640"/>
      <c r="K514" s="628" t="s">
        <v>271</v>
      </c>
      <c r="L514" s="628"/>
      <c r="M514" s="640">
        <f>J507</f>
        <v>10.820512820512821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395">
        <f>I507+C513</f>
        <v>79</v>
      </c>
      <c r="C515" s="641" t="s">
        <v>251</v>
      </c>
      <c r="D515" s="642"/>
      <c r="E515" s="643">
        <f>K507+I513</f>
        <v>101.75268817204301</v>
      </c>
      <c r="F515" s="643"/>
      <c r="G515" s="631" t="s">
        <v>274</v>
      </c>
      <c r="H515" s="631"/>
      <c r="I515" s="640">
        <f>B515-E515</f>
        <v>-22.752688172043008</v>
      </c>
      <c r="J515" s="640"/>
      <c r="K515" s="628" t="s">
        <v>275</v>
      </c>
      <c r="L515" s="628"/>
      <c r="M515" s="632">
        <f>IF(ISERROR(I515/E515),"",I515/E515)</f>
        <v>-0.22360773539046813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395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39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11929</v>
      </c>
      <c r="D519" s="627"/>
      <c r="E519" s="673" t="s">
        <v>269</v>
      </c>
      <c r="F519" s="673"/>
      <c r="G519" s="643">
        <f>SUM(E171,E342,E514)</f>
        <v>60498.18</v>
      </c>
      <c r="H519" s="643"/>
      <c r="I519" s="631" t="s">
        <v>270</v>
      </c>
      <c r="J519" s="673"/>
      <c r="K519" s="626">
        <f>IF(ISERROR(C519/G520),"",C519/G520)</f>
        <v>18.680897357150268</v>
      </c>
      <c r="L519" s="627"/>
      <c r="M519" s="631" t="s">
        <v>271</v>
      </c>
      <c r="N519" s="631"/>
      <c r="O519" s="668">
        <f t="array" ref="O519">IF(ISERROR(C519/C520),"",C519/C520)</f>
        <v>16.788403349517981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710.55</v>
      </c>
      <c r="D520" s="627"/>
      <c r="E520" s="631" t="s">
        <v>251</v>
      </c>
      <c r="F520" s="631"/>
      <c r="G520" s="643">
        <f>SUM(E172,E343,E515)</f>
        <v>638.56675468719266</v>
      </c>
      <c r="H520" s="643"/>
      <c r="I520" s="641" t="s">
        <v>274</v>
      </c>
      <c r="J520" s="642"/>
      <c r="K520" s="638">
        <f>C520-G520</f>
        <v>71.983245312807298</v>
      </c>
      <c r="L520" s="639"/>
      <c r="M520" s="638" t="s">
        <v>275</v>
      </c>
      <c r="N520" s="639"/>
      <c r="O520" s="671">
        <f>IF(ISERROR(K520/C520),"",K520/C520)</f>
        <v>0.10130637578327677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39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3666</v>
      </c>
      <c r="D524" s="642"/>
      <c r="E524" s="681">
        <f>IF(ISERROR(C524/C530),"",C524/C530)</f>
        <v>0.30731829994131948</v>
      </c>
      <c r="F524" s="682"/>
      <c r="G524" s="676"/>
      <c r="H524" s="677"/>
      <c r="I524" s="683" t="s">
        <v>301</v>
      </c>
      <c r="J524" s="684"/>
      <c r="K524" s="638">
        <f t="shared" ref="K524:K529" si="239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40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4556</v>
      </c>
      <c r="D525" s="642"/>
      <c r="E525" s="681">
        <f>IF(ISERROR(C525/C530),"",C525/C530)</f>
        <v>0.38192639785396931</v>
      </c>
      <c r="F525" s="682"/>
      <c r="G525" s="676"/>
      <c r="H525" s="677"/>
      <c r="I525" s="683" t="s">
        <v>302</v>
      </c>
      <c r="J525" s="684"/>
      <c r="K525" s="638">
        <f t="shared" si="239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40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1902</v>
      </c>
      <c r="D526" s="642"/>
      <c r="E526" s="681">
        <f>IF(ISERROR(C526/C530),"",C526/C530)</f>
        <v>0.15944337329197752</v>
      </c>
      <c r="F526" s="682"/>
      <c r="G526" s="676"/>
      <c r="H526" s="677"/>
      <c r="I526" s="683" t="s">
        <v>303</v>
      </c>
      <c r="J526" s="684"/>
      <c r="K526" s="638">
        <f t="shared" si="239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40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1613</v>
      </c>
      <c r="D527" s="642"/>
      <c r="E527" s="681">
        <f>IF(ISERROR(C527/C530),"",C527/C530)</f>
        <v>0.13521669880124068</v>
      </c>
      <c r="F527" s="682"/>
      <c r="G527" s="676"/>
      <c r="H527" s="677"/>
      <c r="I527" s="683" t="s">
        <v>304</v>
      </c>
      <c r="J527" s="684"/>
      <c r="K527" s="638">
        <f t="shared" si="239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40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96</v>
      </c>
      <c r="D528" s="642"/>
      <c r="E528" s="681">
        <f>IF(ISERROR(C528/C530),"",C528/C530)</f>
        <v>8.0476150557465004E-3</v>
      </c>
      <c r="F528" s="682"/>
      <c r="G528" s="676"/>
      <c r="H528" s="677"/>
      <c r="I528" s="683" t="s">
        <v>306</v>
      </c>
      <c r="J528" s="684"/>
      <c r="K528" s="638">
        <f t="shared" si="239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40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96</v>
      </c>
      <c r="D529" s="642"/>
      <c r="E529" s="681">
        <f>IF(ISERROR(C529/C530),"",C529/C530)</f>
        <v>8.0476150557465004E-3</v>
      </c>
      <c r="F529" s="682"/>
      <c r="G529" s="676"/>
      <c r="H529" s="677"/>
      <c r="I529" s="683" t="s">
        <v>307</v>
      </c>
      <c r="J529" s="684"/>
      <c r="K529" s="638">
        <f t="shared" si="239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40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11929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388" t="s">
        <v>309</v>
      </c>
      <c r="D532" s="388" t="s">
        <v>310</v>
      </c>
      <c r="E532" s="388" t="s">
        <v>311</v>
      </c>
      <c r="F532" s="38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38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398" t="s">
        <v>322</v>
      </c>
      <c r="Q532" s="129" t="s">
        <v>323</v>
      </c>
      <c r="R532" s="109" t="s">
        <v>324</v>
      </c>
      <c r="S532" s="388" t="s">
        <v>325</v>
      </c>
      <c r="T532" s="38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38</v>
      </c>
      <c r="D533" s="106">
        <f>+'1'!C533</f>
        <v>38</v>
      </c>
      <c r="E533" s="106"/>
      <c r="F533" s="106"/>
      <c r="G533" s="107"/>
      <c r="H533" s="106"/>
      <c r="I533" s="106"/>
      <c r="J533" s="106">
        <f>C533-H533-I533</f>
        <v>38</v>
      </c>
      <c r="K533" s="106"/>
      <c r="L533" s="106"/>
      <c r="M533" s="106"/>
      <c r="N533" s="106"/>
      <c r="O533" s="106"/>
      <c r="P533" s="108"/>
      <c r="Q533" s="106">
        <f>J533-K533-L533</f>
        <v>38</v>
      </c>
      <c r="R533" s="109">
        <f>Q533*11-M533-N533</f>
        <v>418</v>
      </c>
      <c r="S533" s="391">
        <f t="array" ref="S533">IF(ISERROR(Q533/J533),"",Q533/J533)</f>
        <v>1</v>
      </c>
      <c r="T533" s="39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44</v>
      </c>
      <c r="D534" s="106">
        <f>+'1'!C534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3</v>
      </c>
      <c r="L534" s="106"/>
      <c r="M534" s="106"/>
      <c r="N534" s="106"/>
      <c r="O534" s="110"/>
      <c r="P534" s="111"/>
      <c r="Q534" s="106">
        <f>J534-K534-L534</f>
        <v>41</v>
      </c>
      <c r="R534" s="109">
        <f>Q534*11-M534-N534</f>
        <v>451</v>
      </c>
      <c r="S534" s="391">
        <f t="array" ref="S534">IF(ISERROR(Q534/J534),"",Q534/J534)</f>
        <v>0.93181818181818177</v>
      </c>
      <c r="T534" s="39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+'1'!C535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391">
        <f t="array" ref="S535">IF(ISERROR(Q535/J535),"",Q535/J535)</f>
        <v>1</v>
      </c>
      <c r="T535" s="39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92</v>
      </c>
      <c r="D536" s="112">
        <f t="shared" ref="D536:N536" si="241">SUM(D533:D535)</f>
        <v>92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92</v>
      </c>
      <c r="K536" s="112">
        <f t="shared" si="241"/>
        <v>3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89</v>
      </c>
      <c r="R536" s="114">
        <f>SUM(R533:R535)</f>
        <v>979</v>
      </c>
      <c r="S536" s="115">
        <f t="array" ref="S536">IF(ISERROR(Q536/J536),"",Q536/J536)</f>
        <v>0.96739130434782605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83" activePane="bottomRight" state="frozen"/>
      <selection activeCell="E487" sqref="E487"/>
      <selection pane="topRight" activeCell="E487" sqref="E487"/>
      <selection pane="bottomLeft" activeCell="E487" sqref="E487"/>
      <selection pane="bottomRight" activeCell="G207" sqref="G20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412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414" t="s">
        <v>178</v>
      </c>
      <c r="C7" s="126" t="s">
        <v>179</v>
      </c>
      <c r="D7" s="108">
        <v>5.03</v>
      </c>
      <c r="E7" s="108"/>
      <c r="F7" s="127"/>
      <c r="G7" s="128"/>
      <c r="H7" s="42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5"/>
      <c r="P7" s="415"/>
      <c r="Q7" s="415"/>
      <c r="R7" s="415"/>
      <c r="S7" s="415"/>
      <c r="T7" s="415"/>
      <c r="U7" s="41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5"/>
      <c r="Q8" s="415"/>
      <c r="R8" s="415"/>
      <c r="S8" s="415"/>
      <c r="T8" s="415"/>
      <c r="U8" s="41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5"/>
      <c r="P9" s="415"/>
      <c r="Q9" s="415"/>
      <c r="R9" s="415"/>
      <c r="S9" s="415"/>
      <c r="T9" s="415"/>
      <c r="U9" s="41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15"/>
      <c r="P10" s="415"/>
      <c r="Q10" s="415"/>
      <c r="R10" s="415"/>
      <c r="S10" s="415"/>
      <c r="T10" s="415"/>
      <c r="U10" s="41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42738</v>
      </c>
      <c r="G11" s="128">
        <f>108*6+43</f>
        <v>691</v>
      </c>
      <c r="H11" s="423">
        <f t="shared" si="0"/>
        <v>3475.73</v>
      </c>
      <c r="I11" s="129">
        <f>11*4</f>
        <v>44</v>
      </c>
      <c r="J11" s="130">
        <f t="array" ref="J11">IF(ISERROR(G11/I11),"",G11/I11)</f>
        <v>15.704545454545455</v>
      </c>
      <c r="K11" s="131">
        <f t="array" ref="K11">IF(ISERROR(G11/L11),"",G11/L11)</f>
        <v>34.549999999999997</v>
      </c>
      <c r="L11" s="129">
        <v>20</v>
      </c>
      <c r="M11" s="109">
        <f t="shared" si="1"/>
        <v>9.4500000000000028</v>
      </c>
      <c r="N11" s="130">
        <f t="shared" si="4"/>
        <v>0</v>
      </c>
      <c r="O11" s="415"/>
      <c r="P11" s="415"/>
      <c r="Q11" s="415"/>
      <c r="R11" s="415"/>
      <c r="S11" s="415"/>
      <c r="T11" s="415"/>
      <c r="U11" s="415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5"/>
      <c r="P12" s="415"/>
      <c r="Q12" s="415"/>
      <c r="R12" s="415"/>
      <c r="S12" s="415"/>
      <c r="T12" s="415"/>
      <c r="U12" s="41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5"/>
      <c r="P13" s="415"/>
      <c r="Q13" s="415"/>
      <c r="R13" s="415"/>
      <c r="S13" s="415"/>
      <c r="T13" s="415"/>
      <c r="U13" s="41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5"/>
      <c r="P14" s="415"/>
      <c r="Q14" s="415"/>
      <c r="R14" s="415"/>
      <c r="S14" s="415"/>
      <c r="T14" s="415"/>
      <c r="U14" s="41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3">
        <f t="shared" si="0"/>
        <v>0</v>
      </c>
      <c r="I15" s="42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5"/>
      <c r="P15" s="415"/>
      <c r="Q15" s="415"/>
      <c r="R15" s="415"/>
      <c r="S15" s="415"/>
      <c r="T15" s="415"/>
      <c r="U15" s="41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3">
        <f t="shared" si="0"/>
        <v>0</v>
      </c>
      <c r="I16" s="42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5"/>
      <c r="P16" s="415"/>
      <c r="Q16" s="415"/>
      <c r="R16" s="415"/>
      <c r="S16" s="415"/>
      <c r="T16" s="415"/>
      <c r="U16" s="41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5"/>
      <c r="P17" s="415"/>
      <c r="Q17" s="415"/>
      <c r="R17" s="415"/>
      <c r="S17" s="415"/>
      <c r="T17" s="415"/>
      <c r="U17" s="41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5"/>
      <c r="P18" s="415"/>
      <c r="Q18" s="415"/>
      <c r="R18" s="415"/>
      <c r="S18" s="415"/>
      <c r="T18" s="415"/>
      <c r="U18" s="415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5"/>
      <c r="P19" s="415"/>
      <c r="Q19" s="415"/>
      <c r="R19" s="415"/>
      <c r="S19" s="415"/>
      <c r="T19" s="415"/>
      <c r="U19" s="415"/>
      <c r="V19" s="132">
        <f t="shared" ref="V19:V21" si="5">SUM(X19:AA19)</f>
        <v>0</v>
      </c>
      <c r="W19" s="41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42738</v>
      </c>
      <c r="G20" s="128">
        <f>100*9+2+100</f>
        <v>1002</v>
      </c>
      <c r="H20" s="423">
        <f t="shared" si="0"/>
        <v>5100.18</v>
      </c>
      <c r="I20" s="129">
        <f>11*5</f>
        <v>55</v>
      </c>
      <c r="J20" s="130">
        <f t="array" ref="J20">IF(ISERROR(G20/I20),"",G20/I20)</f>
        <v>18.218181818181819</v>
      </c>
      <c r="K20" s="131">
        <f t="array" ref="K20">IF(ISERROR(G20/L20),"",G20/L20)</f>
        <v>43.565217391304351</v>
      </c>
      <c r="L20" s="129">
        <v>23</v>
      </c>
      <c r="M20" s="109">
        <f t="shared" si="1"/>
        <v>11.434782608695649</v>
      </c>
      <c r="N20" s="130">
        <f t="shared" si="4"/>
        <v>0</v>
      </c>
      <c r="O20" s="415"/>
      <c r="P20" s="415"/>
      <c r="Q20" s="415"/>
      <c r="R20" s="415"/>
      <c r="S20" s="415"/>
      <c r="T20" s="415"/>
      <c r="U20" s="415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5"/>
      <c r="P21" s="415"/>
      <c r="Q21" s="415"/>
      <c r="R21" s="415"/>
      <c r="S21" s="415"/>
      <c r="T21" s="415"/>
      <c r="U21" s="41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13" t="s">
        <v>190</v>
      </c>
      <c r="D22" s="108">
        <v>4.8</v>
      </c>
      <c r="E22" s="108"/>
      <c r="F22" s="127"/>
      <c r="G22" s="128"/>
      <c r="H22" s="42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5"/>
      <c r="P22" s="415"/>
      <c r="Q22" s="415"/>
      <c r="R22" s="415"/>
      <c r="S22" s="415"/>
      <c r="T22" s="415"/>
      <c r="U22" s="41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13" t="s">
        <v>187</v>
      </c>
      <c r="D23" s="108">
        <v>4.8</v>
      </c>
      <c r="E23" s="108"/>
      <c r="F23" s="127"/>
      <c r="G23" s="128"/>
      <c r="H23" s="42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5"/>
      <c r="P23" s="415"/>
      <c r="Q23" s="415"/>
      <c r="R23" s="415"/>
      <c r="S23" s="415"/>
      <c r="T23" s="415"/>
      <c r="U23" s="41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13" t="s">
        <v>179</v>
      </c>
      <c r="D24" s="108">
        <v>4.8</v>
      </c>
      <c r="E24" s="108"/>
      <c r="F24" s="127"/>
      <c r="G24" s="128"/>
      <c r="H24" s="42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5"/>
      <c r="P24" s="415"/>
      <c r="Q24" s="415"/>
      <c r="R24" s="415"/>
      <c r="S24" s="415"/>
      <c r="T24" s="415"/>
      <c r="U24" s="41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13" t="s">
        <v>199</v>
      </c>
      <c r="D25" s="108">
        <v>4.8</v>
      </c>
      <c r="E25" s="108"/>
      <c r="F25" s="127"/>
      <c r="G25" s="128"/>
      <c r="H25" s="42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5"/>
      <c r="P25" s="415"/>
      <c r="Q25" s="415"/>
      <c r="R25" s="415"/>
      <c r="S25" s="415"/>
      <c r="T25" s="415"/>
      <c r="U25" s="41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5"/>
      <c r="P26" s="415"/>
      <c r="Q26" s="415"/>
      <c r="R26" s="415"/>
      <c r="S26" s="415"/>
      <c r="T26" s="415"/>
      <c r="U26" s="41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5"/>
      <c r="P27" s="415"/>
      <c r="Q27" s="415"/>
      <c r="R27" s="415"/>
      <c r="S27" s="415"/>
      <c r="T27" s="415"/>
      <c r="U27" s="41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421" t="s">
        <v>202</v>
      </c>
      <c r="D28" s="143"/>
      <c r="E28" s="143"/>
      <c r="F28" s="144"/>
      <c r="G28" s="145">
        <f>SUM(G7:G27)</f>
        <v>1693</v>
      </c>
      <c r="H28" s="146">
        <f>SUM(H7:H27)</f>
        <v>8575.91</v>
      </c>
      <c r="I28" s="146">
        <f>SUM(I7:I27)</f>
        <v>99</v>
      </c>
      <c r="J28" s="130">
        <f t="array" ref="J28">IF(ISERROR(G28/I28),"",G28/I28)</f>
        <v>17.1010101010101</v>
      </c>
      <c r="K28" s="146">
        <f>SUM(K7:K27)</f>
        <v>78.115217391304355</v>
      </c>
      <c r="L28" s="147"/>
      <c r="M28" s="146">
        <f t="shared" ref="M28:V28" si="10">SUM(M7:M27)</f>
        <v>20.884782608695652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4" t="s">
        <v>206</v>
      </c>
      <c r="C29" s="126" t="s">
        <v>199</v>
      </c>
      <c r="D29" s="108">
        <v>5.03</v>
      </c>
      <c r="E29" s="108"/>
      <c r="F29" s="127"/>
      <c r="G29" s="128"/>
      <c r="H29" s="42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8"/>
      <c r="P29" s="418"/>
      <c r="Q29" s="418"/>
      <c r="R29" s="418"/>
      <c r="S29" s="418"/>
      <c r="T29" s="418"/>
      <c r="U29" s="41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4" t="s">
        <v>425</v>
      </c>
      <c r="C30" s="187" t="s">
        <v>427</v>
      </c>
      <c r="D30" s="108">
        <v>5.03</v>
      </c>
      <c r="E30" s="108"/>
      <c r="F30" s="127"/>
      <c r="G30" s="128"/>
      <c r="H30" s="42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8"/>
      <c r="P30" s="418"/>
      <c r="Q30" s="418"/>
      <c r="R30" s="418"/>
      <c r="S30" s="418"/>
      <c r="T30" s="418"/>
      <c r="U30" s="41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4" t="s">
        <v>206</v>
      </c>
      <c r="C31" s="126" t="s">
        <v>186</v>
      </c>
      <c r="D31" s="108">
        <v>5.03</v>
      </c>
      <c r="E31" s="108"/>
      <c r="F31" s="127"/>
      <c r="G31" s="128"/>
      <c r="H31" s="42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8"/>
      <c r="P31" s="418"/>
      <c r="Q31" s="418"/>
      <c r="R31" s="418"/>
      <c r="S31" s="418"/>
      <c r="T31" s="418"/>
      <c r="U31" s="41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4" t="s">
        <v>206</v>
      </c>
      <c r="C32" s="126" t="s">
        <v>203</v>
      </c>
      <c r="D32" s="108">
        <v>5.03</v>
      </c>
      <c r="E32" s="108"/>
      <c r="F32" s="127"/>
      <c r="G32" s="128"/>
      <c r="H32" s="42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8"/>
      <c r="P32" s="418"/>
      <c r="Q32" s="418"/>
      <c r="R32" s="418"/>
      <c r="S32" s="418"/>
      <c r="T32" s="418"/>
      <c r="U32" s="41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4" t="s">
        <v>206</v>
      </c>
      <c r="C33" s="126" t="s">
        <v>207</v>
      </c>
      <c r="D33" s="108">
        <v>5.03</v>
      </c>
      <c r="E33" s="108"/>
      <c r="F33" s="127"/>
      <c r="G33" s="128"/>
      <c r="H33" s="42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8"/>
      <c r="P33" s="418"/>
      <c r="Q33" s="418"/>
      <c r="R33" s="418"/>
      <c r="S33" s="418"/>
      <c r="T33" s="418"/>
      <c r="U33" s="41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4" t="s">
        <v>414</v>
      </c>
      <c r="C34" s="187" t="s">
        <v>415</v>
      </c>
      <c r="D34" s="108">
        <v>5.03</v>
      </c>
      <c r="E34" s="108"/>
      <c r="F34" s="127"/>
      <c r="G34" s="128"/>
      <c r="H34" s="423">
        <f t="shared" si="11"/>
        <v>0</v>
      </c>
      <c r="I34" s="129"/>
      <c r="J34" s="130"/>
      <c r="K34" s="131"/>
      <c r="L34" s="129">
        <v>52</v>
      </c>
      <c r="M34" s="109"/>
      <c r="N34" s="130"/>
      <c r="O34" s="418"/>
      <c r="P34" s="418"/>
      <c r="Q34" s="418"/>
      <c r="R34" s="418"/>
      <c r="S34" s="418"/>
      <c r="T34" s="418"/>
      <c r="U34" s="41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4" t="s">
        <v>414</v>
      </c>
      <c r="C35" s="187" t="s">
        <v>416</v>
      </c>
      <c r="D35" s="108">
        <v>5.03</v>
      </c>
      <c r="E35" s="108"/>
      <c r="F35" s="127"/>
      <c r="G35" s="128"/>
      <c r="H35" s="423">
        <f t="shared" si="11"/>
        <v>0</v>
      </c>
      <c r="I35" s="129"/>
      <c r="J35" s="130"/>
      <c r="K35" s="131"/>
      <c r="L35" s="129">
        <v>52</v>
      </c>
      <c r="M35" s="109"/>
      <c r="N35" s="130"/>
      <c r="O35" s="418"/>
      <c r="P35" s="418"/>
      <c r="Q35" s="418"/>
      <c r="R35" s="418"/>
      <c r="S35" s="418"/>
      <c r="T35" s="418"/>
      <c r="U35" s="41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14" t="s">
        <v>414</v>
      </c>
      <c r="C36" s="187" t="s">
        <v>61</v>
      </c>
      <c r="D36" s="108">
        <v>5.03</v>
      </c>
      <c r="E36" s="108"/>
      <c r="F36" s="127">
        <v>42737</v>
      </c>
      <c r="G36" s="128">
        <f>96+3+108*4+63</f>
        <v>594</v>
      </c>
      <c r="H36" s="423">
        <f t="shared" si="11"/>
        <v>2987.82</v>
      </c>
      <c r="I36" s="129">
        <f>4.5*2</f>
        <v>9</v>
      </c>
      <c r="J36" s="130">
        <f t="array" ref="J36">IF(ISERROR(G36/I36),"",G36/I36)</f>
        <v>66</v>
      </c>
      <c r="K36" s="131">
        <f t="array" ref="K36">IF(ISERROR(G36/L36),"",G36/L36)</f>
        <v>11.423076923076923</v>
      </c>
      <c r="L36" s="129">
        <v>52</v>
      </c>
      <c r="M36" s="109">
        <f t="shared" ref="M36" si="19">IF(ISERROR(I36-K36),"",I36-K36)</f>
        <v>-2.4230769230769234</v>
      </c>
      <c r="N36" s="130"/>
      <c r="O36" s="418"/>
      <c r="P36" s="418"/>
      <c r="Q36" s="418"/>
      <c r="R36" s="418"/>
      <c r="S36" s="418"/>
      <c r="T36" s="418"/>
      <c r="U36" s="41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4" t="s">
        <v>208</v>
      </c>
      <c r="C37" s="126" t="s">
        <v>179</v>
      </c>
      <c r="D37" s="108">
        <v>5.08</v>
      </c>
      <c r="E37" s="108"/>
      <c r="F37" s="127"/>
      <c r="G37" s="128"/>
      <c r="H37" s="42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18"/>
      <c r="P37" s="418"/>
      <c r="Q37" s="418"/>
      <c r="R37" s="418"/>
      <c r="S37" s="418"/>
      <c r="T37" s="418"/>
      <c r="U37" s="41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4" t="s">
        <v>208</v>
      </c>
      <c r="C38" s="126" t="s">
        <v>204</v>
      </c>
      <c r="D38" s="108">
        <v>5.08</v>
      </c>
      <c r="E38" s="108"/>
      <c r="F38" s="127"/>
      <c r="G38" s="128"/>
      <c r="H38" s="42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18"/>
      <c r="P38" s="418"/>
      <c r="Q38" s="418"/>
      <c r="R38" s="418"/>
      <c r="S38" s="418"/>
      <c r="T38" s="418"/>
      <c r="U38" s="41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4" t="s">
        <v>208</v>
      </c>
      <c r="C39" s="126" t="s">
        <v>205</v>
      </c>
      <c r="D39" s="108">
        <v>5.08</v>
      </c>
      <c r="E39" s="108"/>
      <c r="F39" s="127"/>
      <c r="G39" s="128"/>
      <c r="H39" s="42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18"/>
      <c r="P39" s="418"/>
      <c r="Q39" s="418"/>
      <c r="R39" s="418"/>
      <c r="S39" s="418"/>
      <c r="T39" s="418"/>
      <c r="U39" s="41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14" t="s">
        <v>208</v>
      </c>
      <c r="C40" s="126" t="s">
        <v>186</v>
      </c>
      <c r="D40" s="108">
        <v>5.08</v>
      </c>
      <c r="E40" s="108"/>
      <c r="F40" s="127"/>
      <c r="G40" s="128"/>
      <c r="H40" s="42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20"/>
        <v>0</v>
      </c>
      <c r="N40" s="130">
        <f t="shared" si="21"/>
        <v>0</v>
      </c>
      <c r="O40" s="418"/>
      <c r="P40" s="418"/>
      <c r="Q40" s="418"/>
      <c r="R40" s="418"/>
      <c r="S40" s="418"/>
      <c r="T40" s="418"/>
      <c r="U40" s="418"/>
      <c r="V40" s="132">
        <f t="shared" si="22"/>
        <v>0</v>
      </c>
      <c r="W40" s="133" t="str">
        <f t="shared" si="23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14" t="s">
        <v>208</v>
      </c>
      <c r="C41" s="126" t="s">
        <v>203</v>
      </c>
      <c r="D41" s="108">
        <v>5.08</v>
      </c>
      <c r="E41" s="108"/>
      <c r="F41" s="127"/>
      <c r="G41" s="128"/>
      <c r="H41" s="42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18"/>
      <c r="P41" s="418"/>
      <c r="Q41" s="418"/>
      <c r="R41" s="418"/>
      <c r="S41" s="418"/>
      <c r="T41" s="418"/>
      <c r="U41" s="41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414" t="s">
        <v>208</v>
      </c>
      <c r="C42" s="126" t="s">
        <v>199</v>
      </c>
      <c r="D42" s="108">
        <v>5.08</v>
      </c>
      <c r="E42" s="108"/>
      <c r="F42" s="127">
        <v>42738</v>
      </c>
      <c r="G42" s="128">
        <f>108*2+77+108*4</f>
        <v>725</v>
      </c>
      <c r="H42" s="423">
        <f t="shared" si="11"/>
        <v>3683</v>
      </c>
      <c r="I42" s="129">
        <f>11*3</f>
        <v>33</v>
      </c>
      <c r="J42" s="130">
        <f t="array" ref="J42">IF(ISERROR(G42/I42),"",G42/I42)</f>
        <v>21.969696969696969</v>
      </c>
      <c r="K42" s="131">
        <f t="array" ref="K42">IF(ISERROR(G42/L42),"",G42/L42)</f>
        <v>34.523809523809526</v>
      </c>
      <c r="L42" s="129">
        <v>21</v>
      </c>
      <c r="M42" s="109">
        <f t="shared" si="20"/>
        <v>-1.5238095238095255</v>
      </c>
      <c r="N42" s="130">
        <f t="shared" si="21"/>
        <v>0</v>
      </c>
      <c r="O42" s="415"/>
      <c r="P42" s="415"/>
      <c r="Q42" s="415"/>
      <c r="R42" s="415"/>
      <c r="S42" s="415"/>
      <c r="T42" s="415"/>
      <c r="U42" s="415"/>
      <c r="V42" s="132">
        <f t="shared" si="22"/>
        <v>0</v>
      </c>
      <c r="W42" s="133">
        <f t="shared" si="23"/>
        <v>0</v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4" t="s">
        <v>208</v>
      </c>
      <c r="C43" s="126" t="s">
        <v>187</v>
      </c>
      <c r="D43" s="108">
        <v>5.08</v>
      </c>
      <c r="E43" s="108"/>
      <c r="F43" s="127"/>
      <c r="G43" s="128"/>
      <c r="H43" s="42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18"/>
      <c r="P43" s="418"/>
      <c r="Q43" s="418"/>
      <c r="R43" s="418"/>
      <c r="S43" s="418"/>
      <c r="T43" s="418"/>
      <c r="U43" s="41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14" t="s">
        <v>208</v>
      </c>
      <c r="C44" s="126" t="s">
        <v>207</v>
      </c>
      <c r="D44" s="108">
        <v>5.08</v>
      </c>
      <c r="E44" s="108"/>
      <c r="F44" s="127"/>
      <c r="G44" s="128"/>
      <c r="H44" s="42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15"/>
      <c r="P44" s="415"/>
      <c r="Q44" s="415"/>
      <c r="R44" s="415"/>
      <c r="S44" s="415"/>
      <c r="T44" s="415"/>
      <c r="U44" s="415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4" t="s">
        <v>209</v>
      </c>
      <c r="C45" s="126" t="s">
        <v>194</v>
      </c>
      <c r="D45" s="108">
        <v>5.03</v>
      </c>
      <c r="E45" s="108"/>
      <c r="F45" s="127"/>
      <c r="G45" s="128"/>
      <c r="H45" s="42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18"/>
      <c r="P45" s="418"/>
      <c r="Q45" s="418"/>
      <c r="R45" s="418"/>
      <c r="S45" s="418"/>
      <c r="T45" s="418"/>
      <c r="U45" s="41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4" t="s">
        <v>209</v>
      </c>
      <c r="C46" s="126" t="s">
        <v>179</v>
      </c>
      <c r="D46" s="108">
        <v>5.03</v>
      </c>
      <c r="E46" s="108"/>
      <c r="F46" s="127"/>
      <c r="G46" s="128"/>
      <c r="H46" s="42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18"/>
      <c r="P46" s="418"/>
      <c r="Q46" s="418"/>
      <c r="R46" s="418"/>
      <c r="S46" s="418"/>
      <c r="T46" s="418"/>
      <c r="U46" s="41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14" t="s">
        <v>209</v>
      </c>
      <c r="C47" s="126" t="s">
        <v>195</v>
      </c>
      <c r="D47" s="108">
        <v>5.03</v>
      </c>
      <c r="E47" s="108"/>
      <c r="F47" s="127">
        <v>42737</v>
      </c>
      <c r="G47" s="128">
        <f>100+108*5+108+10</f>
        <v>758</v>
      </c>
      <c r="H47" s="423">
        <f t="shared" si="11"/>
        <v>3812.7400000000002</v>
      </c>
      <c r="I47" s="129">
        <f>6.5*2</f>
        <v>13</v>
      </c>
      <c r="J47" s="130">
        <f t="array" ref="J47">IF(ISERROR(G47/I47),"",G47/I47)</f>
        <v>58.307692307692307</v>
      </c>
      <c r="K47" s="131">
        <f t="array" ref="K47">IF(ISERROR(G47/L47),"",G47/L47)</f>
        <v>13.535714285714286</v>
      </c>
      <c r="L47" s="129">
        <v>56</v>
      </c>
      <c r="M47" s="109">
        <f t="shared" si="20"/>
        <v>-0.53571428571428648</v>
      </c>
      <c r="N47" s="130">
        <f t="shared" si="21"/>
        <v>0</v>
      </c>
      <c r="O47" s="418"/>
      <c r="P47" s="418"/>
      <c r="Q47" s="418"/>
      <c r="R47" s="418"/>
      <c r="S47" s="418"/>
      <c r="T47" s="418"/>
      <c r="U47" s="41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4" t="s">
        <v>209</v>
      </c>
      <c r="C48" s="126" t="s">
        <v>204</v>
      </c>
      <c r="D48" s="108">
        <v>5.03</v>
      </c>
      <c r="E48" s="108"/>
      <c r="F48" s="127"/>
      <c r="G48" s="128"/>
      <c r="H48" s="42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18"/>
      <c r="P48" s="418"/>
      <c r="Q48" s="418"/>
      <c r="R48" s="418"/>
      <c r="S48" s="418"/>
      <c r="T48" s="418"/>
      <c r="U48" s="41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4" t="s">
        <v>382</v>
      </c>
      <c r="C49" s="187" t="s">
        <v>383</v>
      </c>
      <c r="D49" s="108">
        <v>5.03</v>
      </c>
      <c r="E49" s="108"/>
      <c r="F49" s="127"/>
      <c r="G49" s="128"/>
      <c r="H49" s="42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18"/>
      <c r="P49" s="418"/>
      <c r="Q49" s="418"/>
      <c r="R49" s="418"/>
      <c r="S49" s="418"/>
      <c r="T49" s="418"/>
      <c r="U49" s="41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4" t="s">
        <v>382</v>
      </c>
      <c r="C50" s="187" t="s">
        <v>384</v>
      </c>
      <c r="D50" s="108">
        <v>5.03</v>
      </c>
      <c r="E50" s="108"/>
      <c r="F50" s="127"/>
      <c r="G50" s="128"/>
      <c r="H50" s="42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18"/>
      <c r="P50" s="418"/>
      <c r="Q50" s="418"/>
      <c r="R50" s="418"/>
      <c r="S50" s="418"/>
      <c r="T50" s="418"/>
      <c r="U50" s="41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4" t="s">
        <v>382</v>
      </c>
      <c r="C51" s="187" t="s">
        <v>389</v>
      </c>
      <c r="D51" s="108">
        <v>5.03</v>
      </c>
      <c r="E51" s="108"/>
      <c r="F51" s="127"/>
      <c r="G51" s="128"/>
      <c r="H51" s="42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18"/>
      <c r="P51" s="418"/>
      <c r="Q51" s="418"/>
      <c r="R51" s="418"/>
      <c r="S51" s="418"/>
      <c r="T51" s="418"/>
      <c r="U51" s="41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4" t="s">
        <v>382</v>
      </c>
      <c r="C52" s="187" t="s">
        <v>391</v>
      </c>
      <c r="D52" s="108">
        <v>5.03</v>
      </c>
      <c r="E52" s="108"/>
      <c r="F52" s="127"/>
      <c r="G52" s="128"/>
      <c r="H52" s="42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18"/>
      <c r="P52" s="418"/>
      <c r="Q52" s="418"/>
      <c r="R52" s="418"/>
      <c r="S52" s="418"/>
      <c r="T52" s="418"/>
      <c r="U52" s="41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4" t="s">
        <v>418</v>
      </c>
      <c r="C53" s="187" t="s">
        <v>364</v>
      </c>
      <c r="D53" s="108">
        <v>5.03</v>
      </c>
      <c r="E53" s="108"/>
      <c r="F53" s="127"/>
      <c r="G53" s="128"/>
      <c r="H53" s="42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18"/>
      <c r="P53" s="418"/>
      <c r="Q53" s="418"/>
      <c r="R53" s="418"/>
      <c r="S53" s="418"/>
      <c r="T53" s="418"/>
      <c r="U53" s="41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4" t="s">
        <v>418</v>
      </c>
      <c r="C54" s="187" t="s">
        <v>365</v>
      </c>
      <c r="D54" s="108">
        <v>5.03</v>
      </c>
      <c r="E54" s="108"/>
      <c r="F54" s="127"/>
      <c r="G54" s="128"/>
      <c r="H54" s="42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18"/>
      <c r="P54" s="418"/>
      <c r="Q54" s="418"/>
      <c r="R54" s="418"/>
      <c r="S54" s="418"/>
      <c r="T54" s="418"/>
      <c r="U54" s="41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4" t="s">
        <v>418</v>
      </c>
      <c r="C55" s="187" t="s">
        <v>366</v>
      </c>
      <c r="D55" s="108">
        <v>5.03</v>
      </c>
      <c r="E55" s="108"/>
      <c r="F55" s="127"/>
      <c r="G55" s="128"/>
      <c r="H55" s="42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18"/>
      <c r="P55" s="418"/>
      <c r="Q55" s="418"/>
      <c r="R55" s="418"/>
      <c r="S55" s="418"/>
      <c r="T55" s="418"/>
      <c r="U55" s="41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4" t="s">
        <v>418</v>
      </c>
      <c r="C56" s="187" t="s">
        <v>367</v>
      </c>
      <c r="D56" s="108">
        <v>5.03</v>
      </c>
      <c r="E56" s="108"/>
      <c r="F56" s="127"/>
      <c r="G56" s="128"/>
      <c r="H56" s="42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18"/>
      <c r="P56" s="418"/>
      <c r="Q56" s="418"/>
      <c r="R56" s="418"/>
      <c r="S56" s="418"/>
      <c r="T56" s="418"/>
      <c r="U56" s="41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15"/>
      <c r="P57" s="415"/>
      <c r="Q57" s="415"/>
      <c r="R57" s="415"/>
      <c r="S57" s="415"/>
      <c r="T57" s="415"/>
      <c r="U57" s="415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15"/>
      <c r="P58" s="415"/>
      <c r="Q58" s="415"/>
      <c r="R58" s="415"/>
      <c r="S58" s="415"/>
      <c r="T58" s="415"/>
      <c r="U58" s="415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0"/>
        <v>0</v>
      </c>
      <c r="N59" s="130">
        <f t="shared" si="24"/>
        <v>0</v>
      </c>
      <c r="O59" s="415"/>
      <c r="P59" s="415"/>
      <c r="Q59" s="415"/>
      <c r="R59" s="415"/>
      <c r="S59" s="415"/>
      <c r="T59" s="415"/>
      <c r="U59" s="415"/>
      <c r="V59" s="132">
        <f t="shared" si="25"/>
        <v>0</v>
      </c>
      <c r="W59" s="133" t="str">
        <f t="shared" si="26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15"/>
      <c r="P60" s="415"/>
      <c r="Q60" s="415"/>
      <c r="R60" s="415"/>
      <c r="S60" s="415"/>
      <c r="T60" s="415"/>
      <c r="U60" s="415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15"/>
      <c r="P61" s="415"/>
      <c r="Q61" s="415"/>
      <c r="R61" s="415"/>
      <c r="S61" s="415"/>
      <c r="T61" s="415"/>
      <c r="U61" s="415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15"/>
      <c r="P62" s="415"/>
      <c r="Q62" s="415"/>
      <c r="R62" s="415"/>
      <c r="S62" s="415"/>
      <c r="T62" s="415"/>
      <c r="U62" s="415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15"/>
      <c r="P63" s="415"/>
      <c r="Q63" s="415"/>
      <c r="R63" s="415"/>
      <c r="S63" s="415"/>
      <c r="T63" s="415"/>
      <c r="U63" s="415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15"/>
      <c r="P64" s="415"/>
      <c r="Q64" s="415"/>
      <c r="R64" s="415"/>
      <c r="S64" s="415"/>
      <c r="T64" s="415"/>
      <c r="U64" s="415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15"/>
      <c r="P65" s="415"/>
      <c r="Q65" s="415"/>
      <c r="R65" s="415"/>
      <c r="S65" s="415"/>
      <c r="T65" s="415"/>
      <c r="U65" s="415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15"/>
      <c r="P66" s="415"/>
      <c r="Q66" s="415"/>
      <c r="R66" s="415"/>
      <c r="S66" s="415"/>
      <c r="T66" s="415"/>
      <c r="U66" s="415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5"/>
      <c r="P67" s="415"/>
      <c r="Q67" s="415"/>
      <c r="R67" s="415"/>
      <c r="S67" s="415"/>
      <c r="T67" s="415"/>
      <c r="U67" s="41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5"/>
      <c r="P68" s="415"/>
      <c r="Q68" s="415"/>
      <c r="R68" s="415"/>
      <c r="S68" s="415"/>
      <c r="T68" s="415"/>
      <c r="U68" s="41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15"/>
      <c r="P69" s="415"/>
      <c r="Q69" s="415"/>
      <c r="R69" s="415"/>
      <c r="S69" s="415"/>
      <c r="T69" s="415"/>
      <c r="U69" s="415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15"/>
      <c r="P70" s="415"/>
      <c r="Q70" s="415"/>
      <c r="R70" s="415"/>
      <c r="S70" s="415"/>
      <c r="T70" s="415"/>
      <c r="U70" s="415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3">
        <f t="shared" si="11"/>
        <v>0</v>
      </c>
      <c r="I71" s="129"/>
      <c r="J71" s="130"/>
      <c r="K71" s="131"/>
      <c r="L71" s="129"/>
      <c r="M71" s="109"/>
      <c r="N71" s="130"/>
      <c r="O71" s="415"/>
      <c r="P71" s="415"/>
      <c r="Q71" s="415"/>
      <c r="R71" s="415"/>
      <c r="S71" s="415"/>
      <c r="T71" s="415"/>
      <c r="U71" s="41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15"/>
      <c r="P72" s="415"/>
      <c r="Q72" s="415"/>
      <c r="R72" s="415"/>
      <c r="S72" s="415"/>
      <c r="T72" s="415"/>
      <c r="U72" s="415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15"/>
      <c r="P73" s="415"/>
      <c r="Q73" s="415"/>
      <c r="R73" s="415"/>
      <c r="S73" s="415"/>
      <c r="T73" s="415"/>
      <c r="U73" s="415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15"/>
      <c r="P74" s="415"/>
      <c r="Q74" s="415"/>
      <c r="R74" s="415"/>
      <c r="S74" s="415"/>
      <c r="T74" s="415"/>
      <c r="U74" s="415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15"/>
      <c r="P75" s="415"/>
      <c r="Q75" s="415"/>
      <c r="R75" s="415"/>
      <c r="S75" s="415"/>
      <c r="T75" s="415"/>
      <c r="U75" s="415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15"/>
      <c r="P76" s="415"/>
      <c r="Q76" s="415"/>
      <c r="R76" s="415"/>
      <c r="S76" s="415"/>
      <c r="T76" s="415"/>
      <c r="U76" s="41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15"/>
      <c r="P77" s="415"/>
      <c r="Q77" s="415"/>
      <c r="R77" s="415"/>
      <c r="S77" s="415"/>
      <c r="T77" s="415"/>
      <c r="U77" s="41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15"/>
      <c r="P78" s="415"/>
      <c r="Q78" s="415"/>
      <c r="R78" s="415"/>
      <c r="S78" s="415"/>
      <c r="T78" s="415"/>
      <c r="U78" s="41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15"/>
      <c r="P79" s="415"/>
      <c r="Q79" s="415"/>
      <c r="R79" s="415"/>
      <c r="S79" s="415"/>
      <c r="T79" s="415"/>
      <c r="U79" s="41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5"/>
      <c r="P80" s="415"/>
      <c r="Q80" s="415"/>
      <c r="R80" s="415"/>
      <c r="S80" s="415"/>
      <c r="T80" s="415"/>
      <c r="U80" s="41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5"/>
      <c r="P81" s="415"/>
      <c r="Q81" s="415"/>
      <c r="R81" s="415"/>
      <c r="S81" s="415"/>
      <c r="T81" s="415"/>
      <c r="U81" s="41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5"/>
      <c r="P82" s="415"/>
      <c r="Q82" s="415"/>
      <c r="R82" s="415"/>
      <c r="S82" s="415"/>
      <c r="T82" s="415"/>
      <c r="U82" s="41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5"/>
      <c r="P83" s="415"/>
      <c r="Q83" s="415"/>
      <c r="R83" s="415"/>
      <c r="S83" s="415"/>
      <c r="T83" s="415"/>
      <c r="U83" s="41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5"/>
      <c r="P84" s="415"/>
      <c r="Q84" s="415"/>
      <c r="R84" s="415"/>
      <c r="S84" s="415"/>
      <c r="T84" s="415"/>
      <c r="U84" s="41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5"/>
      <c r="P85" s="415"/>
      <c r="Q85" s="415"/>
      <c r="R85" s="415"/>
      <c r="S85" s="415"/>
      <c r="T85" s="415"/>
      <c r="U85" s="415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21" t="s">
        <v>202</v>
      </c>
      <c r="D86" s="143"/>
      <c r="E86" s="143"/>
      <c r="F86" s="144"/>
      <c r="G86" s="145">
        <f>SUM(G29:G85)</f>
        <v>2077</v>
      </c>
      <c r="H86" s="146">
        <f>SUM(H29:H85)</f>
        <v>10483.56</v>
      </c>
      <c r="I86" s="146">
        <f>SUM(I29:I85)</f>
        <v>55</v>
      </c>
      <c r="J86" s="130">
        <f t="array" ref="J86">IF(ISERROR(G86/I86),"",G86/I86)</f>
        <v>37.763636363636365</v>
      </c>
      <c r="K86" s="146">
        <f>SUM(K29:K85)</f>
        <v>59.482600732600737</v>
      </c>
      <c r="L86" s="147"/>
      <c r="M86" s="150">
        <f t="shared" ref="M86:V86" si="35">SUM(M29:M85)</f>
        <v>-4.4826007326007353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414" t="s">
        <v>217</v>
      </c>
      <c r="C87" s="126" t="s">
        <v>179</v>
      </c>
      <c r="D87" s="108">
        <v>5.03</v>
      </c>
      <c r="E87" s="108"/>
      <c r="F87" s="127">
        <v>42738</v>
      </c>
      <c r="G87" s="128">
        <v>59</v>
      </c>
      <c r="H87" s="423">
        <f t="shared" ref="H87:H120" si="37">D87*G87</f>
        <v>296.77000000000004</v>
      </c>
      <c r="I87" s="129">
        <v>9.5</v>
      </c>
      <c r="J87" s="130">
        <f t="array" ref="J87">IF(ISERROR(G87/I87),"",G87/I87)</f>
        <v>6.2105263157894735</v>
      </c>
      <c r="K87" s="131">
        <f t="array" ref="K87">IF(ISERROR(G87/L87),"",G87/L87)</f>
        <v>6.7045454545454541</v>
      </c>
      <c r="L87" s="129">
        <v>8.8000000000000007</v>
      </c>
      <c r="M87" s="109">
        <f t="shared" ref="M87:M117" si="38">IF(ISERROR(I87-K87),"",I87-K87)</f>
        <v>2.7954545454545459</v>
      </c>
      <c r="N87" s="130">
        <f t="shared" ref="N87:N93" si="39">SUM(O87:U87)</f>
        <v>0</v>
      </c>
      <c r="O87" s="415"/>
      <c r="P87" s="415"/>
      <c r="Q87" s="415"/>
      <c r="R87" s="415"/>
      <c r="S87" s="415"/>
      <c r="T87" s="415"/>
      <c r="U87" s="415"/>
      <c r="V87" s="132">
        <f t="shared" ref="V87:V93" si="40">SUM(X87:AA87)</f>
        <v>0</v>
      </c>
      <c r="W87" s="133">
        <f t="shared" si="36"/>
        <v>0</v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4" t="s">
        <v>217</v>
      </c>
      <c r="C88" s="126" t="s">
        <v>186</v>
      </c>
      <c r="D88" s="108">
        <v>5.03</v>
      </c>
      <c r="E88" s="108"/>
      <c r="F88" s="127"/>
      <c r="G88" s="128"/>
      <c r="H88" s="423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15"/>
      <c r="P88" s="415"/>
      <c r="Q88" s="415"/>
      <c r="R88" s="415"/>
      <c r="S88" s="415"/>
      <c r="T88" s="415"/>
      <c r="U88" s="415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4" t="s">
        <v>217</v>
      </c>
      <c r="C89" s="126" t="s">
        <v>204</v>
      </c>
      <c r="D89" s="108">
        <v>5.03</v>
      </c>
      <c r="E89" s="108"/>
      <c r="F89" s="127"/>
      <c r="G89" s="128"/>
      <c r="H89" s="423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15"/>
      <c r="P89" s="415"/>
      <c r="Q89" s="415"/>
      <c r="R89" s="415"/>
      <c r="S89" s="415"/>
      <c r="T89" s="415"/>
      <c r="U89" s="415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3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15"/>
      <c r="P90" s="415"/>
      <c r="Q90" s="415"/>
      <c r="R90" s="415"/>
      <c r="S90" s="415"/>
      <c r="T90" s="415"/>
      <c r="U90" s="415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3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15"/>
      <c r="P91" s="415"/>
      <c r="Q91" s="415"/>
      <c r="R91" s="415"/>
      <c r="S91" s="415"/>
      <c r="T91" s="415"/>
      <c r="U91" s="415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3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15"/>
      <c r="P92" s="415"/>
      <c r="Q92" s="415"/>
      <c r="R92" s="415"/>
      <c r="S92" s="415"/>
      <c r="T92" s="415"/>
      <c r="U92" s="415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23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15"/>
      <c r="P93" s="415"/>
      <c r="Q93" s="415"/>
      <c r="R93" s="415"/>
      <c r="S93" s="415"/>
      <c r="T93" s="415"/>
      <c r="U93" s="415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42737</v>
      </c>
      <c r="G94" s="128">
        <v>18</v>
      </c>
      <c r="H94" s="423">
        <f t="shared" si="37"/>
        <v>90.54</v>
      </c>
      <c r="I94" s="129">
        <v>1.5</v>
      </c>
      <c r="J94" s="130">
        <f t="array" ref="J94">IF(ISERROR(G94/I94),"",G94/I94)</f>
        <v>12</v>
      </c>
      <c r="K94" s="131">
        <f t="array" ref="K94">IF(ISERROR(G94/L94),"",G94/L94)</f>
        <v>1.9354838709677418</v>
      </c>
      <c r="L94" s="129">
        <v>9.3000000000000007</v>
      </c>
      <c r="M94" s="109">
        <f t="shared" si="38"/>
        <v>-0.43548387096774177</v>
      </c>
      <c r="N94" s="130"/>
      <c r="O94" s="415"/>
      <c r="P94" s="415"/>
      <c r="Q94" s="415"/>
      <c r="R94" s="415"/>
      <c r="S94" s="415"/>
      <c r="T94" s="415"/>
      <c r="U94" s="41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3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15"/>
      <c r="P95" s="415"/>
      <c r="Q95" s="415"/>
      <c r="R95" s="415"/>
      <c r="S95" s="415"/>
      <c r="T95" s="415"/>
      <c r="U95" s="415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3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15"/>
      <c r="P96" s="415"/>
      <c r="Q96" s="415"/>
      <c r="R96" s="415"/>
      <c r="S96" s="415"/>
      <c r="T96" s="415"/>
      <c r="U96" s="415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3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15"/>
      <c r="P97" s="415"/>
      <c r="Q97" s="415"/>
      <c r="R97" s="415"/>
      <c r="S97" s="415"/>
      <c r="T97" s="415"/>
      <c r="U97" s="415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3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15"/>
      <c r="P98" s="415"/>
      <c r="Q98" s="415"/>
      <c r="R98" s="415"/>
      <c r="S98" s="415"/>
      <c r="T98" s="415"/>
      <c r="U98" s="415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3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15"/>
      <c r="P99" s="415"/>
      <c r="Q99" s="415"/>
      <c r="R99" s="415"/>
      <c r="S99" s="415"/>
      <c r="T99" s="415"/>
      <c r="U99" s="415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3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15"/>
      <c r="P100" s="415"/>
      <c r="Q100" s="415"/>
      <c r="R100" s="415"/>
      <c r="S100" s="415"/>
      <c r="T100" s="415"/>
      <c r="U100" s="415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3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15"/>
      <c r="P101" s="415"/>
      <c r="Q101" s="415"/>
      <c r="R101" s="415"/>
      <c r="S101" s="415"/>
      <c r="T101" s="415"/>
      <c r="U101" s="415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3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15"/>
      <c r="P102" s="415"/>
      <c r="Q102" s="415"/>
      <c r="R102" s="415"/>
      <c r="S102" s="415"/>
      <c r="T102" s="415"/>
      <c r="U102" s="415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3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15"/>
      <c r="P103" s="415"/>
      <c r="Q103" s="415"/>
      <c r="R103" s="415"/>
      <c r="S103" s="415"/>
      <c r="T103" s="415"/>
      <c r="U103" s="415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3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15"/>
      <c r="P104" s="415"/>
      <c r="Q104" s="415"/>
      <c r="R104" s="415"/>
      <c r="S104" s="415"/>
      <c r="T104" s="415"/>
      <c r="U104" s="415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3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15"/>
      <c r="P105" s="415"/>
      <c r="Q105" s="415"/>
      <c r="R105" s="415"/>
      <c r="S105" s="415"/>
      <c r="T105" s="415"/>
      <c r="U105" s="415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3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15"/>
      <c r="P106" s="415"/>
      <c r="Q106" s="415"/>
      <c r="R106" s="415"/>
      <c r="S106" s="415"/>
      <c r="T106" s="415"/>
      <c r="U106" s="415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4" t="s">
        <v>393</v>
      </c>
      <c r="C107" s="187" t="s">
        <v>395</v>
      </c>
      <c r="D107" s="108">
        <v>5</v>
      </c>
      <c r="E107" s="108"/>
      <c r="F107" s="127"/>
      <c r="G107" s="128"/>
      <c r="H107" s="423">
        <f t="shared" si="37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15"/>
      <c r="P107" s="415"/>
      <c r="Q107" s="415"/>
      <c r="R107" s="415"/>
      <c r="S107" s="415"/>
      <c r="T107" s="415"/>
      <c r="U107" s="41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1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90+56+90+70+70+61</f>
        <v>437</v>
      </c>
      <c r="H108" s="423">
        <f t="shared" si="37"/>
        <v>2185</v>
      </c>
      <c r="I108" s="129">
        <f>6.5*3+11+2*3</f>
        <v>36.5</v>
      </c>
      <c r="J108" s="130">
        <f t="array" ref="J108">IF(ISERROR(G108/I108),"",G108/I108)</f>
        <v>11.972602739726028</v>
      </c>
      <c r="K108" s="131">
        <f t="array" ref="K108">IF(ISERROR(G108/L108),"",G108/L108)</f>
        <v>87.4</v>
      </c>
      <c r="L108" s="129">
        <v>5</v>
      </c>
      <c r="M108" s="109">
        <f t="shared" si="38"/>
        <v>-50.900000000000006</v>
      </c>
      <c r="N108" s="130">
        <f t="shared" si="41"/>
        <v>0</v>
      </c>
      <c r="O108" s="415"/>
      <c r="P108" s="415"/>
      <c r="Q108" s="415"/>
      <c r="R108" s="415"/>
      <c r="S108" s="415"/>
      <c r="T108" s="415"/>
      <c r="U108" s="41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4" t="s">
        <v>404</v>
      </c>
      <c r="C109" s="187" t="s">
        <v>405</v>
      </c>
      <c r="D109" s="108">
        <v>5</v>
      </c>
      <c r="E109" s="108"/>
      <c r="F109" s="127"/>
      <c r="G109" s="128"/>
      <c r="H109" s="423">
        <f t="shared" si="37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15"/>
      <c r="P109" s="415"/>
      <c r="Q109" s="415"/>
      <c r="R109" s="415"/>
      <c r="S109" s="415"/>
      <c r="T109" s="415"/>
      <c r="U109" s="41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4" t="s">
        <v>492</v>
      </c>
      <c r="C110" s="187" t="s">
        <v>372</v>
      </c>
      <c r="D110" s="108">
        <v>5</v>
      </c>
      <c r="E110" s="108"/>
      <c r="F110" s="127"/>
      <c r="G110" s="128"/>
      <c r="H110" s="423">
        <f t="shared" si="37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15"/>
      <c r="P110" s="415"/>
      <c r="Q110" s="415"/>
      <c r="R110" s="415"/>
      <c r="S110" s="415"/>
      <c r="T110" s="415"/>
      <c r="U110" s="415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4" t="s">
        <v>343</v>
      </c>
      <c r="C111" s="126" t="s">
        <v>345</v>
      </c>
      <c r="D111" s="108">
        <v>5</v>
      </c>
      <c r="E111" s="108"/>
      <c r="F111" s="127"/>
      <c r="G111" s="128"/>
      <c r="H111" s="423">
        <f t="shared" si="37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15"/>
      <c r="P111" s="415"/>
      <c r="Q111" s="415"/>
      <c r="R111" s="415"/>
      <c r="S111" s="415"/>
      <c r="T111" s="415"/>
      <c r="U111" s="41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4" t="s">
        <v>343</v>
      </c>
      <c r="C112" s="126" t="s">
        <v>347</v>
      </c>
      <c r="D112" s="108">
        <v>5</v>
      </c>
      <c r="E112" s="108"/>
      <c r="F112" s="127"/>
      <c r="G112" s="128"/>
      <c r="H112" s="423">
        <f t="shared" si="37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8"/>
        <v>0</v>
      </c>
      <c r="N112" s="130">
        <f t="shared" si="41"/>
        <v>0</v>
      </c>
      <c r="O112" s="415"/>
      <c r="P112" s="415"/>
      <c r="Q112" s="415"/>
      <c r="R112" s="415"/>
      <c r="S112" s="415"/>
      <c r="T112" s="415"/>
      <c r="U112" s="41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3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15"/>
      <c r="P113" s="415"/>
      <c r="Q113" s="415"/>
      <c r="R113" s="415"/>
      <c r="S113" s="415"/>
      <c r="T113" s="415"/>
      <c r="U113" s="415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3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15"/>
      <c r="P114" s="415"/>
      <c r="Q114" s="415"/>
      <c r="R114" s="415"/>
      <c r="S114" s="415"/>
      <c r="T114" s="415"/>
      <c r="U114" s="415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39</v>
      </c>
      <c r="H115" s="423">
        <f t="shared" si="37"/>
        <v>195</v>
      </c>
      <c r="I115" s="129">
        <v>2</v>
      </c>
      <c r="J115" s="130">
        <f t="array" ref="J115">IF(ISERROR(G115/I115),"",G115/I115)</f>
        <v>19.5</v>
      </c>
      <c r="K115" s="131">
        <f t="array" ref="K115">IF(ISERROR(G115/L115),"",G115/L115)</f>
        <v>1.625</v>
      </c>
      <c r="L115" s="129">
        <v>24</v>
      </c>
      <c r="M115" s="109">
        <f t="shared" si="38"/>
        <v>0.375</v>
      </c>
      <c r="N115" s="130"/>
      <c r="O115" s="415"/>
      <c r="P115" s="415"/>
      <c r="Q115" s="415"/>
      <c r="R115" s="415"/>
      <c r="S115" s="415"/>
      <c r="T115" s="415"/>
      <c r="U115" s="41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3">
        <f t="shared" si="37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8"/>
        <v>0</v>
      </c>
      <c r="N116" s="130"/>
      <c r="O116" s="415"/>
      <c r="P116" s="415"/>
      <c r="Q116" s="415"/>
      <c r="R116" s="415"/>
      <c r="S116" s="415"/>
      <c r="T116" s="415"/>
      <c r="U116" s="415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52+90+44+90+90+90</f>
        <v>456</v>
      </c>
      <c r="H117" s="423">
        <f t="shared" si="37"/>
        <v>2280</v>
      </c>
      <c r="I117" s="129">
        <f>1*3+5*3</f>
        <v>18</v>
      </c>
      <c r="J117" s="130">
        <f t="array" ref="J117">IF(ISERROR(G117/I117),"",G117/I117)</f>
        <v>25.333333333333332</v>
      </c>
      <c r="K117" s="131">
        <f t="array" ref="K117">IF(ISERROR(G117/L117),"",G117/L117)</f>
        <v>19</v>
      </c>
      <c r="L117" s="129">
        <v>24</v>
      </c>
      <c r="M117" s="109">
        <f t="shared" si="38"/>
        <v>-1</v>
      </c>
      <c r="N117" s="130"/>
      <c r="O117" s="415"/>
      <c r="P117" s="415"/>
      <c r="Q117" s="415"/>
      <c r="R117" s="415"/>
      <c r="S117" s="415"/>
      <c r="T117" s="415"/>
      <c r="U117" s="41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3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15"/>
      <c r="P118" s="415"/>
      <c r="Q118" s="415"/>
      <c r="R118" s="415"/>
      <c r="S118" s="415"/>
      <c r="T118" s="415"/>
      <c r="U118" s="415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3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15"/>
      <c r="P119" s="415"/>
      <c r="Q119" s="415"/>
      <c r="R119" s="415"/>
      <c r="S119" s="415"/>
      <c r="T119" s="415"/>
      <c r="U119" s="415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3">
        <f t="shared" si="37"/>
        <v>0</v>
      </c>
      <c r="I120" s="129"/>
      <c r="J120" s="130" t="str">
        <f t="array" ref="J120">IF(ISERROR(G120/I120),"",G120/I120)</f>
        <v/>
      </c>
      <c r="K120" s="423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15"/>
      <c r="P120" s="415"/>
      <c r="Q120" s="415"/>
      <c r="R120" s="415"/>
      <c r="S120" s="415"/>
      <c r="T120" s="415"/>
      <c r="U120" s="415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421" t="s">
        <v>202</v>
      </c>
      <c r="D121" s="143"/>
      <c r="E121" s="143"/>
      <c r="F121" s="144"/>
      <c r="G121" s="145">
        <f>SUM(G87:G120)</f>
        <v>1009</v>
      </c>
      <c r="H121" s="146">
        <f>SUM(H87:H120)</f>
        <v>5047.3099999999995</v>
      </c>
      <c r="I121" s="146">
        <f>SUM(I87:I120)</f>
        <v>67.5</v>
      </c>
      <c r="J121" s="130">
        <f t="array" ref="J121">IF(ISERROR(G121/I121),"",G121/I121)</f>
        <v>14.948148148148148</v>
      </c>
      <c r="K121" s="146">
        <f>SUM(K87:K120)</f>
        <v>116.6650293255132</v>
      </c>
      <c r="L121" s="147"/>
      <c r="M121" s="150">
        <f t="shared" ref="M121:V121" si="51">SUM(M87:M120)</f>
        <v>-49.165029325513203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3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15"/>
      <c r="P122" s="415"/>
      <c r="Q122" s="415"/>
      <c r="R122" s="415"/>
      <c r="S122" s="415"/>
      <c r="T122" s="415"/>
      <c r="U122" s="415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3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15"/>
      <c r="P123" s="415"/>
      <c r="Q123" s="415"/>
      <c r="R123" s="415"/>
      <c r="S123" s="415"/>
      <c r="T123" s="415"/>
      <c r="U123" s="415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42738</v>
      </c>
      <c r="G124" s="128">
        <f>100*6</f>
        <v>600</v>
      </c>
      <c r="H124" s="423">
        <f t="shared" si="52"/>
        <v>3024</v>
      </c>
      <c r="I124" s="129">
        <f>11*4</f>
        <v>44</v>
      </c>
      <c r="J124" s="130">
        <f t="array" ref="J124">IF(ISERROR(G124/I124),"",G124/I124)</f>
        <v>13.636363636363637</v>
      </c>
      <c r="K124" s="131">
        <f t="array" ref="K124">IF(ISERROR(G124/L124),"",G124/L124)</f>
        <v>30</v>
      </c>
      <c r="L124" s="129">
        <v>20</v>
      </c>
      <c r="M124" s="109">
        <f t="shared" si="53"/>
        <v>14</v>
      </c>
      <c r="N124" s="130">
        <f t="shared" si="54"/>
        <v>0</v>
      </c>
      <c r="O124" s="415"/>
      <c r="P124" s="415"/>
      <c r="Q124" s="415"/>
      <c r="R124" s="415"/>
      <c r="S124" s="415"/>
      <c r="T124" s="415"/>
      <c r="U124" s="415"/>
      <c r="V124" s="132">
        <f t="shared" si="55"/>
        <v>0</v>
      </c>
      <c r="W124" s="133">
        <f t="shared" si="50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3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15"/>
      <c r="P125" s="415"/>
      <c r="Q125" s="415"/>
      <c r="R125" s="415"/>
      <c r="S125" s="415"/>
      <c r="T125" s="415"/>
      <c r="U125" s="415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9" t="s">
        <v>203</v>
      </c>
      <c r="D126" s="108">
        <v>5.03</v>
      </c>
      <c r="E126" s="108"/>
      <c r="F126" s="127"/>
      <c r="G126" s="128"/>
      <c r="H126" s="423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15"/>
      <c r="P126" s="415"/>
      <c r="Q126" s="415"/>
      <c r="R126" s="415"/>
      <c r="S126" s="415"/>
      <c r="T126" s="415"/>
      <c r="U126" s="415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3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15"/>
      <c r="P127" s="415"/>
      <c r="Q127" s="415"/>
      <c r="R127" s="415"/>
      <c r="S127" s="415"/>
      <c r="T127" s="415"/>
      <c r="U127" s="415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3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15"/>
      <c r="P128" s="415"/>
      <c r="Q128" s="415"/>
      <c r="R128" s="415"/>
      <c r="S128" s="415"/>
      <c r="T128" s="415"/>
      <c r="U128" s="415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9" t="s">
        <v>228</v>
      </c>
      <c r="D129" s="108">
        <v>5.03</v>
      </c>
      <c r="E129" s="108"/>
      <c r="F129" s="127"/>
      <c r="G129" s="128"/>
      <c r="H129" s="423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15"/>
      <c r="P129" s="415"/>
      <c r="Q129" s="415"/>
      <c r="R129" s="415"/>
      <c r="S129" s="415"/>
      <c r="T129" s="415"/>
      <c r="U129" s="415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9" t="s">
        <v>212</v>
      </c>
      <c r="D130" s="108">
        <v>5.03</v>
      </c>
      <c r="E130" s="108"/>
      <c r="F130" s="127"/>
      <c r="G130" s="128"/>
      <c r="H130" s="423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15"/>
      <c r="P130" s="415"/>
      <c r="Q130" s="415"/>
      <c r="R130" s="415"/>
      <c r="S130" s="415"/>
      <c r="T130" s="415"/>
      <c r="U130" s="415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9" t="s">
        <v>203</v>
      </c>
      <c r="D131" s="108">
        <v>5.03</v>
      </c>
      <c r="E131" s="108"/>
      <c r="F131" s="127"/>
      <c r="G131" s="128"/>
      <c r="H131" s="423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15"/>
      <c r="P131" s="415"/>
      <c r="Q131" s="415"/>
      <c r="R131" s="415"/>
      <c r="S131" s="415"/>
      <c r="T131" s="415"/>
      <c r="U131" s="415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9" t="s">
        <v>186</v>
      </c>
      <c r="D132" s="108">
        <v>5.03</v>
      </c>
      <c r="E132" s="108"/>
      <c r="F132" s="127"/>
      <c r="G132" s="128"/>
      <c r="H132" s="423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15"/>
      <c r="P132" s="415"/>
      <c r="Q132" s="415"/>
      <c r="R132" s="415"/>
      <c r="S132" s="415"/>
      <c r="T132" s="415"/>
      <c r="U132" s="415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9" t="s">
        <v>228</v>
      </c>
      <c r="D133" s="108">
        <v>5.03</v>
      </c>
      <c r="E133" s="108"/>
      <c r="F133" s="127"/>
      <c r="G133" s="128"/>
      <c r="H133" s="423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15"/>
      <c r="P133" s="415"/>
      <c r="Q133" s="415"/>
      <c r="R133" s="415"/>
      <c r="S133" s="415"/>
      <c r="T133" s="415"/>
      <c r="U133" s="415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9" t="s">
        <v>199</v>
      </c>
      <c r="D134" s="108">
        <v>5.03</v>
      </c>
      <c r="E134" s="108"/>
      <c r="F134" s="127"/>
      <c r="G134" s="128"/>
      <c r="H134" s="423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15"/>
      <c r="P134" s="415"/>
      <c r="Q134" s="415"/>
      <c r="R134" s="415"/>
      <c r="S134" s="415"/>
      <c r="T134" s="415"/>
      <c r="U134" s="415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3">
        <f t="shared" si="52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3"/>
        <v>0</v>
      </c>
      <c r="N135" s="130">
        <f t="shared" si="54"/>
        <v>0</v>
      </c>
      <c r="O135" s="415"/>
      <c r="P135" s="415"/>
      <c r="Q135" s="415"/>
      <c r="R135" s="415"/>
      <c r="S135" s="415"/>
      <c r="T135" s="415"/>
      <c r="U135" s="415"/>
      <c r="V135" s="132">
        <f t="shared" si="55"/>
        <v>0</v>
      </c>
      <c r="W135" s="133" t="str">
        <f t="shared" si="50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3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15"/>
      <c r="P136" s="415"/>
      <c r="Q136" s="415"/>
      <c r="R136" s="415"/>
      <c r="S136" s="415"/>
      <c r="T136" s="415"/>
      <c r="U136" s="415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421" t="s">
        <v>202</v>
      </c>
      <c r="D137" s="143"/>
      <c r="E137" s="143"/>
      <c r="F137" s="144"/>
      <c r="G137" s="145">
        <f>SUM(G122:G136)</f>
        <v>600</v>
      </c>
      <c r="H137" s="146">
        <f>SUM(H122:H136)</f>
        <v>3024</v>
      </c>
      <c r="I137" s="146">
        <f>SUM(I122:I136)</f>
        <v>44</v>
      </c>
      <c r="J137" s="130">
        <f t="array" ref="J137">IF(ISERROR(G137/I137),"",G137/I137)</f>
        <v>13.636363636363637</v>
      </c>
      <c r="K137" s="146">
        <f>SUM(K122:K136)</f>
        <v>30</v>
      </c>
      <c r="L137" s="147"/>
      <c r="M137" s="150">
        <f>SUM(M122:M136)</f>
        <v>14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3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7">IF(ISERROR(I138-K138),"",I138-K138)</f>
        <v>0</v>
      </c>
      <c r="N138" s="130">
        <f t="shared" ref="N138:N142" si="58">SUM(O138:U138)</f>
        <v>0</v>
      </c>
      <c r="O138" s="415"/>
      <c r="P138" s="415"/>
      <c r="Q138" s="415"/>
      <c r="R138" s="415"/>
      <c r="S138" s="415"/>
      <c r="T138" s="415"/>
      <c r="U138" s="415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3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15"/>
      <c r="P139" s="415"/>
      <c r="Q139" s="415"/>
      <c r="R139" s="415"/>
      <c r="S139" s="415"/>
      <c r="T139" s="415"/>
      <c r="U139" s="415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3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15"/>
      <c r="P140" s="415"/>
      <c r="Q140" s="415"/>
      <c r="R140" s="415"/>
      <c r="S140" s="415"/>
      <c r="T140" s="415"/>
      <c r="U140" s="415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3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15"/>
      <c r="P141" s="415"/>
      <c r="Q141" s="415"/>
      <c r="R141" s="415"/>
      <c r="S141" s="415"/>
      <c r="T141" s="415"/>
      <c r="U141" s="415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3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15"/>
      <c r="P142" s="415"/>
      <c r="Q142" s="415"/>
      <c r="R142" s="415"/>
      <c r="S142" s="415"/>
      <c r="T142" s="415"/>
      <c r="U142" s="415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3">
        <f t="shared" si="56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5"/>
      <c r="P143" s="415"/>
      <c r="Q143" s="415"/>
      <c r="R143" s="415"/>
      <c r="S143" s="415"/>
      <c r="T143" s="415"/>
      <c r="U143" s="415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23">
        <f t="shared" si="56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15"/>
      <c r="P144" s="415"/>
      <c r="Q144" s="415"/>
      <c r="R144" s="415"/>
      <c r="S144" s="415"/>
      <c r="T144" s="415"/>
      <c r="U144" s="41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42737</v>
      </c>
      <c r="G145" s="128">
        <f>90*6+90</f>
        <v>630</v>
      </c>
      <c r="H145" s="423">
        <f t="shared" si="56"/>
        <v>3175.2</v>
      </c>
      <c r="I145" s="129">
        <f>11*4</f>
        <v>44</v>
      </c>
      <c r="J145" s="130">
        <f t="array" ref="J145">IF(ISERROR(G145/I145),"",G145/I145)</f>
        <v>14.318181818181818</v>
      </c>
      <c r="K145" s="131">
        <f t="array" ref="K145">IF(ISERROR(G145/L145),"",G145/L145)</f>
        <v>46.666666666666664</v>
      </c>
      <c r="L145" s="129">
        <v>13.5</v>
      </c>
      <c r="M145" s="109">
        <f t="shared" ref="M145" si="60">IF(ISERROR(I145-K145),"",I145-K145)</f>
        <v>-2.6666666666666643</v>
      </c>
      <c r="N145" s="130"/>
      <c r="O145" s="415"/>
      <c r="P145" s="415"/>
      <c r="Q145" s="415"/>
      <c r="R145" s="415"/>
      <c r="S145" s="415"/>
      <c r="T145" s="415"/>
      <c r="U145" s="415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6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3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1">IF(ISERROR(I147-K147),"",I147-K147)</f>
        <v>0</v>
      </c>
      <c r="N147" s="130">
        <f t="shared" ref="N147" si="62">SUM(O147:U147)</f>
        <v>0</v>
      </c>
      <c r="O147" s="415"/>
      <c r="P147" s="415"/>
      <c r="Q147" s="415"/>
      <c r="R147" s="415"/>
      <c r="S147" s="415"/>
      <c r="T147" s="415"/>
      <c r="U147" s="415"/>
      <c r="V147" s="132">
        <f t="shared" ref="V147" si="63">SUM(X147:AA147)</f>
        <v>0</v>
      </c>
      <c r="W147" s="133" t="str">
        <f t="shared" ref="W147:W152" si="64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421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44</v>
      </c>
      <c r="J148" s="130">
        <f t="array" ref="J148">IF(ISERROR(G148/I148),"",G148/I148)</f>
        <v>14.318181818181818</v>
      </c>
      <c r="K148" s="146">
        <f>SUM(K138:K147)</f>
        <v>46.666666666666664</v>
      </c>
      <c r="L148" s="147"/>
      <c r="M148" s="150">
        <f>SUM(M138:M147)</f>
        <v>-2.6666666666666643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4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13"/>
      <c r="D149" s="108">
        <v>3.65</v>
      </c>
      <c r="E149" s="108"/>
      <c r="F149" s="153"/>
      <c r="G149" s="128"/>
      <c r="H149" s="423">
        <f t="shared" ref="H149:H162" si="65">D149*G149</f>
        <v>0</v>
      </c>
      <c r="I149" s="129"/>
      <c r="J149" s="130" t="str">
        <f t="array" ref="J149">IF(ISERROR(G149/I149),"",G149/I149)</f>
        <v/>
      </c>
      <c r="K149" s="423">
        <f t="array" ref="K149">IF(ISERROR(G149/L149),"",G149/L149)</f>
        <v>0</v>
      </c>
      <c r="L149" s="129">
        <v>5</v>
      </c>
      <c r="M149" s="109">
        <f t="shared" ref="M149:M152" si="66">IF(ISERROR(I149-K149),"",I149-K149)</f>
        <v>0</v>
      </c>
      <c r="N149" s="130">
        <f t="shared" ref="N149:N152" si="67">SUM(O149:U149)</f>
        <v>0</v>
      </c>
      <c r="O149" s="415"/>
      <c r="P149" s="415"/>
      <c r="Q149" s="415"/>
      <c r="R149" s="415"/>
      <c r="S149" s="415"/>
      <c r="T149" s="415"/>
      <c r="U149" s="415"/>
      <c r="V149" s="132">
        <f t="shared" ref="V149:V152" si="68">SUM(X149:AA149)</f>
        <v>0</v>
      </c>
      <c r="W149" s="133" t="str">
        <f t="shared" si="64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13"/>
      <c r="D150" s="108">
        <v>6.58</v>
      </c>
      <c r="E150" s="108"/>
      <c r="F150" s="127"/>
      <c r="G150" s="128"/>
      <c r="H150" s="423">
        <f t="shared" si="65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6"/>
        <v>0</v>
      </c>
      <c r="N150" s="130">
        <f t="shared" si="67"/>
        <v>0</v>
      </c>
      <c r="O150" s="415"/>
      <c r="P150" s="415"/>
      <c r="Q150" s="415"/>
      <c r="R150" s="415"/>
      <c r="S150" s="415"/>
      <c r="T150" s="415"/>
      <c r="U150" s="415"/>
      <c r="V150" s="132">
        <f t="shared" si="68"/>
        <v>0</v>
      </c>
      <c r="W150" s="133" t="str">
        <f t="shared" si="64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30700016</v>
      </c>
      <c r="B151" s="141" t="s">
        <v>237</v>
      </c>
      <c r="C151" s="413"/>
      <c r="D151" s="108">
        <v>7.8</v>
      </c>
      <c r="E151" s="108"/>
      <c r="F151" s="127"/>
      <c r="G151" s="128"/>
      <c r="H151" s="423">
        <f t="shared" si="65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4.5999999999999996</v>
      </c>
      <c r="M151" s="109">
        <f t="shared" si="66"/>
        <v>0</v>
      </c>
      <c r="N151" s="130">
        <f t="shared" si="67"/>
        <v>0</v>
      </c>
      <c r="O151" s="415"/>
      <c r="P151" s="415"/>
      <c r="Q151" s="415"/>
      <c r="R151" s="415"/>
      <c r="S151" s="415"/>
      <c r="T151" s="415"/>
      <c r="U151" s="415"/>
      <c r="V151" s="132">
        <f t="shared" si="68"/>
        <v>0</v>
      </c>
      <c r="W151" s="133" t="str">
        <f t="shared" si="64"/>
        <v/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13"/>
      <c r="D152" s="108">
        <v>4.4000000000000004</v>
      </c>
      <c r="E152" s="108"/>
      <c r="F152" s="127"/>
      <c r="G152" s="128"/>
      <c r="H152" s="423">
        <f t="shared" si="65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6"/>
        <v>0</v>
      </c>
      <c r="N152" s="130">
        <f t="shared" si="67"/>
        <v>0</v>
      </c>
      <c r="O152" s="415"/>
      <c r="P152" s="415"/>
      <c r="Q152" s="415"/>
      <c r="R152" s="415"/>
      <c r="S152" s="415"/>
      <c r="T152" s="415"/>
      <c r="U152" s="415"/>
      <c r="V152" s="132">
        <f t="shared" si="68"/>
        <v>0</v>
      </c>
      <c r="W152" s="133" t="str">
        <f t="shared" si="64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3">
        <f t="shared" si="65"/>
        <v>0</v>
      </c>
      <c r="I153" s="129"/>
      <c r="J153" s="130"/>
      <c r="K153" s="131"/>
      <c r="L153" s="129">
        <v>6</v>
      </c>
      <c r="M153" s="109"/>
      <c r="N153" s="130"/>
      <c r="O153" s="415"/>
      <c r="P153" s="415"/>
      <c r="Q153" s="415"/>
      <c r="R153" s="415"/>
      <c r="S153" s="415"/>
      <c r="T153" s="415"/>
      <c r="U153" s="415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13" t="s">
        <v>239</v>
      </c>
      <c r="C154" s="413" t="s">
        <v>179</v>
      </c>
      <c r="D154" s="108">
        <v>6.04</v>
      </c>
      <c r="E154" s="108"/>
      <c r="F154" s="127"/>
      <c r="G154" s="128"/>
      <c r="H154" s="423">
        <f t="shared" si="65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9">IF(ISERROR(I154-K154),"",I154-K154)</f>
        <v>0</v>
      </c>
      <c r="N154" s="130">
        <f t="shared" ref="N154:N155" si="70">SUM(O154:U154)</f>
        <v>0</v>
      </c>
      <c r="O154" s="415"/>
      <c r="P154" s="415"/>
      <c r="Q154" s="415"/>
      <c r="R154" s="415"/>
      <c r="S154" s="415"/>
      <c r="T154" s="415"/>
      <c r="U154" s="415"/>
      <c r="V154" s="132">
        <f t="shared" ref="V154:V155" si="71">SUM(X154:AA154)</f>
        <v>0</v>
      </c>
      <c r="W154" s="133" t="str">
        <f t="shared" ref="W154:W155" si="72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13" t="s">
        <v>239</v>
      </c>
      <c r="C155" s="413" t="s">
        <v>186</v>
      </c>
      <c r="D155" s="108">
        <v>6.04</v>
      </c>
      <c r="E155" s="108"/>
      <c r="F155" s="127"/>
      <c r="G155" s="128"/>
      <c r="H155" s="423">
        <f t="shared" si="65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9"/>
        <v>0</v>
      </c>
      <c r="N155" s="130">
        <f t="shared" si="70"/>
        <v>0</v>
      </c>
      <c r="O155" s="415"/>
      <c r="P155" s="415"/>
      <c r="Q155" s="415"/>
      <c r="R155" s="415"/>
      <c r="S155" s="415"/>
      <c r="T155" s="415"/>
      <c r="U155" s="415"/>
      <c r="V155" s="132">
        <f t="shared" si="71"/>
        <v>0</v>
      </c>
      <c r="W155" s="133" t="str">
        <f t="shared" si="72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13" t="s">
        <v>443</v>
      </c>
      <c r="C156" s="413" t="s">
        <v>179</v>
      </c>
      <c r="D156" s="108">
        <v>6</v>
      </c>
      <c r="E156" s="108"/>
      <c r="F156" s="127"/>
      <c r="G156" s="128"/>
      <c r="H156" s="423">
        <f t="shared" si="65"/>
        <v>0</v>
      </c>
      <c r="I156" s="129"/>
      <c r="J156" s="130"/>
      <c r="K156" s="131"/>
      <c r="L156" s="129"/>
      <c r="M156" s="109"/>
      <c r="N156" s="130"/>
      <c r="O156" s="415"/>
      <c r="P156" s="415"/>
      <c r="Q156" s="415"/>
      <c r="R156" s="415"/>
      <c r="S156" s="415"/>
      <c r="T156" s="415"/>
      <c r="U156" s="41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13" t="s">
        <v>443</v>
      </c>
      <c r="C157" s="413" t="s">
        <v>60</v>
      </c>
      <c r="D157" s="108">
        <v>6</v>
      </c>
      <c r="E157" s="108"/>
      <c r="F157" s="127"/>
      <c r="G157" s="128"/>
      <c r="H157" s="423">
        <f t="shared" si="65"/>
        <v>0</v>
      </c>
      <c r="I157" s="129"/>
      <c r="J157" s="130"/>
      <c r="K157" s="131"/>
      <c r="L157" s="129">
        <v>6</v>
      </c>
      <c r="M157" s="109"/>
      <c r="N157" s="130"/>
      <c r="O157" s="415"/>
      <c r="P157" s="415"/>
      <c r="Q157" s="415"/>
      <c r="R157" s="415"/>
      <c r="S157" s="415"/>
      <c r="T157" s="415"/>
      <c r="U157" s="415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14" t="s">
        <v>240</v>
      </c>
      <c r="C158" s="126"/>
      <c r="D158" s="108">
        <v>7.3</v>
      </c>
      <c r="E158" s="108"/>
      <c r="F158" s="127"/>
      <c r="G158" s="128"/>
      <c r="H158" s="423">
        <f t="shared" si="65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3">IF(ISERROR(I158-K158),"",I158-K158)</f>
        <v/>
      </c>
      <c r="N158" s="130">
        <f t="shared" ref="N158:N159" si="74">SUM(O158:U158)</f>
        <v>0</v>
      </c>
      <c r="O158" s="415"/>
      <c r="P158" s="415"/>
      <c r="Q158" s="415"/>
      <c r="R158" s="415"/>
      <c r="S158" s="415"/>
      <c r="T158" s="415"/>
      <c r="U158" s="415"/>
      <c r="V158" s="132">
        <f t="shared" ref="V158:V159" si="75">SUM(X158:AA158)</f>
        <v>0</v>
      </c>
      <c r="W158" s="133" t="str">
        <f t="shared" ref="W158:W159" si="76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14" t="s">
        <v>241</v>
      </c>
      <c r="C159" s="126"/>
      <c r="D159" s="108">
        <f>78*120/1000</f>
        <v>9.36</v>
      </c>
      <c r="E159" s="108"/>
      <c r="F159" s="127"/>
      <c r="G159" s="128"/>
      <c r="H159" s="423">
        <f t="shared" si="65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4"/>
        <v>0</v>
      </c>
      <c r="O159" s="415"/>
      <c r="P159" s="415"/>
      <c r="Q159" s="415"/>
      <c r="R159" s="415"/>
      <c r="S159" s="415"/>
      <c r="T159" s="415"/>
      <c r="U159" s="415"/>
      <c r="V159" s="132">
        <f t="shared" si="75"/>
        <v>0</v>
      </c>
      <c r="W159" s="133" t="str">
        <f t="shared" si="76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14" t="s">
        <v>242</v>
      </c>
      <c r="C160" s="126"/>
      <c r="D160" s="108">
        <v>4.5</v>
      </c>
      <c r="E160" s="108"/>
      <c r="F160" s="127"/>
      <c r="G160" s="128"/>
      <c r="H160" s="423">
        <f t="shared" si="65"/>
        <v>0</v>
      </c>
      <c r="I160" s="129"/>
      <c r="J160" s="130"/>
      <c r="K160" s="131"/>
      <c r="L160" s="129"/>
      <c r="M160" s="109"/>
      <c r="N160" s="130"/>
      <c r="O160" s="415"/>
      <c r="P160" s="415"/>
      <c r="Q160" s="415"/>
      <c r="R160" s="415"/>
      <c r="S160" s="415"/>
      <c r="T160" s="415"/>
      <c r="U160" s="41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14" t="s">
        <v>243</v>
      </c>
      <c r="C161" s="126"/>
      <c r="D161" s="108">
        <v>4.5</v>
      </c>
      <c r="E161" s="108"/>
      <c r="F161" s="127"/>
      <c r="G161" s="128"/>
      <c r="H161" s="423">
        <f t="shared" si="65"/>
        <v>0</v>
      </c>
      <c r="I161" s="129"/>
      <c r="J161" s="130"/>
      <c r="K161" s="131"/>
      <c r="L161" s="129"/>
      <c r="M161" s="109"/>
      <c r="N161" s="130"/>
      <c r="O161" s="415"/>
      <c r="P161" s="415"/>
      <c r="Q161" s="415"/>
      <c r="R161" s="415"/>
      <c r="S161" s="415"/>
      <c r="T161" s="415"/>
      <c r="U161" s="41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3">
        <f t="shared" si="65"/>
        <v>0</v>
      </c>
      <c r="I162" s="129"/>
      <c r="J162" s="130"/>
      <c r="K162" s="131"/>
      <c r="L162" s="129"/>
      <c r="M162" s="109"/>
      <c r="N162" s="130"/>
      <c r="O162" s="415"/>
      <c r="P162" s="415"/>
      <c r="Q162" s="415"/>
      <c r="R162" s="415"/>
      <c r="S162" s="415"/>
      <c r="T162" s="415"/>
      <c r="U162" s="415"/>
      <c r="V162" s="132"/>
      <c r="W162" s="133"/>
      <c r="X162" s="132"/>
      <c r="Y162" s="132"/>
      <c r="Z162" s="132"/>
      <c r="AA162" s="132"/>
    </row>
    <row r="163" spans="1:27" ht="20.100000000000001" hidden="1" customHeight="1">
      <c r="A163" s="618" t="s">
        <v>244</v>
      </c>
      <c r="B163" s="619"/>
      <c r="C163" s="421" t="s">
        <v>202</v>
      </c>
      <c r="D163" s="143"/>
      <c r="E163" s="143"/>
      <c r="F163" s="144"/>
      <c r="G163" s="145">
        <f>SUM(G149:G161)</f>
        <v>0</v>
      </c>
      <c r="H163" s="146">
        <f>SUM(H149:H159)</f>
        <v>0</v>
      </c>
      <c r="I163" s="146">
        <f>SUM(I149:I161)</f>
        <v>0</v>
      </c>
      <c r="J163" s="130" t="str">
        <f t="array" ref="J163">IF(ISERROR(G163/I163),"",G163/I163)</f>
        <v/>
      </c>
      <c r="K163" s="146">
        <f>SUM(K149:K159)</f>
        <v>0</v>
      </c>
      <c r="L163" s="147"/>
      <c r="M163" s="150">
        <f t="shared" ref="M163:V163" si="77">SUM(M149:M159)</f>
        <v>0</v>
      </c>
      <c r="N163" s="146">
        <f t="shared" si="77"/>
        <v>0</v>
      </c>
      <c r="O163" s="148">
        <f t="shared" si="77"/>
        <v>0</v>
      </c>
      <c r="P163" s="148">
        <f t="shared" si="77"/>
        <v>0</v>
      </c>
      <c r="Q163" s="148">
        <f t="shared" si="77"/>
        <v>0</v>
      </c>
      <c r="R163" s="148">
        <f t="shared" si="77"/>
        <v>0</v>
      </c>
      <c r="S163" s="148">
        <f t="shared" si="77"/>
        <v>0</v>
      </c>
      <c r="T163" s="148">
        <f t="shared" si="77"/>
        <v>0</v>
      </c>
      <c r="U163" s="148">
        <f t="shared" si="77"/>
        <v>0</v>
      </c>
      <c r="V163" s="149">
        <f t="shared" si="77"/>
        <v>0</v>
      </c>
      <c r="W163" s="133" t="str">
        <f>IF(ISERROR(V163/G163),"",V163/G163)</f>
        <v/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6009</v>
      </c>
      <c r="H164" s="154">
        <f>SUM(H28,H86,H121,H137,H148,H163)</f>
        <v>30305.98</v>
      </c>
      <c r="I164" s="154">
        <f>SUM(I28,I86,I121,I137,I148,I163)</f>
        <v>309.5</v>
      </c>
      <c r="J164" s="155">
        <f t="array" ref="J164">IF(ISERROR(G164/I164),"",G164/I164)</f>
        <v>19.41518578352181</v>
      </c>
      <c r="K164" s="154">
        <f>SUM(K28,K86,K121,K137,K148,K163)</f>
        <v>330.92951411608499</v>
      </c>
      <c r="L164" s="155">
        <f>IF(ISERROR(G164/K164),"",G164/K164)</f>
        <v>18.15794525323642</v>
      </c>
      <c r="M164" s="154">
        <f t="shared" ref="M164:AA164" si="78">SUM(M28,M86,M121,M137,M148,M163)</f>
        <v>-21.429514116084952</v>
      </c>
      <c r="N164" s="154">
        <f t="shared" si="78"/>
        <v>0</v>
      </c>
      <c r="O164" s="154">
        <f t="shared" si="78"/>
        <v>0</v>
      </c>
      <c r="P164" s="154">
        <f t="shared" si="78"/>
        <v>0</v>
      </c>
      <c r="Q164" s="154">
        <f t="shared" si="78"/>
        <v>0</v>
      </c>
      <c r="R164" s="154">
        <f t="shared" si="78"/>
        <v>0</v>
      </c>
      <c r="S164" s="154">
        <f t="shared" si="78"/>
        <v>0</v>
      </c>
      <c r="T164" s="154">
        <f t="shared" si="78"/>
        <v>0</v>
      </c>
      <c r="U164" s="154">
        <f t="shared" si="78"/>
        <v>0</v>
      </c>
      <c r="V164" s="154">
        <f t="shared" si="78"/>
        <v>0</v>
      </c>
      <c r="W164" s="154">
        <f t="shared" si="78"/>
        <v>0</v>
      </c>
      <c r="X164" s="154">
        <f t="shared" si="78"/>
        <v>0</v>
      </c>
      <c r="Y164" s="154">
        <f t="shared" si="78"/>
        <v>0</v>
      </c>
      <c r="Z164" s="154">
        <f t="shared" si="78"/>
        <v>0</v>
      </c>
      <c r="AA164" s="154">
        <f t="shared" si="78"/>
        <v>0</v>
      </c>
    </row>
    <row r="165" spans="1:27" ht="20.100000000000001" customHeight="1">
      <c r="A165" s="623" t="s">
        <v>476</v>
      </c>
      <c r="B165" s="420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420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420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420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420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420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420">
        <f>G164</f>
        <v>6009</v>
      </c>
      <c r="C171" s="638" t="s">
        <v>269</v>
      </c>
      <c r="D171" s="639"/>
      <c r="E171" s="631">
        <f>H164</f>
        <v>30305.98</v>
      </c>
      <c r="F171" s="631"/>
      <c r="G171" s="631" t="s">
        <v>270</v>
      </c>
      <c r="H171" s="631"/>
      <c r="I171" s="640">
        <f>L164</f>
        <v>18.15794525323642</v>
      </c>
      <c r="J171" s="640"/>
      <c r="K171" s="628" t="s">
        <v>271</v>
      </c>
      <c r="L171" s="628"/>
      <c r="M171" s="640">
        <f>J164</f>
        <v>19.41518578352181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420">
        <f>I164+C170</f>
        <v>313.5</v>
      </c>
      <c r="C172" s="641" t="s">
        <v>251</v>
      </c>
      <c r="D172" s="642"/>
      <c r="E172" s="643">
        <f>K164+I170</f>
        <v>371.92951411608499</v>
      </c>
      <c r="F172" s="643"/>
      <c r="G172" s="631" t="s">
        <v>274</v>
      </c>
      <c r="H172" s="631"/>
      <c r="I172" s="640">
        <f>B172-E172</f>
        <v>-58.429514116084988</v>
      </c>
      <c r="J172" s="640"/>
      <c r="K172" s="628" t="s">
        <v>275</v>
      </c>
      <c r="L172" s="628"/>
      <c r="M172" s="632">
        <f>IF(ISERROR(I172/E172),"",I172/E172)</f>
        <v>-0.15709835304398087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420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540</v>
      </c>
      <c r="H177" s="413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414" t="s">
        <v>178</v>
      </c>
      <c r="C178" s="126" t="s">
        <v>179</v>
      </c>
      <c r="D178" s="108">
        <v>5.03</v>
      </c>
      <c r="E178" s="108"/>
      <c r="F178" s="127"/>
      <c r="G178" s="128"/>
      <c r="H178" s="423">
        <f t="shared" ref="H178:H187" si="79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80">IF(ISERROR(I178-K178),"",I178-K178)</f>
        <v>0</v>
      </c>
      <c r="N178" s="130">
        <f>SUM(O178:U178)</f>
        <v>0</v>
      </c>
      <c r="O178" s="415"/>
      <c r="P178" s="415"/>
      <c r="Q178" s="415"/>
      <c r="R178" s="415"/>
      <c r="S178" s="415"/>
      <c r="T178" s="415"/>
      <c r="U178" s="415"/>
      <c r="V178" s="132">
        <f t="shared" ref="V178:V183" si="81">SUM(X178:AA178)</f>
        <v>0</v>
      </c>
      <c r="W178" s="133" t="str">
        <f t="shared" ref="W178:W183" si="82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3">
        <f t="shared" si="79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80"/>
        <v>0</v>
      </c>
      <c r="N179" s="130">
        <f t="shared" ref="N179:N187" si="83">SUM(O179:U179)</f>
        <v>0</v>
      </c>
      <c r="O179" s="415"/>
      <c r="P179" s="415"/>
      <c r="Q179" s="415"/>
      <c r="R179" s="415"/>
      <c r="S179" s="415"/>
      <c r="T179" s="415"/>
      <c r="U179" s="415"/>
      <c r="V179" s="132">
        <f t="shared" si="81"/>
        <v>0</v>
      </c>
      <c r="W179" s="133" t="str">
        <f t="shared" si="82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3">
        <f t="shared" si="79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80"/>
        <v>0</v>
      </c>
      <c r="N180" s="130">
        <f t="shared" si="83"/>
        <v>0</v>
      </c>
      <c r="O180" s="415"/>
      <c r="P180" s="415"/>
      <c r="Q180" s="415"/>
      <c r="R180" s="415"/>
      <c r="S180" s="415"/>
      <c r="T180" s="415"/>
      <c r="U180" s="415"/>
      <c r="V180" s="132">
        <f t="shared" si="81"/>
        <v>0</v>
      </c>
      <c r="W180" s="133" t="str">
        <f t="shared" si="82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3">
        <f t="shared" si="79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80"/>
        <v>0</v>
      </c>
      <c r="N181" s="130">
        <f t="shared" si="83"/>
        <v>0</v>
      </c>
      <c r="O181" s="415"/>
      <c r="P181" s="415"/>
      <c r="Q181" s="415"/>
      <c r="R181" s="415"/>
      <c r="S181" s="415"/>
      <c r="T181" s="415"/>
      <c r="U181" s="415"/>
      <c r="V181" s="132">
        <f t="shared" si="81"/>
        <v>0</v>
      </c>
      <c r="W181" s="133" t="str">
        <f t="shared" si="82"/>
        <v/>
      </c>
      <c r="X181" s="132"/>
      <c r="Y181" s="132"/>
      <c r="Z181" s="132"/>
      <c r="AA181" s="132"/>
    </row>
    <row r="182" spans="1:27" ht="20.10000000000000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>
        <v>42738</v>
      </c>
      <c r="G182" s="128">
        <f>108+108*4+75+27</f>
        <v>642</v>
      </c>
      <c r="H182" s="423">
        <f t="shared" si="79"/>
        <v>3229.26</v>
      </c>
      <c r="I182" s="129">
        <f>8.5*4</f>
        <v>34</v>
      </c>
      <c r="J182" s="130">
        <f t="array" ref="J182">IF(ISERROR(G182/I182),"",G182/I182)</f>
        <v>18.882352941176471</v>
      </c>
      <c r="K182" s="131">
        <f t="array" ref="K182">IF(ISERROR(G182/L182),"",G182/L182)</f>
        <v>32.1</v>
      </c>
      <c r="L182" s="129">
        <v>20</v>
      </c>
      <c r="M182" s="109">
        <f t="shared" si="80"/>
        <v>1.8999999999999986</v>
      </c>
      <c r="N182" s="130">
        <f t="shared" si="83"/>
        <v>0</v>
      </c>
      <c r="O182" s="415"/>
      <c r="P182" s="415"/>
      <c r="Q182" s="415"/>
      <c r="R182" s="415"/>
      <c r="S182" s="415"/>
      <c r="T182" s="415"/>
      <c r="U182" s="415"/>
      <c r="V182" s="132">
        <f t="shared" si="81"/>
        <v>0</v>
      </c>
      <c r="W182" s="133">
        <f t="shared" si="82"/>
        <v>0</v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100+100</f>
        <v>200</v>
      </c>
      <c r="H183" s="423">
        <f t="shared" si="79"/>
        <v>1008</v>
      </c>
      <c r="I183" s="129">
        <f>5*4</f>
        <v>20</v>
      </c>
      <c r="J183" s="130">
        <f t="array" ref="J183">IF(ISERROR(G183/I183),"",G183/I183)</f>
        <v>10</v>
      </c>
      <c r="K183" s="131">
        <f t="array" ref="K183">IF(ISERROR(G183/L183),"",G183/L183)</f>
        <v>10.526315789473685</v>
      </c>
      <c r="L183" s="129">
        <v>19</v>
      </c>
      <c r="M183" s="109">
        <f t="shared" si="80"/>
        <v>9.473684210526315</v>
      </c>
      <c r="N183" s="130">
        <f t="shared" si="83"/>
        <v>0</v>
      </c>
      <c r="O183" s="415"/>
      <c r="P183" s="415"/>
      <c r="Q183" s="415"/>
      <c r="R183" s="415"/>
      <c r="S183" s="415"/>
      <c r="T183" s="415"/>
      <c r="U183" s="415"/>
      <c r="V183" s="132">
        <f t="shared" si="81"/>
        <v>0</v>
      </c>
      <c r="W183" s="133">
        <f t="shared" si="82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3">
        <f t="shared" si="79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80"/>
        <v>0</v>
      </c>
      <c r="N184" s="130">
        <f t="shared" si="83"/>
        <v>0</v>
      </c>
      <c r="O184" s="415"/>
      <c r="P184" s="415"/>
      <c r="Q184" s="415"/>
      <c r="R184" s="415"/>
      <c r="S184" s="415"/>
      <c r="T184" s="415"/>
      <c r="U184" s="41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3">
        <f t="shared" si="79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80"/>
        <v>0</v>
      </c>
      <c r="N185" s="130">
        <f t="shared" si="83"/>
        <v>0</v>
      </c>
      <c r="O185" s="415"/>
      <c r="P185" s="415"/>
      <c r="Q185" s="415"/>
      <c r="R185" s="415"/>
      <c r="S185" s="415"/>
      <c r="T185" s="415"/>
      <c r="U185" s="415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23">
        <f t="shared" si="79"/>
        <v>0</v>
      </c>
      <c r="I186" s="42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80"/>
        <v>0</v>
      </c>
      <c r="N186" s="130">
        <f t="shared" si="83"/>
        <v>0</v>
      </c>
      <c r="O186" s="415"/>
      <c r="P186" s="415"/>
      <c r="Q186" s="415"/>
      <c r="R186" s="415"/>
      <c r="S186" s="415"/>
      <c r="T186" s="415"/>
      <c r="U186" s="41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3">
        <f t="shared" si="79"/>
        <v>0</v>
      </c>
      <c r="I187" s="423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80"/>
        <v>0</v>
      </c>
      <c r="N187" s="130">
        <f t="shared" si="83"/>
        <v>0</v>
      </c>
      <c r="O187" s="415"/>
      <c r="P187" s="415"/>
      <c r="Q187" s="415"/>
      <c r="R187" s="415"/>
      <c r="S187" s="415"/>
      <c r="T187" s="415"/>
      <c r="U187" s="415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5"/>
      <c r="P188" s="415"/>
      <c r="Q188" s="415"/>
      <c r="R188" s="415"/>
      <c r="S188" s="415"/>
      <c r="T188" s="415"/>
      <c r="U188" s="415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3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15"/>
      <c r="P189" s="415"/>
      <c r="Q189" s="415"/>
      <c r="R189" s="415"/>
      <c r="S189" s="415"/>
      <c r="T189" s="415"/>
      <c r="U189" s="415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3">
        <f t="shared" ref="H190:H198" si="84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5">IF(ISERROR(I190-K190),"",I190-K190)</f>
        <v>0</v>
      </c>
      <c r="N190" s="130">
        <f t="shared" ref="N190:N192" si="86">SUM(O190:U190)</f>
        <v>0</v>
      </c>
      <c r="O190" s="415"/>
      <c r="P190" s="415"/>
      <c r="Q190" s="415"/>
      <c r="R190" s="415"/>
      <c r="S190" s="415"/>
      <c r="T190" s="415"/>
      <c r="U190" s="415"/>
      <c r="V190" s="132">
        <f t="shared" ref="V190:V192" si="87">SUM(X190:AA190)</f>
        <v>0</v>
      </c>
      <c r="W190" s="133" t="str">
        <f t="shared" ref="W190:W192" si="88">IF(ISERROR(V190/G190),"",V190/G190)</f>
        <v/>
      </c>
      <c r="X190" s="132"/>
      <c r="Y190" s="132"/>
      <c r="Z190" s="132"/>
      <c r="AA190" s="132"/>
    </row>
    <row r="191" spans="1:27" ht="20.10000000000000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>
        <v>42738</v>
      </c>
      <c r="G191" s="128">
        <f>100+56+100</f>
        <v>256</v>
      </c>
      <c r="H191" s="423">
        <f t="shared" si="84"/>
        <v>1303.04</v>
      </c>
      <c r="I191" s="129">
        <f>4.5*5</f>
        <v>22.5</v>
      </c>
      <c r="J191" s="130">
        <f t="array" ref="J191">IF(ISERROR(G191/I191),"",G191/I191)</f>
        <v>11.377777777777778</v>
      </c>
      <c r="K191" s="131">
        <f t="array" ref="K191">IF(ISERROR(G191/L191),"",G191/L191)</f>
        <v>11.130434782608695</v>
      </c>
      <c r="L191" s="129">
        <v>23</v>
      </c>
      <c r="M191" s="109">
        <f t="shared" si="85"/>
        <v>11.369565217391305</v>
      </c>
      <c r="N191" s="130">
        <f t="shared" si="86"/>
        <v>0</v>
      </c>
      <c r="O191" s="415"/>
      <c r="P191" s="415"/>
      <c r="Q191" s="415"/>
      <c r="R191" s="415"/>
      <c r="S191" s="415"/>
      <c r="T191" s="415"/>
      <c r="U191" s="415"/>
      <c r="V191" s="132">
        <f t="shared" si="87"/>
        <v>0</v>
      </c>
      <c r="W191" s="133">
        <f t="shared" si="88"/>
        <v>0</v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3">
        <f t="shared" si="84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5"/>
        <v>0</v>
      </c>
      <c r="N192" s="130">
        <f t="shared" si="86"/>
        <v>0</v>
      </c>
      <c r="O192" s="415"/>
      <c r="P192" s="415"/>
      <c r="Q192" s="415"/>
      <c r="R192" s="415"/>
      <c r="S192" s="415"/>
      <c r="T192" s="415"/>
      <c r="U192" s="415"/>
      <c r="V192" s="132">
        <f t="shared" si="87"/>
        <v>0</v>
      </c>
      <c r="W192" s="133" t="str">
        <f t="shared" si="88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13" t="s">
        <v>190</v>
      </c>
      <c r="D193" s="108">
        <v>4.8</v>
      </c>
      <c r="E193" s="108"/>
      <c r="F193" s="127"/>
      <c r="G193" s="128"/>
      <c r="H193" s="423">
        <f t="shared" si="84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5"/>
        <v>0</v>
      </c>
      <c r="N193" s="130"/>
      <c r="O193" s="415"/>
      <c r="P193" s="415"/>
      <c r="Q193" s="415"/>
      <c r="R193" s="415"/>
      <c r="S193" s="415"/>
      <c r="T193" s="415"/>
      <c r="U193" s="41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13" t="s">
        <v>187</v>
      </c>
      <c r="D194" s="108">
        <v>4.8</v>
      </c>
      <c r="E194" s="108"/>
      <c r="F194" s="127"/>
      <c r="G194" s="128"/>
      <c r="H194" s="423">
        <f t="shared" si="84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5"/>
        <v>0</v>
      </c>
      <c r="N194" s="130"/>
      <c r="O194" s="415"/>
      <c r="P194" s="415"/>
      <c r="Q194" s="415"/>
      <c r="R194" s="415"/>
      <c r="S194" s="415"/>
      <c r="T194" s="415"/>
      <c r="U194" s="41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13" t="s">
        <v>179</v>
      </c>
      <c r="D195" s="108">
        <v>4.8</v>
      </c>
      <c r="E195" s="108"/>
      <c r="F195" s="127"/>
      <c r="G195" s="128"/>
      <c r="H195" s="423">
        <f t="shared" si="84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5"/>
        <v>0</v>
      </c>
      <c r="N195" s="130"/>
      <c r="O195" s="415"/>
      <c r="P195" s="415"/>
      <c r="Q195" s="415"/>
      <c r="R195" s="415"/>
      <c r="S195" s="415"/>
      <c r="T195" s="415"/>
      <c r="U195" s="41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13" t="s">
        <v>199</v>
      </c>
      <c r="D196" s="108">
        <v>4.8</v>
      </c>
      <c r="E196" s="108"/>
      <c r="F196" s="127"/>
      <c r="G196" s="128"/>
      <c r="H196" s="423">
        <f t="shared" si="84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5"/>
        <v>0</v>
      </c>
      <c r="N196" s="130"/>
      <c r="O196" s="415"/>
      <c r="P196" s="415"/>
      <c r="Q196" s="415"/>
      <c r="R196" s="415"/>
      <c r="S196" s="415"/>
      <c r="T196" s="415"/>
      <c r="U196" s="415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3">
        <f t="shared" si="84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5"/>
        <v>0</v>
      </c>
      <c r="N197" s="130">
        <f t="shared" ref="N197:N198" si="89">SUM(O197:U197)</f>
        <v>0</v>
      </c>
      <c r="O197" s="415"/>
      <c r="P197" s="415"/>
      <c r="Q197" s="415"/>
      <c r="R197" s="415"/>
      <c r="S197" s="415"/>
      <c r="T197" s="415"/>
      <c r="U197" s="415"/>
      <c r="V197" s="132">
        <f t="shared" ref="V197:V198" si="90">SUM(X197:AA197)</f>
        <v>0</v>
      </c>
      <c r="W197" s="133" t="str">
        <f t="shared" ref="W197:W198" si="91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27">
        <v>42738</v>
      </c>
      <c r="G198" s="128">
        <f>100*7</f>
        <v>700</v>
      </c>
      <c r="H198" s="423">
        <f t="shared" si="84"/>
        <v>3493</v>
      </c>
      <c r="I198" s="129">
        <f>7*5</f>
        <v>35</v>
      </c>
      <c r="J198" s="130">
        <f t="array" ref="J198">IF(ISERROR(G198/I198),"",G198/I198)</f>
        <v>20</v>
      </c>
      <c r="K198" s="131">
        <f t="array" ref="K198">IF(ISERROR(G198/L198),"",G198/L198)</f>
        <v>29.787234042553191</v>
      </c>
      <c r="L198" s="129">
        <v>23.5</v>
      </c>
      <c r="M198" s="109">
        <f t="shared" si="85"/>
        <v>5.212765957446809</v>
      </c>
      <c r="N198" s="130">
        <f t="shared" si="89"/>
        <v>0</v>
      </c>
      <c r="O198" s="415"/>
      <c r="P198" s="415"/>
      <c r="Q198" s="415"/>
      <c r="R198" s="415"/>
      <c r="S198" s="415"/>
      <c r="T198" s="415"/>
      <c r="U198" s="415"/>
      <c r="V198" s="132">
        <f t="shared" si="90"/>
        <v>0</v>
      </c>
      <c r="W198" s="133">
        <f t="shared" si="91"/>
        <v>0</v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421" t="s">
        <v>202</v>
      </c>
      <c r="D199" s="143"/>
      <c r="E199" s="143"/>
      <c r="F199" s="144"/>
      <c r="G199" s="145">
        <f>SUM(G178:G198)</f>
        <v>1798</v>
      </c>
      <c r="H199" s="146">
        <f>SUM(H178:H198)</f>
        <v>9033.2999999999993</v>
      </c>
      <c r="I199" s="146">
        <f>SUM(I178:I198)</f>
        <v>111.5</v>
      </c>
      <c r="J199" s="130">
        <f t="array" ref="J199">IF(ISERROR(G199/I199),"",G199/I199)</f>
        <v>16.125560538116591</v>
      </c>
      <c r="K199" s="146">
        <f>SUM(K178:K198)</f>
        <v>83.543984614635576</v>
      </c>
      <c r="L199" s="147"/>
      <c r="M199" s="150">
        <f t="shared" ref="M199:AA199" si="92">SUM(M178:M198)</f>
        <v>27.956015385364427</v>
      </c>
      <c r="N199" s="146">
        <f t="shared" si="92"/>
        <v>0</v>
      </c>
      <c r="O199" s="148">
        <f t="shared" si="92"/>
        <v>0</v>
      </c>
      <c r="P199" s="148">
        <f t="shared" si="92"/>
        <v>0</v>
      </c>
      <c r="Q199" s="148">
        <f t="shared" si="92"/>
        <v>0</v>
      </c>
      <c r="R199" s="148">
        <f t="shared" si="92"/>
        <v>0</v>
      </c>
      <c r="S199" s="148">
        <f t="shared" si="92"/>
        <v>0</v>
      </c>
      <c r="T199" s="148">
        <f t="shared" si="92"/>
        <v>0</v>
      </c>
      <c r="U199" s="148">
        <f t="shared" si="92"/>
        <v>0</v>
      </c>
      <c r="V199" s="149">
        <f t="shared" si="92"/>
        <v>0</v>
      </c>
      <c r="W199" s="133">
        <f t="shared" si="92"/>
        <v>0</v>
      </c>
      <c r="X199" s="149">
        <f t="shared" si="92"/>
        <v>0</v>
      </c>
      <c r="Y199" s="149">
        <f t="shared" si="92"/>
        <v>0</v>
      </c>
      <c r="Z199" s="149">
        <f t="shared" si="92"/>
        <v>0</v>
      </c>
      <c r="AA199" s="149">
        <f t="shared" si="92"/>
        <v>0</v>
      </c>
    </row>
    <row r="200" spans="1:27" ht="20.100000000000001" hidden="1" customHeight="1">
      <c r="A200" s="300">
        <v>30100012</v>
      </c>
      <c r="B200" s="414" t="s">
        <v>206</v>
      </c>
      <c r="C200" s="126" t="s">
        <v>199</v>
      </c>
      <c r="D200" s="108">
        <v>5.03</v>
      </c>
      <c r="E200" s="108"/>
      <c r="F200" s="127"/>
      <c r="G200" s="128"/>
      <c r="H200" s="423">
        <f t="shared" ref="H200:H256" si="93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:M207" si="94">IF(ISERROR(I200-K200),"",I200-K200)</f>
        <v>0</v>
      </c>
      <c r="N200" s="130">
        <f t="shared" ref="N200" si="95">SUM(O200:U200)</f>
        <v>0</v>
      </c>
      <c r="O200" s="418"/>
      <c r="P200" s="418"/>
      <c r="Q200" s="418"/>
      <c r="R200" s="418"/>
      <c r="S200" s="418"/>
      <c r="T200" s="418"/>
      <c r="U200" s="418"/>
      <c r="V200" s="132">
        <f t="shared" ref="V200" si="96">SUM(X200:AA200)</f>
        <v>0</v>
      </c>
      <c r="W200" s="133" t="str">
        <f t="shared" ref="W200" si="97">IF(ISERROR(V200/G200),"",V200/G200)</f>
        <v/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14" t="s">
        <v>425</v>
      </c>
      <c r="C201" s="187" t="s">
        <v>427</v>
      </c>
      <c r="D201" s="108">
        <v>5.03</v>
      </c>
      <c r="E201" s="108"/>
      <c r="F201" s="127">
        <v>42738</v>
      </c>
      <c r="G201" s="128">
        <f>108*5+84+108-624</f>
        <v>108</v>
      </c>
      <c r="H201" s="423">
        <f t="shared" si="93"/>
        <v>543.24</v>
      </c>
      <c r="I201" s="129">
        <f>5*2</f>
        <v>10</v>
      </c>
      <c r="J201" s="130">
        <f t="array" ref="J201">IF(ISERROR(G201/I201),"",G201/I201)</f>
        <v>10.8</v>
      </c>
      <c r="K201" s="131">
        <f t="array" ref="K201">IF(ISERROR(G201/L201),"",G201/L201)</f>
        <v>2.0769230769230771</v>
      </c>
      <c r="L201" s="129">
        <v>52</v>
      </c>
      <c r="M201" s="109">
        <f t="shared" si="94"/>
        <v>7.9230769230769234</v>
      </c>
      <c r="N201" s="130"/>
      <c r="O201" s="418"/>
      <c r="P201" s="418"/>
      <c r="Q201" s="418"/>
      <c r="R201" s="418"/>
      <c r="S201" s="418"/>
      <c r="T201" s="418"/>
      <c r="U201" s="41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14" t="s">
        <v>206</v>
      </c>
      <c r="C202" s="126" t="s">
        <v>186</v>
      </c>
      <c r="D202" s="108">
        <v>5.03</v>
      </c>
      <c r="E202" s="108"/>
      <c r="F202" s="127"/>
      <c r="G202" s="128"/>
      <c r="H202" s="423">
        <f t="shared" si="93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si="94"/>
        <v>0</v>
      </c>
      <c r="N202" s="130">
        <f t="shared" ref="N202:N204" si="98">SUM(O202:U202)</f>
        <v>0</v>
      </c>
      <c r="O202" s="418"/>
      <c r="P202" s="418"/>
      <c r="Q202" s="418"/>
      <c r="R202" s="418"/>
      <c r="S202" s="418"/>
      <c r="T202" s="418"/>
      <c r="U202" s="41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14" t="s">
        <v>206</v>
      </c>
      <c r="C203" s="126" t="s">
        <v>203</v>
      </c>
      <c r="D203" s="108">
        <v>5.03</v>
      </c>
      <c r="E203" s="108"/>
      <c r="F203" s="127"/>
      <c r="G203" s="128"/>
      <c r="H203" s="423">
        <f t="shared" si="93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4"/>
        <v>0</v>
      </c>
      <c r="N203" s="130">
        <f t="shared" si="98"/>
        <v>0</v>
      </c>
      <c r="O203" s="418"/>
      <c r="P203" s="418"/>
      <c r="Q203" s="418"/>
      <c r="R203" s="418"/>
      <c r="S203" s="418"/>
      <c r="T203" s="418"/>
      <c r="U203" s="41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14" t="s">
        <v>206</v>
      </c>
      <c r="C204" s="126" t="s">
        <v>207</v>
      </c>
      <c r="D204" s="108">
        <v>5.03</v>
      </c>
      <c r="E204" s="108"/>
      <c r="F204" s="127"/>
      <c r="G204" s="128"/>
      <c r="H204" s="423">
        <f t="shared" si="93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si="94"/>
        <v>0</v>
      </c>
      <c r="N204" s="130">
        <f t="shared" si="98"/>
        <v>0</v>
      </c>
      <c r="O204" s="418"/>
      <c r="P204" s="418"/>
      <c r="Q204" s="418"/>
      <c r="R204" s="418"/>
      <c r="S204" s="418"/>
      <c r="T204" s="418"/>
      <c r="U204" s="418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14" t="s">
        <v>414</v>
      </c>
      <c r="C205" s="187" t="s">
        <v>415</v>
      </c>
      <c r="D205" s="108">
        <v>5.03</v>
      </c>
      <c r="E205" s="108"/>
      <c r="F205" s="127"/>
      <c r="G205" s="128"/>
      <c r="H205" s="423">
        <f t="shared" si="93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94"/>
        <v>0</v>
      </c>
      <c r="N205" s="130"/>
      <c r="O205" s="418"/>
      <c r="P205" s="418"/>
      <c r="Q205" s="418"/>
      <c r="R205" s="418"/>
      <c r="S205" s="418"/>
      <c r="T205" s="418"/>
      <c r="U205" s="41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14" t="s">
        <v>414</v>
      </c>
      <c r="C206" s="187" t="s">
        <v>416</v>
      </c>
      <c r="D206" s="108">
        <v>5.03</v>
      </c>
      <c r="E206" s="108"/>
      <c r="F206" s="127"/>
      <c r="G206" s="128"/>
      <c r="H206" s="423">
        <f t="shared" si="93"/>
        <v>0</v>
      </c>
      <c r="I206" s="129"/>
      <c r="J206" s="130" t="str">
        <f t="array" ref="J206">IF(ISERROR(G206/I206),"",G206/I206)</f>
        <v/>
      </c>
      <c r="K206" s="131">
        <f t="array" ref="K206">IF(ISERROR(G206/L206),"",G206/L206)</f>
        <v>0</v>
      </c>
      <c r="L206" s="129">
        <v>52</v>
      </c>
      <c r="M206" s="109">
        <f t="shared" si="94"/>
        <v>0</v>
      </c>
      <c r="N206" s="130"/>
      <c r="O206" s="418"/>
      <c r="P206" s="418"/>
      <c r="Q206" s="418"/>
      <c r="R206" s="418"/>
      <c r="S206" s="418"/>
      <c r="T206" s="418"/>
      <c r="U206" s="418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30100015</v>
      </c>
      <c r="B207" s="414" t="s">
        <v>414</v>
      </c>
      <c r="C207" s="187" t="s">
        <v>61</v>
      </c>
      <c r="D207" s="108">
        <v>5.03</v>
      </c>
      <c r="E207" s="108"/>
      <c r="F207" s="127">
        <v>42737</v>
      </c>
      <c r="G207" s="128">
        <f>108*6+88</f>
        <v>736</v>
      </c>
      <c r="H207" s="423">
        <f t="shared" si="93"/>
        <v>3702.0800000000004</v>
      </c>
      <c r="I207" s="129">
        <f>4.5*2</f>
        <v>9</v>
      </c>
      <c r="J207" s="130">
        <f t="array" ref="J207">IF(ISERROR(G207/I207),"",G207/I207)</f>
        <v>81.777777777777771</v>
      </c>
      <c r="K207" s="131">
        <f t="array" ref="K207">IF(ISERROR(G207/L207),"",G207/L207)</f>
        <v>14.153846153846153</v>
      </c>
      <c r="L207" s="129">
        <v>52</v>
      </c>
      <c r="M207" s="109">
        <f t="shared" si="94"/>
        <v>-5.1538461538461533</v>
      </c>
      <c r="N207" s="130"/>
      <c r="O207" s="418"/>
      <c r="P207" s="418"/>
      <c r="Q207" s="418"/>
      <c r="R207" s="418"/>
      <c r="S207" s="418"/>
      <c r="T207" s="418"/>
      <c r="U207" s="418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14" t="s">
        <v>208</v>
      </c>
      <c r="C208" s="126" t="s">
        <v>179</v>
      </c>
      <c r="D208" s="108">
        <v>5.08</v>
      </c>
      <c r="E208" s="108"/>
      <c r="F208" s="127"/>
      <c r="G208" s="128"/>
      <c r="H208" s="423">
        <f t="shared" si="93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18"/>
      <c r="P208" s="418"/>
      <c r="Q208" s="418"/>
      <c r="R208" s="418"/>
      <c r="S208" s="418"/>
      <c r="T208" s="418"/>
      <c r="U208" s="418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customHeight="1">
      <c r="A209" s="300">
        <v>30100023</v>
      </c>
      <c r="B209" s="414" t="s">
        <v>208</v>
      </c>
      <c r="C209" s="126" t="s">
        <v>204</v>
      </c>
      <c r="D209" s="108">
        <v>5.08</v>
      </c>
      <c r="E209" s="108"/>
      <c r="F209" s="127">
        <v>42736</v>
      </c>
      <c r="G209" s="128">
        <v>5</v>
      </c>
      <c r="H209" s="423">
        <f t="shared" si="93"/>
        <v>25.4</v>
      </c>
      <c r="I209" s="129">
        <v>0.5</v>
      </c>
      <c r="J209" s="130">
        <f t="array" ref="J209">IF(ISERROR(G209/I209),"",G209/I209)</f>
        <v>10</v>
      </c>
      <c r="K209" s="131">
        <f t="array" ref="K209">IF(ISERROR(G209/L209),"",G209/L209)</f>
        <v>0.23809523809523808</v>
      </c>
      <c r="L209" s="129">
        <v>21</v>
      </c>
      <c r="M209" s="109">
        <f t="shared" si="101"/>
        <v>0.26190476190476192</v>
      </c>
      <c r="N209" s="130">
        <f t="shared" si="102"/>
        <v>0</v>
      </c>
      <c r="O209" s="418"/>
      <c r="P209" s="418"/>
      <c r="Q209" s="418"/>
      <c r="R209" s="418"/>
      <c r="S209" s="418"/>
      <c r="T209" s="418"/>
      <c r="U209" s="418"/>
      <c r="V209" s="132">
        <f t="shared" si="103"/>
        <v>0</v>
      </c>
      <c r="W209" s="133">
        <f t="shared" si="104"/>
        <v>0</v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14" t="s">
        <v>208</v>
      </c>
      <c r="C210" s="126" t="s">
        <v>205</v>
      </c>
      <c r="D210" s="108">
        <v>5.08</v>
      </c>
      <c r="E210" s="108"/>
      <c r="F210" s="127"/>
      <c r="G210" s="128"/>
      <c r="H210" s="423">
        <f t="shared" si="93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18"/>
      <c r="P210" s="418"/>
      <c r="Q210" s="418"/>
      <c r="R210" s="418"/>
      <c r="S210" s="418"/>
      <c r="T210" s="418"/>
      <c r="U210" s="41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14" t="s">
        <v>208</v>
      </c>
      <c r="C211" s="126" t="s">
        <v>186</v>
      </c>
      <c r="D211" s="108">
        <v>5.08</v>
      </c>
      <c r="E211" s="108"/>
      <c r="F211" s="127"/>
      <c r="G211" s="128"/>
      <c r="H211" s="423">
        <f t="shared" si="93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18"/>
      <c r="P211" s="418"/>
      <c r="Q211" s="418"/>
      <c r="R211" s="418"/>
      <c r="S211" s="418"/>
      <c r="T211" s="418"/>
      <c r="U211" s="41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14" t="s">
        <v>208</v>
      </c>
      <c r="C212" s="126" t="s">
        <v>203</v>
      </c>
      <c r="D212" s="108">
        <v>5.08</v>
      </c>
      <c r="E212" s="108"/>
      <c r="F212" s="127"/>
      <c r="G212" s="128"/>
      <c r="H212" s="423">
        <f t="shared" si="93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18"/>
      <c r="P212" s="418"/>
      <c r="Q212" s="418"/>
      <c r="R212" s="418"/>
      <c r="S212" s="418"/>
      <c r="T212" s="418"/>
      <c r="U212" s="41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14" t="s">
        <v>208</v>
      </c>
      <c r="C213" s="126" t="s">
        <v>199</v>
      </c>
      <c r="D213" s="108">
        <v>5.08</v>
      </c>
      <c r="E213" s="108"/>
      <c r="F213" s="127">
        <v>42738</v>
      </c>
      <c r="G213" s="128">
        <f>108*4+84</f>
        <v>516</v>
      </c>
      <c r="H213" s="423">
        <f t="shared" si="93"/>
        <v>2621.2800000000002</v>
      </c>
      <c r="I213" s="129">
        <f>8.5*4</f>
        <v>34</v>
      </c>
      <c r="J213" s="130">
        <f t="array" ref="J213">IF(ISERROR(G213/I213),"",G213/I213)</f>
        <v>15.176470588235293</v>
      </c>
      <c r="K213" s="131">
        <f t="array" ref="K213">IF(ISERROR(G213/L213),"",G213/L213)</f>
        <v>24.571428571428573</v>
      </c>
      <c r="L213" s="129">
        <v>21</v>
      </c>
      <c r="M213" s="109">
        <f t="shared" si="101"/>
        <v>9.428571428571427</v>
      </c>
      <c r="N213" s="130">
        <f t="shared" si="102"/>
        <v>0</v>
      </c>
      <c r="O213" s="415"/>
      <c r="P213" s="415"/>
      <c r="Q213" s="415"/>
      <c r="R213" s="415"/>
      <c r="S213" s="415"/>
      <c r="T213" s="415"/>
      <c r="U213" s="415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14" t="s">
        <v>208</v>
      </c>
      <c r="C214" s="126" t="s">
        <v>187</v>
      </c>
      <c r="D214" s="108">
        <v>5.08</v>
      </c>
      <c r="E214" s="108"/>
      <c r="F214" s="127"/>
      <c r="G214" s="128"/>
      <c r="H214" s="423">
        <f t="shared" si="93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18"/>
      <c r="P214" s="418"/>
      <c r="Q214" s="418"/>
      <c r="R214" s="418"/>
      <c r="S214" s="418"/>
      <c r="T214" s="418"/>
      <c r="U214" s="41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1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108+70</f>
        <v>178</v>
      </c>
      <c r="H215" s="423">
        <f t="shared" si="93"/>
        <v>904.24</v>
      </c>
      <c r="I215" s="129">
        <f>3*4</f>
        <v>12</v>
      </c>
      <c r="J215" s="130">
        <f t="array" ref="J215">IF(ISERROR(G215/I215),"",G215/I215)</f>
        <v>14.833333333333334</v>
      </c>
      <c r="K215" s="131">
        <f t="array" ref="K215">IF(ISERROR(G215/L215),"",G215/L215)</f>
        <v>8.4761904761904763</v>
      </c>
      <c r="L215" s="129">
        <v>21</v>
      </c>
      <c r="M215" s="109">
        <f t="shared" si="101"/>
        <v>3.5238095238095237</v>
      </c>
      <c r="N215" s="130">
        <f t="shared" si="102"/>
        <v>0</v>
      </c>
      <c r="O215" s="415"/>
      <c r="P215" s="415"/>
      <c r="Q215" s="415"/>
      <c r="R215" s="415"/>
      <c r="S215" s="415"/>
      <c r="T215" s="415"/>
      <c r="U215" s="415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customHeight="1">
      <c r="A216" s="300">
        <v>30100032</v>
      </c>
      <c r="B216" s="414" t="s">
        <v>209</v>
      </c>
      <c r="C216" s="126" t="s">
        <v>194</v>
      </c>
      <c r="D216" s="108">
        <v>5.03</v>
      </c>
      <c r="E216" s="108"/>
      <c r="F216" s="127">
        <v>42736</v>
      </c>
      <c r="G216" s="128">
        <v>1</v>
      </c>
      <c r="H216" s="423">
        <f t="shared" si="93"/>
        <v>5.03</v>
      </c>
      <c r="I216" s="129">
        <v>0.02</v>
      </c>
      <c r="J216" s="130">
        <f t="array" ref="J216">IF(ISERROR(G216/I216),"",G216/I216)</f>
        <v>50</v>
      </c>
      <c r="K216" s="131">
        <f t="array" ref="K216">IF(ISERROR(G216/L216),"",G216/L216)</f>
        <v>1.7857142857142856E-2</v>
      </c>
      <c r="L216" s="129">
        <v>56</v>
      </c>
      <c r="M216" s="109">
        <f t="shared" si="101"/>
        <v>2.1428571428571443E-3</v>
      </c>
      <c r="N216" s="130">
        <f t="shared" si="102"/>
        <v>0</v>
      </c>
      <c r="O216" s="418"/>
      <c r="P216" s="418"/>
      <c r="Q216" s="418"/>
      <c r="R216" s="418"/>
      <c r="S216" s="418"/>
      <c r="T216" s="418"/>
      <c r="U216" s="418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30100033</v>
      </c>
      <c r="B217" s="414" t="s">
        <v>209</v>
      </c>
      <c r="C217" s="126" t="s">
        <v>179</v>
      </c>
      <c r="D217" s="108">
        <v>5.03</v>
      </c>
      <c r="E217" s="108"/>
      <c r="F217" s="127">
        <v>42736</v>
      </c>
      <c r="G217" s="128">
        <v>1</v>
      </c>
      <c r="H217" s="423">
        <f t="shared" si="93"/>
        <v>5.03</v>
      </c>
      <c r="I217" s="129">
        <v>0.02</v>
      </c>
      <c r="J217" s="130">
        <f t="array" ref="J217">IF(ISERROR(G217/I217),"",G217/I217)</f>
        <v>50</v>
      </c>
      <c r="K217" s="131">
        <f t="array" ref="K217">IF(ISERROR(G217/L217),"",G217/L217)</f>
        <v>1.7857142857142856E-2</v>
      </c>
      <c r="L217" s="129">
        <v>56</v>
      </c>
      <c r="M217" s="109">
        <f t="shared" si="101"/>
        <v>2.1428571428571443E-3</v>
      </c>
      <c r="N217" s="130">
        <f t="shared" si="102"/>
        <v>0</v>
      </c>
      <c r="O217" s="418"/>
      <c r="P217" s="418"/>
      <c r="Q217" s="418"/>
      <c r="R217" s="418"/>
      <c r="S217" s="418"/>
      <c r="T217" s="418"/>
      <c r="U217" s="418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14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8</v>
      </c>
      <c r="H218" s="423">
        <f t="shared" si="93"/>
        <v>40.24</v>
      </c>
      <c r="I218" s="129">
        <v>0.14000000000000001</v>
      </c>
      <c r="J218" s="130">
        <f t="array" ref="J218">IF(ISERROR(G218/I218),"",G218/I218)</f>
        <v>57.142857142857139</v>
      </c>
      <c r="K218" s="131">
        <f t="array" ref="K218">IF(ISERROR(G218/L218),"",G218/L218)</f>
        <v>0.14285714285714285</v>
      </c>
      <c r="L218" s="129">
        <v>56</v>
      </c>
      <c r="M218" s="109">
        <f t="shared" si="101"/>
        <v>-2.8571428571428359E-3</v>
      </c>
      <c r="N218" s="130">
        <f t="shared" si="102"/>
        <v>0</v>
      </c>
      <c r="O218" s="418"/>
      <c r="P218" s="418"/>
      <c r="Q218" s="418"/>
      <c r="R218" s="418"/>
      <c r="S218" s="418"/>
      <c r="T218" s="418"/>
      <c r="U218" s="418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14" t="s">
        <v>209</v>
      </c>
      <c r="C219" s="126" t="s">
        <v>204</v>
      </c>
      <c r="D219" s="108">
        <v>5.03</v>
      </c>
      <c r="E219" s="108"/>
      <c r="F219" s="127"/>
      <c r="G219" s="128"/>
      <c r="H219" s="423">
        <f t="shared" si="93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18"/>
      <c r="P219" s="418"/>
      <c r="Q219" s="418"/>
      <c r="R219" s="418"/>
      <c r="S219" s="418"/>
      <c r="T219" s="418"/>
      <c r="U219" s="418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14" t="s">
        <v>382</v>
      </c>
      <c r="C220" s="187" t="s">
        <v>383</v>
      </c>
      <c r="D220" s="108">
        <v>5.03</v>
      </c>
      <c r="E220" s="108"/>
      <c r="F220" s="127"/>
      <c r="G220" s="128"/>
      <c r="H220" s="423">
        <f t="shared" si="93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18"/>
      <c r="P220" s="418"/>
      <c r="Q220" s="418"/>
      <c r="R220" s="418"/>
      <c r="S220" s="418"/>
      <c r="T220" s="418"/>
      <c r="U220" s="41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14" t="s">
        <v>382</v>
      </c>
      <c r="C221" s="187" t="s">
        <v>384</v>
      </c>
      <c r="D221" s="108">
        <v>5.03</v>
      </c>
      <c r="E221" s="108"/>
      <c r="F221" s="127"/>
      <c r="G221" s="128"/>
      <c r="H221" s="423">
        <f t="shared" si="93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18"/>
      <c r="P221" s="418"/>
      <c r="Q221" s="418"/>
      <c r="R221" s="418"/>
      <c r="S221" s="418"/>
      <c r="T221" s="418"/>
      <c r="U221" s="41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14" t="s">
        <v>382</v>
      </c>
      <c r="C222" s="187" t="s">
        <v>389</v>
      </c>
      <c r="D222" s="108">
        <v>5.03</v>
      </c>
      <c r="E222" s="108"/>
      <c r="F222" s="127"/>
      <c r="G222" s="128"/>
      <c r="H222" s="423">
        <f t="shared" si="93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18"/>
      <c r="P222" s="418"/>
      <c r="Q222" s="418"/>
      <c r="R222" s="418"/>
      <c r="S222" s="418"/>
      <c r="T222" s="418"/>
      <c r="U222" s="418"/>
      <c r="V222" s="132"/>
      <c r="W222" s="133"/>
      <c r="X222" s="132"/>
      <c r="Y222" s="132"/>
      <c r="Z222" s="132"/>
      <c r="AA222" s="132"/>
    </row>
    <row r="223" spans="1:27" ht="20.100000000000001" customHeight="1">
      <c r="A223" s="300">
        <v>30100018</v>
      </c>
      <c r="B223" s="414" t="s">
        <v>382</v>
      </c>
      <c r="C223" s="187" t="s">
        <v>391</v>
      </c>
      <c r="D223" s="108">
        <v>5.03</v>
      </c>
      <c r="E223" s="108"/>
      <c r="F223" s="127">
        <v>42739</v>
      </c>
      <c r="G223" s="128">
        <f>90+55</f>
        <v>145</v>
      </c>
      <c r="H223" s="423">
        <f t="shared" si="93"/>
        <v>729.35</v>
      </c>
      <c r="I223" s="129">
        <v>3</v>
      </c>
      <c r="J223" s="130">
        <f t="array" ref="J223">IF(ISERROR(G223/I223),"",G223/I223)</f>
        <v>48.333333333333336</v>
      </c>
      <c r="K223" s="131">
        <f t="array" ref="K223">IF(ISERROR(G223/L223),"",G223/L223)</f>
        <v>2.6851851851851851</v>
      </c>
      <c r="L223" s="129">
        <v>54</v>
      </c>
      <c r="M223" s="109">
        <f t="shared" si="101"/>
        <v>0.31481481481481488</v>
      </c>
      <c r="N223" s="130">
        <f t="shared" si="102"/>
        <v>0</v>
      </c>
      <c r="O223" s="418"/>
      <c r="P223" s="418"/>
      <c r="Q223" s="418"/>
      <c r="R223" s="418"/>
      <c r="S223" s="418"/>
      <c r="T223" s="418"/>
      <c r="U223" s="41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14" t="s">
        <v>418</v>
      </c>
      <c r="C224" s="187" t="s">
        <v>364</v>
      </c>
      <c r="D224" s="108">
        <v>5.03</v>
      </c>
      <c r="E224" s="108"/>
      <c r="F224" s="127"/>
      <c r="G224" s="128"/>
      <c r="H224" s="423">
        <f t="shared" si="93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18"/>
      <c r="P224" s="418"/>
      <c r="Q224" s="418"/>
      <c r="R224" s="418"/>
      <c r="S224" s="418"/>
      <c r="T224" s="418"/>
      <c r="U224" s="41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14" t="s">
        <v>418</v>
      </c>
      <c r="C225" s="187" t="s">
        <v>365</v>
      </c>
      <c r="D225" s="108">
        <v>5.03</v>
      </c>
      <c r="E225" s="108"/>
      <c r="F225" s="127"/>
      <c r="G225" s="128"/>
      <c r="H225" s="423">
        <f t="shared" si="93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18"/>
      <c r="P225" s="418"/>
      <c r="Q225" s="418"/>
      <c r="R225" s="418"/>
      <c r="S225" s="418"/>
      <c r="T225" s="418"/>
      <c r="U225" s="41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14" t="s">
        <v>418</v>
      </c>
      <c r="C226" s="187" t="s">
        <v>366</v>
      </c>
      <c r="D226" s="108">
        <v>5.03</v>
      </c>
      <c r="E226" s="108"/>
      <c r="F226" s="127"/>
      <c r="G226" s="128"/>
      <c r="H226" s="423">
        <f t="shared" si="93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18"/>
      <c r="P226" s="418"/>
      <c r="Q226" s="418"/>
      <c r="R226" s="418"/>
      <c r="S226" s="418"/>
      <c r="T226" s="418"/>
      <c r="U226" s="41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14" t="s">
        <v>418</v>
      </c>
      <c r="C227" s="187" t="s">
        <v>367</v>
      </c>
      <c r="D227" s="108">
        <v>5.03</v>
      </c>
      <c r="E227" s="108"/>
      <c r="F227" s="127"/>
      <c r="G227" s="128"/>
      <c r="H227" s="423">
        <f t="shared" si="93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18"/>
      <c r="P227" s="418"/>
      <c r="Q227" s="418"/>
      <c r="R227" s="418"/>
      <c r="S227" s="418"/>
      <c r="T227" s="418"/>
      <c r="U227" s="41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3">
        <f t="shared" si="93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15"/>
      <c r="P228" s="415"/>
      <c r="Q228" s="415"/>
      <c r="R228" s="415"/>
      <c r="S228" s="415"/>
      <c r="T228" s="415"/>
      <c r="U228" s="415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3">
        <f t="shared" si="93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15"/>
      <c r="P229" s="415"/>
      <c r="Q229" s="415"/>
      <c r="R229" s="415"/>
      <c r="S229" s="415"/>
      <c r="T229" s="415"/>
      <c r="U229" s="415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3">
        <f t="shared" si="93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15"/>
      <c r="P230" s="415"/>
      <c r="Q230" s="415"/>
      <c r="R230" s="415"/>
      <c r="S230" s="415"/>
      <c r="T230" s="415"/>
      <c r="U230" s="415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3">
        <f t="shared" si="93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15"/>
      <c r="P231" s="415"/>
      <c r="Q231" s="415"/>
      <c r="R231" s="415"/>
      <c r="S231" s="415"/>
      <c r="T231" s="415"/>
      <c r="U231" s="415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3">
        <f t="shared" si="93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15"/>
      <c r="P232" s="415"/>
      <c r="Q232" s="415"/>
      <c r="R232" s="415"/>
      <c r="S232" s="415"/>
      <c r="T232" s="415"/>
      <c r="U232" s="415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3">
        <f t="shared" si="93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15"/>
      <c r="P233" s="415"/>
      <c r="Q233" s="415"/>
      <c r="R233" s="415"/>
      <c r="S233" s="415"/>
      <c r="T233" s="415"/>
      <c r="U233" s="415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3">
        <f t="shared" si="93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15"/>
      <c r="P234" s="415"/>
      <c r="Q234" s="415"/>
      <c r="R234" s="415"/>
      <c r="S234" s="415"/>
      <c r="T234" s="415"/>
      <c r="U234" s="415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3">
        <f t="shared" si="93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15"/>
      <c r="P235" s="415"/>
      <c r="Q235" s="415"/>
      <c r="R235" s="415"/>
      <c r="S235" s="415"/>
      <c r="T235" s="415"/>
      <c r="U235" s="415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3">
        <f t="shared" si="93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15"/>
      <c r="P236" s="415"/>
      <c r="Q236" s="415"/>
      <c r="R236" s="415"/>
      <c r="S236" s="415"/>
      <c r="T236" s="415"/>
      <c r="U236" s="415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3">
        <f t="shared" si="93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15"/>
      <c r="P237" s="415"/>
      <c r="Q237" s="415"/>
      <c r="R237" s="415"/>
      <c r="S237" s="415"/>
      <c r="T237" s="415"/>
      <c r="U237" s="415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3">
        <f t="shared" si="93"/>
        <v>0</v>
      </c>
      <c r="I238" s="129"/>
      <c r="J238" s="130"/>
      <c r="K238" s="131"/>
      <c r="L238" s="129">
        <v>50</v>
      </c>
      <c r="M238" s="109"/>
      <c r="N238" s="130"/>
      <c r="O238" s="415"/>
      <c r="P238" s="415"/>
      <c r="Q238" s="415"/>
      <c r="R238" s="415"/>
      <c r="S238" s="415"/>
      <c r="T238" s="415"/>
      <c r="U238" s="41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3">
        <f t="shared" si="93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15"/>
      <c r="P239" s="415"/>
      <c r="Q239" s="415"/>
      <c r="R239" s="415"/>
      <c r="S239" s="415"/>
      <c r="T239" s="415"/>
      <c r="U239" s="415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3">
        <f t="shared" si="93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15"/>
      <c r="P240" s="415"/>
      <c r="Q240" s="415"/>
      <c r="R240" s="415"/>
      <c r="S240" s="415"/>
      <c r="T240" s="415"/>
      <c r="U240" s="415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3">
        <f t="shared" si="93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15"/>
      <c r="P241" s="415"/>
      <c r="Q241" s="415"/>
      <c r="R241" s="415"/>
      <c r="S241" s="415"/>
      <c r="T241" s="415"/>
      <c r="U241" s="415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3">
        <f t="shared" si="93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15"/>
      <c r="P242" s="415"/>
      <c r="Q242" s="415"/>
      <c r="R242" s="415"/>
      <c r="S242" s="415"/>
      <c r="T242" s="415"/>
      <c r="U242" s="415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3">
        <f t="shared" si="93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15"/>
      <c r="P243" s="415"/>
      <c r="Q243" s="415"/>
      <c r="R243" s="415"/>
      <c r="S243" s="415"/>
      <c r="T243" s="415"/>
      <c r="U243" s="415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3">
        <f t="shared" si="93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15"/>
      <c r="P244" s="415"/>
      <c r="Q244" s="415"/>
      <c r="R244" s="415"/>
      <c r="S244" s="415"/>
      <c r="T244" s="415"/>
      <c r="U244" s="415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3">
        <f t="shared" si="93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15"/>
      <c r="P245" s="415"/>
      <c r="Q245" s="415"/>
      <c r="R245" s="415"/>
      <c r="S245" s="415"/>
      <c r="T245" s="415"/>
      <c r="U245" s="415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3">
        <f t="shared" si="93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15"/>
      <c r="P246" s="415"/>
      <c r="Q246" s="415"/>
      <c r="R246" s="415"/>
      <c r="S246" s="415"/>
      <c r="T246" s="415"/>
      <c r="U246" s="415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3">
        <f t="shared" si="93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15"/>
      <c r="P247" s="415"/>
      <c r="Q247" s="415"/>
      <c r="R247" s="415"/>
      <c r="S247" s="415"/>
      <c r="T247" s="415"/>
      <c r="U247" s="41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3">
        <f t="shared" si="93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15"/>
      <c r="P248" s="415"/>
      <c r="Q248" s="415"/>
      <c r="R248" s="415"/>
      <c r="S248" s="415"/>
      <c r="T248" s="415"/>
      <c r="U248" s="41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3">
        <f t="shared" si="93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15"/>
      <c r="P249" s="415"/>
      <c r="Q249" s="415"/>
      <c r="R249" s="415"/>
      <c r="S249" s="415"/>
      <c r="T249" s="415"/>
      <c r="U249" s="41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3">
        <f t="shared" si="93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15"/>
      <c r="P250" s="415"/>
      <c r="Q250" s="415"/>
      <c r="R250" s="415"/>
      <c r="S250" s="415"/>
      <c r="T250" s="415"/>
      <c r="U250" s="41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3">
        <f t="shared" si="93"/>
        <v>0</v>
      </c>
      <c r="I251" s="129"/>
      <c r="J251" s="130"/>
      <c r="K251" s="131"/>
      <c r="L251" s="129">
        <v>4</v>
      </c>
      <c r="M251" s="109"/>
      <c r="N251" s="130"/>
      <c r="O251" s="415"/>
      <c r="P251" s="415"/>
      <c r="Q251" s="415"/>
      <c r="R251" s="415"/>
      <c r="S251" s="415"/>
      <c r="T251" s="415"/>
      <c r="U251" s="41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3">
        <f t="shared" si="93"/>
        <v>0</v>
      </c>
      <c r="I252" s="129"/>
      <c r="J252" s="130"/>
      <c r="K252" s="131"/>
      <c r="L252" s="129">
        <v>4</v>
      </c>
      <c r="M252" s="109"/>
      <c r="N252" s="130"/>
      <c r="O252" s="415"/>
      <c r="P252" s="415"/>
      <c r="Q252" s="415"/>
      <c r="R252" s="415"/>
      <c r="S252" s="415"/>
      <c r="T252" s="415"/>
      <c r="U252" s="41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3">
        <f t="shared" si="93"/>
        <v>0</v>
      </c>
      <c r="I253" s="129"/>
      <c r="J253" s="130"/>
      <c r="K253" s="131"/>
      <c r="L253" s="129">
        <v>4</v>
      </c>
      <c r="M253" s="109"/>
      <c r="N253" s="130"/>
      <c r="O253" s="415"/>
      <c r="P253" s="415"/>
      <c r="Q253" s="415"/>
      <c r="R253" s="415"/>
      <c r="S253" s="415"/>
      <c r="T253" s="415"/>
      <c r="U253" s="41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3">
        <f t="shared" si="93"/>
        <v>0</v>
      </c>
      <c r="I254" s="129"/>
      <c r="J254" s="130"/>
      <c r="K254" s="131"/>
      <c r="L254" s="129">
        <v>4</v>
      </c>
      <c r="M254" s="109"/>
      <c r="N254" s="130"/>
      <c r="O254" s="415"/>
      <c r="P254" s="415"/>
      <c r="Q254" s="415"/>
      <c r="R254" s="415"/>
      <c r="S254" s="415"/>
      <c r="T254" s="415"/>
      <c r="U254" s="41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3">
        <f t="shared" si="93"/>
        <v>0</v>
      </c>
      <c r="I255" s="129"/>
      <c r="J255" s="130"/>
      <c r="K255" s="131"/>
      <c r="L255" s="129">
        <v>4</v>
      </c>
      <c r="M255" s="109"/>
      <c r="N255" s="130"/>
      <c r="O255" s="415"/>
      <c r="P255" s="415"/>
      <c r="Q255" s="415"/>
      <c r="R255" s="415"/>
      <c r="S255" s="415"/>
      <c r="T255" s="415"/>
      <c r="U255" s="415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3">
        <f t="shared" si="93"/>
        <v>0</v>
      </c>
      <c r="I256" s="129"/>
      <c r="J256" s="130"/>
      <c r="K256" s="131"/>
      <c r="L256" s="129">
        <v>4</v>
      </c>
      <c r="M256" s="109"/>
      <c r="N256" s="130"/>
      <c r="O256" s="415"/>
      <c r="P256" s="415"/>
      <c r="Q256" s="415"/>
      <c r="R256" s="415"/>
      <c r="S256" s="415"/>
      <c r="T256" s="415"/>
      <c r="U256" s="415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21" t="s">
        <v>202</v>
      </c>
      <c r="D257" s="143"/>
      <c r="E257" s="143"/>
      <c r="F257" s="144"/>
      <c r="G257" s="145">
        <f>SUM(G200:G256)</f>
        <v>1698</v>
      </c>
      <c r="H257" s="146">
        <f>SUM(H200:H256)</f>
        <v>8575.89</v>
      </c>
      <c r="I257" s="146">
        <f>SUM(I200:I256)</f>
        <v>68.679999999999993</v>
      </c>
      <c r="J257" s="130">
        <f t="array" ref="J257">IF(ISERROR(G257/I257),"",G257/I257)</f>
        <v>24.723354688410019</v>
      </c>
      <c r="K257" s="146">
        <f>SUM(K200:K256)</f>
        <v>52.380240130240132</v>
      </c>
      <c r="L257" s="147"/>
      <c r="M257" s="150">
        <f t="shared" ref="M257:V257" si="114">SUM(M200:M256)</f>
        <v>16.299759869759868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14" t="s">
        <v>217</v>
      </c>
      <c r="C258" s="126" t="s">
        <v>179</v>
      </c>
      <c r="D258" s="108">
        <v>5.03</v>
      </c>
      <c r="E258" s="108"/>
      <c r="F258" s="127"/>
      <c r="G258" s="128"/>
      <c r="H258" s="423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15"/>
      <c r="P258" s="415"/>
      <c r="Q258" s="415"/>
      <c r="R258" s="415"/>
      <c r="S258" s="415"/>
      <c r="T258" s="415"/>
      <c r="U258" s="415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14" t="s">
        <v>217</v>
      </c>
      <c r="C259" s="126" t="s">
        <v>186</v>
      </c>
      <c r="D259" s="108">
        <v>5.03</v>
      </c>
      <c r="E259" s="108"/>
      <c r="F259" s="127"/>
      <c r="G259" s="128"/>
      <c r="H259" s="42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15"/>
      <c r="P259" s="415"/>
      <c r="Q259" s="415"/>
      <c r="R259" s="415"/>
      <c r="S259" s="415"/>
      <c r="T259" s="415"/>
      <c r="U259" s="415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14" t="s">
        <v>217</v>
      </c>
      <c r="C260" s="126" t="s">
        <v>204</v>
      </c>
      <c r="D260" s="108">
        <v>5.03</v>
      </c>
      <c r="E260" s="108"/>
      <c r="F260" s="127"/>
      <c r="G260" s="128"/>
      <c r="H260" s="42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15"/>
      <c r="P260" s="415"/>
      <c r="Q260" s="415"/>
      <c r="R260" s="415"/>
      <c r="S260" s="415"/>
      <c r="T260" s="415"/>
      <c r="U260" s="415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15"/>
      <c r="P261" s="415"/>
      <c r="Q261" s="415"/>
      <c r="R261" s="415"/>
      <c r="S261" s="415"/>
      <c r="T261" s="415"/>
      <c r="U261" s="415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15"/>
      <c r="P262" s="415"/>
      <c r="Q262" s="415"/>
      <c r="R262" s="415"/>
      <c r="S262" s="415"/>
      <c r="T262" s="415"/>
      <c r="U262" s="415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15"/>
      <c r="P263" s="415"/>
      <c r="Q263" s="415"/>
      <c r="R263" s="415"/>
      <c r="S263" s="415"/>
      <c r="T263" s="415"/>
      <c r="U263" s="415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23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15"/>
      <c r="P264" s="415"/>
      <c r="Q264" s="415"/>
      <c r="R264" s="415"/>
      <c r="S264" s="415"/>
      <c r="T264" s="415"/>
      <c r="U264" s="415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3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15"/>
      <c r="P265" s="415"/>
      <c r="Q265" s="415"/>
      <c r="R265" s="415"/>
      <c r="S265" s="415"/>
      <c r="T265" s="415"/>
      <c r="U265" s="415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5"/>
      <c r="P266" s="415"/>
      <c r="Q266" s="415"/>
      <c r="R266" s="415"/>
      <c r="S266" s="415"/>
      <c r="T266" s="415"/>
      <c r="U266" s="41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5"/>
      <c r="P267" s="415"/>
      <c r="Q267" s="415"/>
      <c r="R267" s="415"/>
      <c r="S267" s="415"/>
      <c r="T267" s="415"/>
      <c r="U267" s="41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5"/>
      <c r="P268" s="415"/>
      <c r="Q268" s="415"/>
      <c r="R268" s="415"/>
      <c r="S268" s="415"/>
      <c r="T268" s="415"/>
      <c r="U268" s="41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15"/>
      <c r="P269" s="415"/>
      <c r="Q269" s="415"/>
      <c r="R269" s="415"/>
      <c r="S269" s="415"/>
      <c r="T269" s="415"/>
      <c r="U269" s="415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3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6" si="120">IF(ISERROR(I270-K270),"",I270-K270)</f>
        <v>0</v>
      </c>
      <c r="N270" s="130">
        <f t="shared" ref="N270:N285" si="121">SUM(O270:U270)</f>
        <v>0</v>
      </c>
      <c r="O270" s="415"/>
      <c r="P270" s="415"/>
      <c r="Q270" s="415"/>
      <c r="R270" s="415"/>
      <c r="S270" s="415"/>
      <c r="T270" s="415"/>
      <c r="U270" s="415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15"/>
      <c r="P271" s="415"/>
      <c r="Q271" s="415"/>
      <c r="R271" s="415"/>
      <c r="S271" s="415"/>
      <c r="T271" s="415"/>
      <c r="U271" s="415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15"/>
      <c r="P272" s="415"/>
      <c r="Q272" s="415"/>
      <c r="R272" s="415"/>
      <c r="S272" s="415"/>
      <c r="T272" s="415"/>
      <c r="U272" s="415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3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15"/>
      <c r="P273" s="415"/>
      <c r="Q273" s="415"/>
      <c r="R273" s="415"/>
      <c r="S273" s="415"/>
      <c r="T273" s="415"/>
      <c r="U273" s="415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14" t="s">
        <v>222</v>
      </c>
      <c r="C274" s="126" t="s">
        <v>181</v>
      </c>
      <c r="D274" s="108">
        <v>9.36</v>
      </c>
      <c r="E274" s="108"/>
      <c r="F274" s="127"/>
      <c r="G274" s="128"/>
      <c r="H274" s="42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15"/>
      <c r="P274" s="415"/>
      <c r="Q274" s="415"/>
      <c r="R274" s="415"/>
      <c r="S274" s="415"/>
      <c r="T274" s="415"/>
      <c r="U274" s="415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14" t="s">
        <v>222</v>
      </c>
      <c r="C275" s="126" t="s">
        <v>179</v>
      </c>
      <c r="D275" s="108">
        <v>9.36</v>
      </c>
      <c r="E275" s="108"/>
      <c r="F275" s="127"/>
      <c r="G275" s="128"/>
      <c r="H275" s="42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15"/>
      <c r="P275" s="415"/>
      <c r="Q275" s="415"/>
      <c r="R275" s="415"/>
      <c r="S275" s="415"/>
      <c r="T275" s="415"/>
      <c r="U275" s="415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14" t="s">
        <v>222</v>
      </c>
      <c r="C276" s="126" t="s">
        <v>221</v>
      </c>
      <c r="D276" s="108">
        <v>9.36</v>
      </c>
      <c r="E276" s="108"/>
      <c r="F276" s="127"/>
      <c r="G276" s="128"/>
      <c r="H276" s="42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15"/>
      <c r="P276" s="415"/>
      <c r="Q276" s="415"/>
      <c r="R276" s="415"/>
      <c r="S276" s="415"/>
      <c r="T276" s="415"/>
      <c r="U276" s="415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14" t="s">
        <v>222</v>
      </c>
      <c r="C277" s="126" t="s">
        <v>186</v>
      </c>
      <c r="D277" s="108">
        <v>9.36</v>
      </c>
      <c r="E277" s="108"/>
      <c r="F277" s="127"/>
      <c r="G277" s="128"/>
      <c r="H277" s="423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15"/>
      <c r="P277" s="415"/>
      <c r="Q277" s="415"/>
      <c r="R277" s="415"/>
      <c r="S277" s="415"/>
      <c r="T277" s="415"/>
      <c r="U277" s="415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14" t="s">
        <v>393</v>
      </c>
      <c r="C278" s="187" t="s">
        <v>395</v>
      </c>
      <c r="D278" s="108">
        <v>5</v>
      </c>
      <c r="E278" s="108"/>
      <c r="F278" s="127"/>
      <c r="G278" s="128"/>
      <c r="H278" s="42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15"/>
      <c r="P278" s="415"/>
      <c r="Q278" s="415"/>
      <c r="R278" s="415"/>
      <c r="S278" s="415"/>
      <c r="T278" s="415"/>
      <c r="U278" s="415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30400028</v>
      </c>
      <c r="B279" s="414" t="s">
        <v>393</v>
      </c>
      <c r="C279" s="187" t="s">
        <v>402</v>
      </c>
      <c r="D279" s="108">
        <v>5</v>
      </c>
      <c r="E279" s="108"/>
      <c r="F279" s="127">
        <v>42738</v>
      </c>
      <c r="G279" s="128">
        <f>90*5+81</f>
        <v>531</v>
      </c>
      <c r="H279" s="423">
        <f t="shared" si="116"/>
        <v>2655</v>
      </c>
      <c r="I279" s="129">
        <f>8*9</f>
        <v>72</v>
      </c>
      <c r="J279" s="130">
        <f t="array" ref="J279">IF(ISERROR(G279/I279),"",G279/I279)</f>
        <v>7.375</v>
      </c>
      <c r="K279" s="131">
        <f t="array" ref="K279">IF(ISERROR(G279/L279),"",G279/L279)</f>
        <v>106.2</v>
      </c>
      <c r="L279" s="129">
        <v>5</v>
      </c>
      <c r="M279" s="109">
        <f t="shared" si="120"/>
        <v>-34.200000000000003</v>
      </c>
      <c r="N279" s="130">
        <f t="shared" si="121"/>
        <v>0</v>
      </c>
      <c r="O279" s="415"/>
      <c r="P279" s="415"/>
      <c r="Q279" s="415"/>
      <c r="R279" s="415"/>
      <c r="S279" s="415"/>
      <c r="T279" s="415"/>
      <c r="U279" s="41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14" t="s">
        <v>404</v>
      </c>
      <c r="C280" s="187" t="s">
        <v>405</v>
      </c>
      <c r="D280" s="108">
        <v>5</v>
      </c>
      <c r="E280" s="108"/>
      <c r="F280" s="127"/>
      <c r="G280" s="128"/>
      <c r="H280" s="423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15"/>
      <c r="P280" s="415"/>
      <c r="Q280" s="415"/>
      <c r="R280" s="415"/>
      <c r="S280" s="415"/>
      <c r="T280" s="415"/>
      <c r="U280" s="41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14" t="s">
        <v>342</v>
      </c>
      <c r="C281" s="187" t="s">
        <v>372</v>
      </c>
      <c r="D281" s="108">
        <v>5</v>
      </c>
      <c r="E281" s="108"/>
      <c r="F281" s="127"/>
      <c r="G281" s="128"/>
      <c r="H281" s="423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15"/>
      <c r="P281" s="415"/>
      <c r="Q281" s="415"/>
      <c r="R281" s="415"/>
      <c r="S281" s="415"/>
      <c r="T281" s="415"/>
      <c r="U281" s="41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14" t="s">
        <v>343</v>
      </c>
      <c r="C282" s="126" t="s">
        <v>345</v>
      </c>
      <c r="D282" s="108">
        <v>5</v>
      </c>
      <c r="E282" s="108"/>
      <c r="F282" s="127"/>
      <c r="G282" s="128"/>
      <c r="H282" s="423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15"/>
      <c r="P282" s="415"/>
      <c r="Q282" s="415"/>
      <c r="R282" s="415"/>
      <c r="S282" s="415"/>
      <c r="T282" s="415"/>
      <c r="U282" s="41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14" t="s">
        <v>343</v>
      </c>
      <c r="C283" s="126" t="s">
        <v>347</v>
      </c>
      <c r="D283" s="108">
        <v>5</v>
      </c>
      <c r="E283" s="108"/>
      <c r="F283" s="127"/>
      <c r="G283" s="128"/>
      <c r="H283" s="42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15"/>
      <c r="P283" s="415"/>
      <c r="Q283" s="415"/>
      <c r="R283" s="415"/>
      <c r="S283" s="415"/>
      <c r="T283" s="415"/>
      <c r="U283" s="415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15"/>
      <c r="P284" s="415"/>
      <c r="Q284" s="415"/>
      <c r="R284" s="415"/>
      <c r="S284" s="415"/>
      <c r="T284" s="415"/>
      <c r="U284" s="415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3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15"/>
      <c r="P285" s="415"/>
      <c r="Q285" s="415"/>
      <c r="R285" s="415"/>
      <c r="S285" s="415"/>
      <c r="T285" s="415"/>
      <c r="U285" s="415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>
        <v>42736</v>
      </c>
      <c r="G286" s="128">
        <v>15</v>
      </c>
      <c r="H286" s="423">
        <f t="shared" si="116"/>
        <v>75.45</v>
      </c>
      <c r="I286" s="129">
        <f>3.5*9</f>
        <v>31.5</v>
      </c>
      <c r="J286" s="130">
        <f t="array" ref="J286">IF(ISERROR(G286/I286),"",G286/I286)</f>
        <v>0.47619047619047616</v>
      </c>
      <c r="K286" s="131">
        <f t="array" ref="K286">IF(ISERROR(G286/L286),"",G286/L286)</f>
        <v>0.625</v>
      </c>
      <c r="L286" s="129">
        <v>24</v>
      </c>
      <c r="M286" s="109">
        <f t="shared" si="120"/>
        <v>30.875</v>
      </c>
      <c r="N286" s="130"/>
      <c r="O286" s="415"/>
      <c r="P286" s="415"/>
      <c r="Q286" s="415"/>
      <c r="R286" s="415"/>
      <c r="S286" s="415"/>
      <c r="T286" s="415"/>
      <c r="U286" s="41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15"/>
      <c r="P287" s="415"/>
      <c r="Q287" s="415"/>
      <c r="R287" s="415"/>
      <c r="S287" s="415"/>
      <c r="T287" s="415"/>
      <c r="U287" s="41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3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15"/>
      <c r="P288" s="415"/>
      <c r="Q288" s="415"/>
      <c r="R288" s="415"/>
      <c r="S288" s="415"/>
      <c r="T288" s="415"/>
      <c r="U288" s="415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7">IF(ISERROR(I289-K289),"",I289-K289)</f>
        <v>0</v>
      </c>
      <c r="N289" s="130">
        <f t="shared" ref="N289:N291" si="128">SUM(O289:U289)</f>
        <v>0</v>
      </c>
      <c r="O289" s="415"/>
      <c r="P289" s="415"/>
      <c r="Q289" s="415"/>
      <c r="R289" s="415"/>
      <c r="S289" s="415"/>
      <c r="T289" s="415"/>
      <c r="U289" s="415"/>
      <c r="V289" s="132">
        <f t="shared" ref="V289:V291" si="129">SUM(X289:AA289)</f>
        <v>0</v>
      </c>
      <c r="W289" s="133" t="str">
        <f t="shared" ref="W289:W313" si="130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3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15"/>
      <c r="P290" s="415"/>
      <c r="Q290" s="415"/>
      <c r="R290" s="415"/>
      <c r="S290" s="415"/>
      <c r="T290" s="415"/>
      <c r="U290" s="415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3">
        <f t="shared" si="116"/>
        <v>0</v>
      </c>
      <c r="I291" s="129"/>
      <c r="J291" s="130" t="str">
        <f t="array" ref="J291">IF(ISERROR(G291/I291),"",G291/I291)</f>
        <v/>
      </c>
      <c r="K291" s="423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15"/>
      <c r="P291" s="415"/>
      <c r="Q291" s="415"/>
      <c r="R291" s="415"/>
      <c r="S291" s="415"/>
      <c r="T291" s="415"/>
      <c r="U291" s="415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421" t="s">
        <v>202</v>
      </c>
      <c r="D292" s="143"/>
      <c r="E292" s="143"/>
      <c r="F292" s="144"/>
      <c r="G292" s="145">
        <f>SUM(G258:G291)</f>
        <v>546</v>
      </c>
      <c r="H292" s="146">
        <f>SUM(H258:H291)</f>
        <v>2730.45</v>
      </c>
      <c r="I292" s="146">
        <f>SUM(I258:I291)</f>
        <v>103.5</v>
      </c>
      <c r="J292" s="130">
        <f t="array" ref="J292">IF(ISERROR(G292/I292),"",G292/I292)</f>
        <v>5.27536231884058</v>
      </c>
      <c r="K292" s="146">
        <f>SUM(K258:K291)</f>
        <v>106.825</v>
      </c>
      <c r="L292" s="147"/>
      <c r="M292" s="150">
        <f t="shared" ref="M292:V292" si="131">SUM(M258:M291)</f>
        <v>-3.3250000000000028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3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15"/>
      <c r="P293" s="415"/>
      <c r="Q293" s="415"/>
      <c r="R293" s="415"/>
      <c r="S293" s="415"/>
      <c r="T293" s="415"/>
      <c r="U293" s="415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15"/>
      <c r="P294" s="415"/>
      <c r="Q294" s="415"/>
      <c r="R294" s="415"/>
      <c r="S294" s="415"/>
      <c r="T294" s="415"/>
      <c r="U294" s="415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42738</v>
      </c>
      <c r="G295" s="128">
        <f>75+100+100+100</f>
        <v>375</v>
      </c>
      <c r="H295" s="423">
        <f t="shared" si="132"/>
        <v>1890</v>
      </c>
      <c r="I295" s="129">
        <f>6.5*4</f>
        <v>26</v>
      </c>
      <c r="J295" s="130">
        <f t="array" ref="J295">IF(ISERROR(G295/I295),"",G295/I295)</f>
        <v>14.423076923076923</v>
      </c>
      <c r="K295" s="131">
        <f t="array" ref="K295">IF(ISERROR(G295/L295),"",G295/L295)</f>
        <v>18.75</v>
      </c>
      <c r="L295" s="129">
        <v>20</v>
      </c>
      <c r="M295" s="109">
        <f t="shared" si="133"/>
        <v>7.25</v>
      </c>
      <c r="N295" s="130">
        <f t="shared" si="134"/>
        <v>0</v>
      </c>
      <c r="O295" s="415"/>
      <c r="P295" s="415"/>
      <c r="Q295" s="415"/>
      <c r="R295" s="415"/>
      <c r="S295" s="415"/>
      <c r="T295" s="415"/>
      <c r="U295" s="415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15"/>
      <c r="P296" s="415"/>
      <c r="Q296" s="415"/>
      <c r="R296" s="415"/>
      <c r="S296" s="415"/>
      <c r="T296" s="415"/>
      <c r="U296" s="415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19" t="s">
        <v>203</v>
      </c>
      <c r="D297" s="108">
        <v>5.03</v>
      </c>
      <c r="E297" s="108"/>
      <c r="F297" s="127"/>
      <c r="G297" s="128"/>
      <c r="H297" s="42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15"/>
      <c r="P297" s="415"/>
      <c r="Q297" s="415"/>
      <c r="R297" s="415"/>
      <c r="S297" s="415"/>
      <c r="T297" s="415"/>
      <c r="U297" s="415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15"/>
      <c r="P298" s="415"/>
      <c r="Q298" s="415"/>
      <c r="R298" s="415"/>
      <c r="S298" s="415"/>
      <c r="T298" s="415"/>
      <c r="U298" s="415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15"/>
      <c r="P299" s="415"/>
      <c r="Q299" s="415"/>
      <c r="R299" s="415"/>
      <c r="S299" s="415"/>
      <c r="T299" s="415"/>
      <c r="U299" s="415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19" t="s">
        <v>228</v>
      </c>
      <c r="D300" s="108">
        <v>5.03</v>
      </c>
      <c r="E300" s="108"/>
      <c r="F300" s="127"/>
      <c r="G300" s="128"/>
      <c r="H300" s="423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15"/>
      <c r="P300" s="415"/>
      <c r="Q300" s="415"/>
      <c r="R300" s="415"/>
      <c r="S300" s="415"/>
      <c r="T300" s="415"/>
      <c r="U300" s="415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19" t="s">
        <v>212</v>
      </c>
      <c r="D301" s="108">
        <v>5.03</v>
      </c>
      <c r="E301" s="108"/>
      <c r="F301" s="127"/>
      <c r="G301" s="128"/>
      <c r="H301" s="42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15"/>
      <c r="P301" s="415"/>
      <c r="Q301" s="415"/>
      <c r="R301" s="415"/>
      <c r="S301" s="415"/>
      <c r="T301" s="415"/>
      <c r="U301" s="415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19" t="s">
        <v>203</v>
      </c>
      <c r="D302" s="108">
        <v>5.03</v>
      </c>
      <c r="E302" s="108"/>
      <c r="F302" s="127"/>
      <c r="G302" s="128"/>
      <c r="H302" s="42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15"/>
      <c r="P302" s="415"/>
      <c r="Q302" s="415"/>
      <c r="R302" s="415"/>
      <c r="S302" s="415"/>
      <c r="T302" s="415"/>
      <c r="U302" s="415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19" t="s">
        <v>186</v>
      </c>
      <c r="D303" s="108">
        <v>5.03</v>
      </c>
      <c r="E303" s="108"/>
      <c r="F303" s="127"/>
      <c r="G303" s="128"/>
      <c r="H303" s="42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15"/>
      <c r="P303" s="415"/>
      <c r="Q303" s="415"/>
      <c r="R303" s="415"/>
      <c r="S303" s="415"/>
      <c r="T303" s="415"/>
      <c r="U303" s="415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19" t="s">
        <v>228</v>
      </c>
      <c r="D304" s="108">
        <v>5.03</v>
      </c>
      <c r="E304" s="108"/>
      <c r="F304" s="127"/>
      <c r="G304" s="128"/>
      <c r="H304" s="42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15"/>
      <c r="P304" s="415"/>
      <c r="Q304" s="415"/>
      <c r="R304" s="415"/>
      <c r="S304" s="415"/>
      <c r="T304" s="415"/>
      <c r="U304" s="415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19" t="s">
        <v>199</v>
      </c>
      <c r="D305" s="108">
        <v>5.03</v>
      </c>
      <c r="E305" s="108"/>
      <c r="F305" s="127"/>
      <c r="G305" s="128"/>
      <c r="H305" s="423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15"/>
      <c r="P305" s="415"/>
      <c r="Q305" s="415"/>
      <c r="R305" s="415"/>
      <c r="S305" s="415"/>
      <c r="T305" s="415"/>
      <c r="U305" s="415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15"/>
      <c r="P306" s="415"/>
      <c r="Q306" s="415"/>
      <c r="R306" s="415"/>
      <c r="S306" s="415"/>
      <c r="T306" s="415"/>
      <c r="U306" s="415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23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15"/>
      <c r="P307" s="415"/>
      <c r="Q307" s="415"/>
      <c r="R307" s="415"/>
      <c r="S307" s="415"/>
      <c r="T307" s="415"/>
      <c r="U307" s="415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421" t="s">
        <v>202</v>
      </c>
      <c r="D308" s="143"/>
      <c r="E308" s="143"/>
      <c r="F308" s="144"/>
      <c r="G308" s="145">
        <f>SUM(G293:G307)</f>
        <v>375</v>
      </c>
      <c r="H308" s="146">
        <f>SUM(H293:H307)</f>
        <v>1890</v>
      </c>
      <c r="I308" s="146">
        <f>SUM(I293:I307)</f>
        <v>26</v>
      </c>
      <c r="J308" s="130">
        <f t="array" ref="J308">IF(ISERROR(G308/I308),"",G308/I308)</f>
        <v>14.423076923076923</v>
      </c>
      <c r="K308" s="146">
        <f>SUM(K293:K307)</f>
        <v>18.75</v>
      </c>
      <c r="L308" s="146"/>
      <c r="M308" s="150">
        <f>SUM(M293:M307)</f>
        <v>7.25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3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15"/>
      <c r="P309" s="415"/>
      <c r="Q309" s="415"/>
      <c r="R309" s="415"/>
      <c r="S309" s="415"/>
      <c r="T309" s="415"/>
      <c r="U309" s="415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15"/>
      <c r="P310" s="415"/>
      <c r="Q310" s="415"/>
      <c r="R310" s="415"/>
      <c r="S310" s="415"/>
      <c r="T310" s="415"/>
      <c r="U310" s="415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15"/>
      <c r="P311" s="415"/>
      <c r="Q311" s="415"/>
      <c r="R311" s="415"/>
      <c r="S311" s="415"/>
      <c r="T311" s="415"/>
      <c r="U311" s="415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15"/>
      <c r="P312" s="415"/>
      <c r="Q312" s="415"/>
      <c r="R312" s="415"/>
      <c r="S312" s="415"/>
      <c r="T312" s="415"/>
      <c r="U312" s="415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3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15"/>
      <c r="P313" s="415"/>
      <c r="Q313" s="415"/>
      <c r="R313" s="415"/>
      <c r="S313" s="415"/>
      <c r="T313" s="415"/>
      <c r="U313" s="415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3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15"/>
      <c r="P314" s="415"/>
      <c r="Q314" s="415"/>
      <c r="R314" s="415"/>
      <c r="S314" s="415"/>
      <c r="T314" s="415"/>
      <c r="U314" s="41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v>46</v>
      </c>
      <c r="H315" s="423">
        <f t="shared" si="136"/>
        <v>231.38000000000002</v>
      </c>
      <c r="I315" s="129">
        <f>1*4</f>
        <v>4</v>
      </c>
      <c r="J315" s="130">
        <f t="array" ref="J315">IF(ISERROR(G315/I315),"",G315/I315)</f>
        <v>11.5</v>
      </c>
      <c r="K315" s="131">
        <f t="array" ref="K315">IF(ISERROR(G315/L315),"",G315/L315)</f>
        <v>3.4074074074074074</v>
      </c>
      <c r="L315" s="129">
        <v>13.5</v>
      </c>
      <c r="M315" s="109">
        <f t="shared" ref="M315:M316" si="140">IF(ISERROR(I315-K315),"",I315-K315)</f>
        <v>0.59259259259259256</v>
      </c>
      <c r="N315" s="130"/>
      <c r="O315" s="415"/>
      <c r="P315" s="415"/>
      <c r="Q315" s="415"/>
      <c r="R315" s="415"/>
      <c r="S315" s="415"/>
      <c r="T315" s="415"/>
      <c r="U315" s="415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42737</v>
      </c>
      <c r="G316" s="128">
        <f>90*5+50</f>
        <v>500</v>
      </c>
      <c r="H316" s="423">
        <f t="shared" si="136"/>
        <v>2515</v>
      </c>
      <c r="I316" s="129">
        <f>10.5*4</f>
        <v>42</v>
      </c>
      <c r="J316" s="130">
        <f t="array" ref="J316">IF(ISERROR(G316/I316),"",G316/I316)</f>
        <v>11.904761904761905</v>
      </c>
      <c r="K316" s="131">
        <f t="array" ref="K316">IF(ISERROR(G316/L316),"",G316/L316)</f>
        <v>37.037037037037038</v>
      </c>
      <c r="L316" s="129">
        <v>13.5</v>
      </c>
      <c r="M316" s="109">
        <f t="shared" si="140"/>
        <v>4.9629629629629619</v>
      </c>
      <c r="N316" s="130"/>
      <c r="O316" s="415"/>
      <c r="P316" s="415"/>
      <c r="Q316" s="415"/>
      <c r="R316" s="415"/>
      <c r="S316" s="415"/>
      <c r="T316" s="415"/>
      <c r="U316" s="415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6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3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1">IF(ISERROR(I318-K318),"",I318-K318)</f>
        <v>0</v>
      </c>
      <c r="N318" s="130">
        <f t="shared" ref="N318" si="142">SUM(O318:U318)</f>
        <v>0</v>
      </c>
      <c r="O318" s="415"/>
      <c r="P318" s="415"/>
      <c r="Q318" s="415"/>
      <c r="R318" s="415"/>
      <c r="S318" s="415"/>
      <c r="T318" s="415"/>
      <c r="U318" s="415"/>
      <c r="V318" s="132">
        <f t="shared" ref="V318" si="143">SUM(X318:AA318)</f>
        <v>0</v>
      </c>
      <c r="W318" s="133" t="str">
        <f t="shared" ref="W318:W323" si="144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421" t="s">
        <v>202</v>
      </c>
      <c r="D319" s="143"/>
      <c r="E319" s="143"/>
      <c r="F319" s="144"/>
      <c r="G319" s="145">
        <f>SUM(G309:G318)</f>
        <v>546</v>
      </c>
      <c r="H319" s="146">
        <f>SUM(H309:H318)</f>
        <v>2746.38</v>
      </c>
      <c r="I319" s="146">
        <f>SUM(I309:I318)</f>
        <v>46</v>
      </c>
      <c r="J319" s="130">
        <f t="array" ref="J319">IF(ISERROR(G319/I319),"",G319/I319)</f>
        <v>11.869565217391305</v>
      </c>
      <c r="K319" s="146">
        <f>SUM(K309:K318)</f>
        <v>40.444444444444443</v>
      </c>
      <c r="L319" s="147"/>
      <c r="M319" s="150">
        <f>SUM(M309:M318)</f>
        <v>5.5555555555555545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4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13"/>
      <c r="D320" s="108">
        <v>3.65</v>
      </c>
      <c r="E320" s="108"/>
      <c r="F320" s="153"/>
      <c r="G320" s="128"/>
      <c r="H320" s="423">
        <f t="shared" ref="H320:H333" si="145">D320*G320</f>
        <v>0</v>
      </c>
      <c r="I320" s="129"/>
      <c r="J320" s="130" t="str">
        <f t="array" ref="J320">IF(ISERROR(G320/I320),"",G320/I320)</f>
        <v/>
      </c>
      <c r="K320" s="423">
        <f t="array" ref="K320">IF(ISERROR(G320/L320),"",G320/L320)</f>
        <v>0</v>
      </c>
      <c r="L320" s="129">
        <v>5</v>
      </c>
      <c r="M320" s="109">
        <f t="shared" ref="M320:M323" si="146">IF(ISERROR(I320-K320),"",I320-K320)</f>
        <v>0</v>
      </c>
      <c r="N320" s="130">
        <f t="shared" ref="N320:N323" si="147">SUM(O320:U320)</f>
        <v>0</v>
      </c>
      <c r="O320" s="415"/>
      <c r="P320" s="415"/>
      <c r="Q320" s="415"/>
      <c r="R320" s="415"/>
      <c r="S320" s="415"/>
      <c r="T320" s="415"/>
      <c r="U320" s="415"/>
      <c r="V320" s="132">
        <f t="shared" ref="V320:V323" si="148">SUM(X320:AA320)</f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13"/>
      <c r="D321" s="108">
        <v>6.58</v>
      </c>
      <c r="E321" s="108"/>
      <c r="F321" s="127"/>
      <c r="G321" s="128"/>
      <c r="H321" s="42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6"/>
        <v>0</v>
      </c>
      <c r="N321" s="130">
        <f t="shared" si="147"/>
        <v>0</v>
      </c>
      <c r="O321" s="415"/>
      <c r="P321" s="415"/>
      <c r="Q321" s="415"/>
      <c r="R321" s="415"/>
      <c r="S321" s="415"/>
      <c r="T321" s="415"/>
      <c r="U321" s="41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30700016</v>
      </c>
      <c r="B322" s="141" t="s">
        <v>237</v>
      </c>
      <c r="C322" s="413"/>
      <c r="D322" s="108">
        <v>7.8</v>
      </c>
      <c r="E322" s="108"/>
      <c r="F322" s="127"/>
      <c r="G322" s="128"/>
      <c r="H322" s="423">
        <f t="shared" si="145"/>
        <v>0</v>
      </c>
      <c r="I322" s="129"/>
      <c r="J322" s="130" t="str">
        <f t="array" ref="J322">IF(ISERROR(G322/I322),"",G322/I322)</f>
        <v/>
      </c>
      <c r="K322" s="131">
        <f t="array" ref="K322">IF(ISERROR(G322/L322),"",G322/L322)</f>
        <v>0</v>
      </c>
      <c r="L322" s="129">
        <v>4.5999999999999996</v>
      </c>
      <c r="M322" s="109">
        <f t="shared" si="146"/>
        <v>0</v>
      </c>
      <c r="N322" s="130">
        <f t="shared" si="147"/>
        <v>0</v>
      </c>
      <c r="O322" s="415"/>
      <c r="P322" s="415"/>
      <c r="Q322" s="415"/>
      <c r="R322" s="415"/>
      <c r="S322" s="415"/>
      <c r="T322" s="415"/>
      <c r="U322" s="415"/>
      <c r="V322" s="132">
        <f t="shared" si="148"/>
        <v>0</v>
      </c>
      <c r="W322" s="133" t="str">
        <f t="shared" si="144"/>
        <v/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13"/>
      <c r="D323" s="108">
        <v>4.4000000000000004</v>
      </c>
      <c r="E323" s="108"/>
      <c r="F323" s="127"/>
      <c r="G323" s="128"/>
      <c r="H323" s="42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6"/>
        <v>0</v>
      </c>
      <c r="N323" s="130">
        <f t="shared" si="147"/>
        <v>0</v>
      </c>
      <c r="O323" s="415"/>
      <c r="P323" s="415"/>
      <c r="Q323" s="415"/>
      <c r="R323" s="415"/>
      <c r="S323" s="415"/>
      <c r="T323" s="415"/>
      <c r="U323" s="415"/>
      <c r="V323" s="132">
        <f t="shared" si="148"/>
        <v>0</v>
      </c>
      <c r="W323" s="133" t="str">
        <f t="shared" si="144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13"/>
      <c r="D324" s="108"/>
      <c r="E324" s="108"/>
      <c r="F324" s="127"/>
      <c r="G324" s="128"/>
      <c r="H324" s="423">
        <f t="shared" si="145"/>
        <v>0</v>
      </c>
      <c r="I324" s="129"/>
      <c r="J324" s="130"/>
      <c r="K324" s="131"/>
      <c r="L324" s="129">
        <v>6</v>
      </c>
      <c r="M324" s="109"/>
      <c r="N324" s="130"/>
      <c r="O324" s="415"/>
      <c r="P324" s="415"/>
      <c r="Q324" s="415"/>
      <c r="R324" s="415"/>
      <c r="S324" s="415"/>
      <c r="T324" s="415"/>
      <c r="U324" s="415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13" t="s">
        <v>239</v>
      </c>
      <c r="C325" s="413" t="s">
        <v>179</v>
      </c>
      <c r="D325" s="108">
        <v>6.04</v>
      </c>
      <c r="E325" s="108"/>
      <c r="F325" s="127"/>
      <c r="G325" s="128"/>
      <c r="H325" s="423">
        <f t="shared" si="145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9">IF(ISERROR(I325-K325),"",I325-K325)</f>
        <v>0</v>
      </c>
      <c r="N325" s="130">
        <f t="shared" ref="N325:N326" si="150">SUM(O325:U325)</f>
        <v>0</v>
      </c>
      <c r="O325" s="415"/>
      <c r="P325" s="415"/>
      <c r="Q325" s="415"/>
      <c r="R325" s="415"/>
      <c r="S325" s="415"/>
      <c r="T325" s="415"/>
      <c r="U325" s="415"/>
      <c r="V325" s="132">
        <f t="shared" ref="V325:V326" si="151">SUM(X325:AA325)</f>
        <v>0</v>
      </c>
      <c r="W325" s="133" t="str">
        <f t="shared" ref="W325:W326" si="152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13" t="s">
        <v>239</v>
      </c>
      <c r="C326" s="413" t="s">
        <v>186</v>
      </c>
      <c r="D326" s="108">
        <v>6.04</v>
      </c>
      <c r="E326" s="108"/>
      <c r="F326" s="127"/>
      <c r="G326" s="128"/>
      <c r="H326" s="423">
        <f t="shared" si="145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9"/>
        <v>0</v>
      </c>
      <c r="N326" s="130">
        <f t="shared" si="150"/>
        <v>0</v>
      </c>
      <c r="O326" s="415"/>
      <c r="P326" s="415"/>
      <c r="Q326" s="415"/>
      <c r="R326" s="415"/>
      <c r="S326" s="415"/>
      <c r="T326" s="415"/>
      <c r="U326" s="415"/>
      <c r="V326" s="132">
        <f t="shared" si="151"/>
        <v>0</v>
      </c>
      <c r="W326" s="133" t="str">
        <f t="shared" si="152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13" t="s">
        <v>443</v>
      </c>
      <c r="C327" s="413" t="s">
        <v>179</v>
      </c>
      <c r="D327" s="108">
        <v>6</v>
      </c>
      <c r="E327" s="108"/>
      <c r="F327" s="127"/>
      <c r="G327" s="128"/>
      <c r="H327" s="423">
        <f t="shared" si="145"/>
        <v>0</v>
      </c>
      <c r="I327" s="129"/>
      <c r="J327" s="130"/>
      <c r="K327" s="131"/>
      <c r="L327" s="129"/>
      <c r="M327" s="109"/>
      <c r="N327" s="130"/>
      <c r="O327" s="415"/>
      <c r="P327" s="415"/>
      <c r="Q327" s="415"/>
      <c r="R327" s="415"/>
      <c r="S327" s="415"/>
      <c r="T327" s="415"/>
      <c r="U327" s="41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13" t="s">
        <v>443</v>
      </c>
      <c r="C328" s="413" t="s">
        <v>60</v>
      </c>
      <c r="D328" s="108">
        <v>6</v>
      </c>
      <c r="E328" s="108"/>
      <c r="F328" s="127"/>
      <c r="G328" s="128"/>
      <c r="H328" s="42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15"/>
      <c r="P328" s="415"/>
      <c r="Q328" s="415"/>
      <c r="R328" s="415"/>
      <c r="S328" s="415"/>
      <c r="T328" s="415"/>
      <c r="U328" s="415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14" t="s">
        <v>240</v>
      </c>
      <c r="C329" s="126"/>
      <c r="D329" s="108">
        <v>7.3</v>
      </c>
      <c r="E329" s="108"/>
      <c r="F329" s="127"/>
      <c r="G329" s="128"/>
      <c r="H329" s="423">
        <f t="shared" si="145"/>
        <v>0</v>
      </c>
      <c r="I329" s="129"/>
      <c r="J329" s="130"/>
      <c r="K329" s="131"/>
      <c r="L329" s="129"/>
      <c r="M329" s="109"/>
      <c r="N329" s="130"/>
      <c r="O329" s="415"/>
      <c r="P329" s="415"/>
      <c r="Q329" s="415"/>
      <c r="R329" s="415"/>
      <c r="S329" s="415"/>
      <c r="T329" s="415"/>
      <c r="U329" s="41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14" t="s">
        <v>241</v>
      </c>
      <c r="C330" s="126"/>
      <c r="D330" s="108">
        <f>78*120/1000</f>
        <v>9.36</v>
      </c>
      <c r="E330" s="108"/>
      <c r="F330" s="127"/>
      <c r="G330" s="128"/>
      <c r="H330" s="423">
        <f t="shared" si="145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3">SUM(O330:U330)</f>
        <v>0</v>
      </c>
      <c r="O330" s="415"/>
      <c r="P330" s="415"/>
      <c r="Q330" s="415"/>
      <c r="R330" s="415"/>
      <c r="S330" s="415"/>
      <c r="T330" s="415"/>
      <c r="U330" s="415"/>
      <c r="V330" s="132">
        <f t="shared" ref="V330" si="154">SUM(X330:AA330)</f>
        <v>0</v>
      </c>
      <c r="W330" s="133" t="str">
        <f t="shared" ref="W330" si="155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14" t="s">
        <v>242</v>
      </c>
      <c r="C331" s="126"/>
      <c r="D331" s="108">
        <v>4.5</v>
      </c>
      <c r="E331" s="108"/>
      <c r="F331" s="127"/>
      <c r="G331" s="128"/>
      <c r="H331" s="42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5"/>
      <c r="P331" s="415"/>
      <c r="Q331" s="415"/>
      <c r="R331" s="415"/>
      <c r="S331" s="415"/>
      <c r="T331" s="415"/>
      <c r="U331" s="41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14" t="s">
        <v>243</v>
      </c>
      <c r="C332" s="126"/>
      <c r="D332" s="108">
        <v>4.5</v>
      </c>
      <c r="E332" s="108"/>
      <c r="F332" s="127"/>
      <c r="G332" s="128"/>
      <c r="H332" s="423">
        <f t="shared" si="145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15"/>
      <c r="P332" s="415"/>
      <c r="Q332" s="415"/>
      <c r="R332" s="415"/>
      <c r="S332" s="415"/>
      <c r="T332" s="415"/>
      <c r="U332" s="415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3">
        <f t="shared" si="145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15"/>
      <c r="P333" s="415"/>
      <c r="Q333" s="415"/>
      <c r="R333" s="415"/>
      <c r="S333" s="415"/>
      <c r="T333" s="415"/>
      <c r="U333" s="415"/>
      <c r="V333" s="132"/>
      <c r="W333" s="133"/>
      <c r="X333" s="132"/>
      <c r="Y333" s="132"/>
      <c r="Z333" s="132"/>
      <c r="AA333" s="132"/>
    </row>
    <row r="334" spans="1:27" ht="20.100000000000001" hidden="1" customHeight="1">
      <c r="A334" s="618" t="s">
        <v>244</v>
      </c>
      <c r="B334" s="619"/>
      <c r="C334" s="421" t="s">
        <v>202</v>
      </c>
      <c r="D334" s="143"/>
      <c r="E334" s="143"/>
      <c r="F334" s="144"/>
      <c r="G334" s="145">
        <f>SUM(G320:G333)</f>
        <v>0</v>
      </c>
      <c r="H334" s="146">
        <f>SUM(H320:H330)</f>
        <v>0</v>
      </c>
      <c r="I334" s="146">
        <f>SUM(I320:I333)</f>
        <v>0</v>
      </c>
      <c r="J334" s="130"/>
      <c r="K334" s="146">
        <f>SUM(K320:K330)</f>
        <v>0</v>
      </c>
      <c r="L334" s="147"/>
      <c r="M334" s="150">
        <f t="shared" ref="M334:AA334" si="156">SUM(M320:M330)</f>
        <v>0</v>
      </c>
      <c r="N334" s="146">
        <f t="shared" si="156"/>
        <v>0</v>
      </c>
      <c r="O334" s="148">
        <f t="shared" si="156"/>
        <v>0</v>
      </c>
      <c r="P334" s="148">
        <f t="shared" si="156"/>
        <v>0</v>
      </c>
      <c r="Q334" s="148">
        <f t="shared" si="156"/>
        <v>0</v>
      </c>
      <c r="R334" s="148">
        <f t="shared" si="156"/>
        <v>0</v>
      </c>
      <c r="S334" s="148">
        <f t="shared" si="156"/>
        <v>0</v>
      </c>
      <c r="T334" s="148">
        <f t="shared" si="156"/>
        <v>0</v>
      </c>
      <c r="U334" s="148">
        <f t="shared" si="156"/>
        <v>0</v>
      </c>
      <c r="V334" s="149">
        <f t="shared" si="156"/>
        <v>0</v>
      </c>
      <c r="W334" s="133">
        <f t="shared" si="156"/>
        <v>0</v>
      </c>
      <c r="X334" s="149">
        <f t="shared" si="156"/>
        <v>0</v>
      </c>
      <c r="Y334" s="149">
        <f t="shared" si="156"/>
        <v>0</v>
      </c>
      <c r="Z334" s="149">
        <f t="shared" si="156"/>
        <v>0</v>
      </c>
      <c r="AA334" s="149">
        <f t="shared" si="156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4963</v>
      </c>
      <c r="H335" s="154">
        <f>SUM(H199,H257,H292,H308,H319,H334)</f>
        <v>24976.02</v>
      </c>
      <c r="I335" s="154">
        <f>SUM(I199,I257,I292,I308,I319,I334)</f>
        <v>355.68</v>
      </c>
      <c r="J335" s="155">
        <f t="array" ref="J335">IF(ISERROR(G335/I335),"",G335/I335)</f>
        <v>13.953553756185334</v>
      </c>
      <c r="K335" s="154">
        <f>SUM(K199,K257,K292,K308,K319,K334)</f>
        <v>301.94366918932019</v>
      </c>
      <c r="L335" s="155">
        <f>IF(ISERROR(G335/K335),"",G335/K335)</f>
        <v>16.436840730342237</v>
      </c>
      <c r="M335" s="154">
        <f t="shared" ref="M335:AA335" si="157">SUM(M199,M257,M292,M308,M319,M334)</f>
        <v>53.736330810679846</v>
      </c>
      <c r="N335" s="154">
        <f t="shared" si="157"/>
        <v>0</v>
      </c>
      <c r="O335" s="154">
        <f t="shared" si="157"/>
        <v>0</v>
      </c>
      <c r="P335" s="154">
        <f t="shared" si="157"/>
        <v>0</v>
      </c>
      <c r="Q335" s="154">
        <f t="shared" si="157"/>
        <v>0</v>
      </c>
      <c r="R335" s="154">
        <f t="shared" si="157"/>
        <v>0</v>
      </c>
      <c r="S335" s="154">
        <f t="shared" si="157"/>
        <v>0</v>
      </c>
      <c r="T335" s="154">
        <f t="shared" si="157"/>
        <v>0</v>
      </c>
      <c r="U335" s="154">
        <f t="shared" si="157"/>
        <v>0</v>
      </c>
      <c r="V335" s="154">
        <f t="shared" si="157"/>
        <v>0</v>
      </c>
      <c r="W335" s="154">
        <f t="shared" si="157"/>
        <v>0</v>
      </c>
      <c r="X335" s="154">
        <f t="shared" si="157"/>
        <v>0</v>
      </c>
      <c r="Y335" s="154">
        <f t="shared" si="157"/>
        <v>0</v>
      </c>
      <c r="Z335" s="154">
        <f t="shared" si="157"/>
        <v>0</v>
      </c>
      <c r="AA335" s="154">
        <f t="shared" si="157"/>
        <v>0</v>
      </c>
    </row>
    <row r="336" spans="1:27" ht="20.100000000000001" customHeight="1">
      <c r="A336" s="623" t="s">
        <v>476</v>
      </c>
      <c r="B336" s="420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420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420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420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420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420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420">
        <f>G335</f>
        <v>4963</v>
      </c>
      <c r="C342" s="638" t="s">
        <v>269</v>
      </c>
      <c r="D342" s="639"/>
      <c r="E342" s="631">
        <f>H335</f>
        <v>24976.02</v>
      </c>
      <c r="F342" s="631"/>
      <c r="G342" s="631" t="s">
        <v>270</v>
      </c>
      <c r="H342" s="631"/>
      <c r="I342" s="640">
        <f>L335</f>
        <v>16.436840730342237</v>
      </c>
      <c r="J342" s="640"/>
      <c r="K342" s="628" t="s">
        <v>271</v>
      </c>
      <c r="L342" s="628"/>
      <c r="M342" s="640">
        <f>J335</f>
        <v>13.953553756185334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420">
        <f>I335+C341</f>
        <v>357.68</v>
      </c>
      <c r="C343" s="641" t="s">
        <v>251</v>
      </c>
      <c r="D343" s="642"/>
      <c r="E343" s="643">
        <f>K335+I341</f>
        <v>331.94366918932019</v>
      </c>
      <c r="F343" s="643"/>
      <c r="G343" s="631" t="s">
        <v>274</v>
      </c>
      <c r="H343" s="631"/>
      <c r="I343" s="640">
        <f>B343-E343</f>
        <v>25.736330810679817</v>
      </c>
      <c r="J343" s="640"/>
      <c r="K343" s="628" t="s">
        <v>275</v>
      </c>
      <c r="L343" s="628"/>
      <c r="M343" s="632">
        <f>IF(ISERROR(I343/E343),"",I343/E343)</f>
        <v>7.7532223685824839E-2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420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540</v>
      </c>
      <c r="H348" s="413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414" t="s">
        <v>178</v>
      </c>
      <c r="C349" s="126" t="s">
        <v>179</v>
      </c>
      <c r="D349" s="108">
        <v>5.03</v>
      </c>
      <c r="E349" s="108"/>
      <c r="F349" s="127"/>
      <c r="G349" s="128"/>
      <c r="H349" s="423">
        <f t="shared" ref="H349:H369" si="158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9">IF(ISERROR(I349-K349),"",I349-K349)</f>
        <v>0</v>
      </c>
      <c r="N349" s="130">
        <f t="shared" ref="N349:N354" si="160">SUM(O349:U349)</f>
        <v>0</v>
      </c>
      <c r="O349" s="415"/>
      <c r="P349" s="415"/>
      <c r="Q349" s="415"/>
      <c r="R349" s="415"/>
      <c r="S349" s="415"/>
      <c r="T349" s="415"/>
      <c r="U349" s="415"/>
      <c r="V349" s="132">
        <f t="shared" ref="V349:V354" si="161">SUM(X349:AA349)</f>
        <v>0</v>
      </c>
      <c r="W349" s="133" t="str">
        <f t="shared" ref="W349:W354" si="162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15"/>
      <c r="P350" s="415"/>
      <c r="Q350" s="415"/>
      <c r="R350" s="415"/>
      <c r="S350" s="415"/>
      <c r="T350" s="415"/>
      <c r="U350" s="41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9"/>
        <v>0</v>
      </c>
      <c r="N351" s="130">
        <f t="shared" si="160"/>
        <v>0</v>
      </c>
      <c r="O351" s="415"/>
      <c r="P351" s="415"/>
      <c r="Q351" s="415"/>
      <c r="R351" s="415"/>
      <c r="S351" s="415"/>
      <c r="T351" s="415"/>
      <c r="U351" s="41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3">
        <f t="shared" si="158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15"/>
      <c r="P352" s="415"/>
      <c r="Q352" s="415"/>
      <c r="R352" s="415"/>
      <c r="S352" s="415"/>
      <c r="T352" s="415"/>
      <c r="U352" s="41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3">
        <f t="shared" si="158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9"/>
        <v>0</v>
      </c>
      <c r="N353" s="130">
        <f t="shared" si="160"/>
        <v>0</v>
      </c>
      <c r="O353" s="415"/>
      <c r="P353" s="415"/>
      <c r="Q353" s="415"/>
      <c r="R353" s="415"/>
      <c r="S353" s="415"/>
      <c r="T353" s="415"/>
      <c r="U353" s="415"/>
      <c r="V353" s="132">
        <f t="shared" si="161"/>
        <v>0</v>
      </c>
      <c r="W353" s="133" t="str">
        <f t="shared" si="162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3">
        <f t="shared" si="158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9"/>
        <v>0</v>
      </c>
      <c r="N354" s="130">
        <f t="shared" si="160"/>
        <v>0</v>
      </c>
      <c r="O354" s="415"/>
      <c r="P354" s="415"/>
      <c r="Q354" s="415"/>
      <c r="R354" s="415"/>
      <c r="S354" s="415"/>
      <c r="T354" s="415"/>
      <c r="U354" s="415"/>
      <c r="V354" s="132">
        <f t="shared" si="161"/>
        <v>0</v>
      </c>
      <c r="W354" s="133" t="str">
        <f t="shared" si="162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3">
        <f t="shared" si="158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9"/>
        <v>0</v>
      </c>
      <c r="N355" s="130"/>
      <c r="O355" s="415"/>
      <c r="P355" s="415"/>
      <c r="Q355" s="415"/>
      <c r="R355" s="415"/>
      <c r="S355" s="415"/>
      <c r="T355" s="415"/>
      <c r="U355" s="415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3">
        <f t="shared" si="158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9"/>
        <v>0</v>
      </c>
      <c r="N356" s="130"/>
      <c r="O356" s="415"/>
      <c r="P356" s="415"/>
      <c r="Q356" s="415"/>
      <c r="R356" s="415"/>
      <c r="S356" s="415"/>
      <c r="T356" s="415"/>
      <c r="U356" s="415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3">
        <f t="shared" si="158"/>
        <v>0</v>
      </c>
      <c r="I357" s="423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9"/>
        <v>0</v>
      </c>
      <c r="N357" s="130">
        <f>SUM(O357:U357)</f>
        <v>0</v>
      </c>
      <c r="O357" s="415"/>
      <c r="P357" s="415"/>
      <c r="Q357" s="415"/>
      <c r="R357" s="415"/>
      <c r="S357" s="415"/>
      <c r="T357" s="415"/>
      <c r="U357" s="415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3">
        <f t="shared" si="158"/>
        <v>0</v>
      </c>
      <c r="I358" s="423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9"/>
        <v>0</v>
      </c>
      <c r="N358" s="130">
        <f>SUM(O358:U358)</f>
        <v>0</v>
      </c>
      <c r="O358" s="415"/>
      <c r="P358" s="415"/>
      <c r="Q358" s="415"/>
      <c r="R358" s="415"/>
      <c r="S358" s="415"/>
      <c r="T358" s="415"/>
      <c r="U358" s="415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3">
        <f t="shared" si="158"/>
        <v>0</v>
      </c>
      <c r="I359" s="423"/>
      <c r="J359" s="130"/>
      <c r="K359" s="131"/>
      <c r="L359" s="129"/>
      <c r="M359" s="109"/>
      <c r="N359" s="130"/>
      <c r="O359" s="415"/>
      <c r="P359" s="415"/>
      <c r="Q359" s="415"/>
      <c r="R359" s="415"/>
      <c r="S359" s="415"/>
      <c r="T359" s="415"/>
      <c r="U359" s="415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3">
        <f t="shared" si="158"/>
        <v>0</v>
      </c>
      <c r="I360" s="423"/>
      <c r="J360" s="130"/>
      <c r="K360" s="131"/>
      <c r="L360" s="129"/>
      <c r="M360" s="109"/>
      <c r="N360" s="130"/>
      <c r="O360" s="415"/>
      <c r="P360" s="415"/>
      <c r="Q360" s="415"/>
      <c r="R360" s="415"/>
      <c r="S360" s="415"/>
      <c r="T360" s="415"/>
      <c r="U360" s="415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3">IF(ISERROR(I361-K361),"",I361-K361)</f>
        <v>0</v>
      </c>
      <c r="N361" s="130">
        <f t="shared" ref="N361:N363" si="164">SUM(O361:U361)</f>
        <v>0</v>
      </c>
      <c r="O361" s="415"/>
      <c r="P361" s="415"/>
      <c r="Q361" s="415"/>
      <c r="R361" s="415"/>
      <c r="S361" s="415"/>
      <c r="T361" s="415"/>
      <c r="U361" s="415"/>
      <c r="V361" s="132">
        <f t="shared" ref="V361:V363" si="165">SUM(X361:AA361)</f>
        <v>0</v>
      </c>
      <c r="W361" s="133" t="str">
        <f t="shared" ref="W361:W363" si="166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3">
        <f t="shared" si="158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3"/>
        <v>0</v>
      </c>
      <c r="N362" s="130">
        <f t="shared" si="164"/>
        <v>0</v>
      </c>
      <c r="O362" s="415"/>
      <c r="P362" s="415"/>
      <c r="Q362" s="415"/>
      <c r="R362" s="415"/>
      <c r="S362" s="415"/>
      <c r="T362" s="415"/>
      <c r="U362" s="415"/>
      <c r="V362" s="132">
        <f t="shared" si="165"/>
        <v>0</v>
      </c>
      <c r="W362" s="133" t="str">
        <f t="shared" si="166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3">
        <f t="shared" si="158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3"/>
        <v>0</v>
      </c>
      <c r="N363" s="130">
        <f t="shared" si="164"/>
        <v>0</v>
      </c>
      <c r="O363" s="415"/>
      <c r="P363" s="415"/>
      <c r="Q363" s="415"/>
      <c r="R363" s="415"/>
      <c r="S363" s="415"/>
      <c r="T363" s="415"/>
      <c r="U363" s="415"/>
      <c r="V363" s="132">
        <f t="shared" si="165"/>
        <v>0</v>
      </c>
      <c r="W363" s="133" t="str">
        <f t="shared" si="166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13" t="s">
        <v>190</v>
      </c>
      <c r="D364" s="108">
        <v>4.8</v>
      </c>
      <c r="E364" s="108"/>
      <c r="F364" s="127"/>
      <c r="G364" s="128"/>
      <c r="H364" s="42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15"/>
      <c r="P364" s="415"/>
      <c r="Q364" s="415"/>
      <c r="R364" s="415"/>
      <c r="S364" s="415"/>
      <c r="T364" s="415"/>
      <c r="U364" s="41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13" t="s">
        <v>187</v>
      </c>
      <c r="D365" s="108">
        <v>4.8</v>
      </c>
      <c r="E365" s="108"/>
      <c r="F365" s="127"/>
      <c r="G365" s="128"/>
      <c r="H365" s="42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15"/>
      <c r="P365" s="415"/>
      <c r="Q365" s="415"/>
      <c r="R365" s="415"/>
      <c r="S365" s="415"/>
      <c r="T365" s="415"/>
      <c r="U365" s="41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13" t="s">
        <v>179</v>
      </c>
      <c r="D366" s="108">
        <v>4.8</v>
      </c>
      <c r="E366" s="108"/>
      <c r="F366" s="127"/>
      <c r="G366" s="128"/>
      <c r="H366" s="423">
        <f t="shared" si="158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3"/>
        <v>0</v>
      </c>
      <c r="N366" s="130"/>
      <c r="O366" s="415"/>
      <c r="P366" s="415"/>
      <c r="Q366" s="415"/>
      <c r="R366" s="415"/>
      <c r="S366" s="415"/>
      <c r="T366" s="415"/>
      <c r="U366" s="415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13" t="s">
        <v>199</v>
      </c>
      <c r="D367" s="108">
        <v>4.8</v>
      </c>
      <c r="E367" s="108"/>
      <c r="F367" s="127"/>
      <c r="G367" s="128"/>
      <c r="H367" s="423">
        <f t="shared" si="158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3"/>
        <v>0</v>
      </c>
      <c r="N367" s="130"/>
      <c r="O367" s="415"/>
      <c r="P367" s="415"/>
      <c r="Q367" s="415"/>
      <c r="R367" s="415"/>
      <c r="S367" s="415"/>
      <c r="T367" s="415"/>
      <c r="U367" s="415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3">
        <f t="shared" si="158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3"/>
        <v>0</v>
      </c>
      <c r="N368" s="130">
        <f t="shared" ref="N368:N369" si="167">SUM(O368:U368)</f>
        <v>0</v>
      </c>
      <c r="O368" s="415"/>
      <c r="P368" s="415"/>
      <c r="Q368" s="415"/>
      <c r="R368" s="415"/>
      <c r="S368" s="415"/>
      <c r="T368" s="415"/>
      <c r="U368" s="415"/>
      <c r="V368" s="132">
        <f t="shared" ref="V368:V369" si="168">SUM(X368:AA368)</f>
        <v>0</v>
      </c>
      <c r="W368" s="133" t="str">
        <f t="shared" ref="W368:W369" si="169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3">
        <f t="shared" si="158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3"/>
        <v>0</v>
      </c>
      <c r="N369" s="130">
        <f t="shared" si="167"/>
        <v>0</v>
      </c>
      <c r="O369" s="415"/>
      <c r="P369" s="415"/>
      <c r="Q369" s="415"/>
      <c r="R369" s="415"/>
      <c r="S369" s="415"/>
      <c r="T369" s="415"/>
      <c r="U369" s="415"/>
      <c r="V369" s="132">
        <f t="shared" si="168"/>
        <v>0</v>
      </c>
      <c r="W369" s="133" t="str">
        <f t="shared" si="169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421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0">SUM(M349:M369)</f>
        <v>0</v>
      </c>
      <c r="N370" s="146">
        <f t="shared" si="170"/>
        <v>0</v>
      </c>
      <c r="O370" s="148">
        <f t="shared" si="170"/>
        <v>0</v>
      </c>
      <c r="P370" s="148">
        <f t="shared" si="170"/>
        <v>0</v>
      </c>
      <c r="Q370" s="148">
        <f t="shared" si="170"/>
        <v>0</v>
      </c>
      <c r="R370" s="148">
        <f t="shared" si="170"/>
        <v>0</v>
      </c>
      <c r="S370" s="148">
        <f t="shared" si="170"/>
        <v>0</v>
      </c>
      <c r="T370" s="148">
        <f t="shared" si="170"/>
        <v>0</v>
      </c>
      <c r="U370" s="148">
        <f t="shared" si="170"/>
        <v>0</v>
      </c>
      <c r="V370" s="149">
        <f t="shared" si="170"/>
        <v>0</v>
      </c>
      <c r="W370" s="133">
        <f t="shared" si="170"/>
        <v>0</v>
      </c>
      <c r="X370" s="149">
        <f t="shared" si="170"/>
        <v>0</v>
      </c>
      <c r="Y370" s="149">
        <f t="shared" si="170"/>
        <v>0</v>
      </c>
      <c r="Z370" s="149">
        <f t="shared" si="170"/>
        <v>0</v>
      </c>
      <c r="AA370" s="149">
        <f t="shared" si="170"/>
        <v>0</v>
      </c>
    </row>
    <row r="371" spans="1:27" ht="20.100000000000001" hidden="1" customHeight="1">
      <c r="A371" s="300">
        <v>30100012</v>
      </c>
      <c r="B371" s="414" t="s">
        <v>206</v>
      </c>
      <c r="C371" s="126" t="s">
        <v>199</v>
      </c>
      <c r="D371" s="108">
        <v>5.03</v>
      </c>
      <c r="E371" s="108"/>
      <c r="F371" s="127"/>
      <c r="G371" s="128"/>
      <c r="H371" s="423">
        <f t="shared" ref="H371:H427" si="171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2">IF(ISERROR(I371-K371),"",I371-K371)</f>
        <v>0</v>
      </c>
      <c r="N371" s="130">
        <f t="shared" ref="N371" si="173">SUM(O371:U371)</f>
        <v>0</v>
      </c>
      <c r="O371" s="418"/>
      <c r="P371" s="418"/>
      <c r="Q371" s="418"/>
      <c r="R371" s="418"/>
      <c r="S371" s="418"/>
      <c r="T371" s="418"/>
      <c r="U371" s="418"/>
      <c r="V371" s="132">
        <f t="shared" ref="V371" si="174">SUM(X371:AA371)</f>
        <v>0</v>
      </c>
      <c r="W371" s="133" t="str">
        <f t="shared" ref="W371" si="175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14" t="s">
        <v>425</v>
      </c>
      <c r="C372" s="187" t="s">
        <v>427</v>
      </c>
      <c r="D372" s="108">
        <v>5.03</v>
      </c>
      <c r="E372" s="108"/>
      <c r="F372" s="127"/>
      <c r="G372" s="128"/>
      <c r="H372" s="423">
        <f t="shared" si="171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18"/>
      <c r="P372" s="418"/>
      <c r="Q372" s="418"/>
      <c r="R372" s="418"/>
      <c r="S372" s="418"/>
      <c r="T372" s="418"/>
      <c r="U372" s="41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14" t="s">
        <v>206</v>
      </c>
      <c r="C373" s="126" t="s">
        <v>186</v>
      </c>
      <c r="D373" s="108">
        <v>5.03</v>
      </c>
      <c r="E373" s="108"/>
      <c r="F373" s="127"/>
      <c r="G373" s="128"/>
      <c r="H373" s="42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6">IF(ISERROR(I373-K373),"",I373-K373)</f>
        <v>0</v>
      </c>
      <c r="N373" s="130">
        <f t="shared" ref="N373:N375" si="177">SUM(O373:U373)</f>
        <v>0</v>
      </c>
      <c r="O373" s="418"/>
      <c r="P373" s="418"/>
      <c r="Q373" s="418"/>
      <c r="R373" s="418"/>
      <c r="S373" s="418"/>
      <c r="T373" s="418"/>
      <c r="U373" s="418"/>
      <c r="V373" s="132">
        <f t="shared" ref="V373:V375" si="178">SUM(X373:AA373)</f>
        <v>0</v>
      </c>
      <c r="W373" s="133" t="str">
        <f t="shared" ref="W373:W375" si="179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14" t="s">
        <v>206</v>
      </c>
      <c r="C374" s="126" t="s">
        <v>203</v>
      </c>
      <c r="D374" s="108">
        <v>5.03</v>
      </c>
      <c r="E374" s="108"/>
      <c r="F374" s="127"/>
      <c r="G374" s="128"/>
      <c r="H374" s="423">
        <f t="shared" si="171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>
        <f t="shared" si="177"/>
        <v>0</v>
      </c>
      <c r="O374" s="418"/>
      <c r="P374" s="418"/>
      <c r="Q374" s="418"/>
      <c r="R374" s="418"/>
      <c r="S374" s="418"/>
      <c r="T374" s="418"/>
      <c r="U374" s="418"/>
      <c r="V374" s="132">
        <f t="shared" si="178"/>
        <v>0</v>
      </c>
      <c r="W374" s="133" t="str">
        <f t="shared" si="179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14" t="s">
        <v>206</v>
      </c>
      <c r="C375" s="126" t="s">
        <v>207</v>
      </c>
      <c r="D375" s="108">
        <v>5.03</v>
      </c>
      <c r="E375" s="108"/>
      <c r="F375" s="127"/>
      <c r="G375" s="128"/>
      <c r="H375" s="423">
        <f t="shared" si="171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>
        <f t="shared" si="177"/>
        <v>0</v>
      </c>
      <c r="O375" s="418"/>
      <c r="P375" s="418"/>
      <c r="Q375" s="418"/>
      <c r="R375" s="418"/>
      <c r="S375" s="418"/>
      <c r="T375" s="418"/>
      <c r="U375" s="418"/>
      <c r="V375" s="132">
        <f t="shared" si="178"/>
        <v>0</v>
      </c>
      <c r="W375" s="133" t="str">
        <f t="shared" si="179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14" t="s">
        <v>414</v>
      </c>
      <c r="C376" s="187" t="s">
        <v>415</v>
      </c>
      <c r="D376" s="108"/>
      <c r="E376" s="108"/>
      <c r="F376" s="127"/>
      <c r="G376" s="128"/>
      <c r="H376" s="42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18"/>
      <c r="P376" s="418"/>
      <c r="Q376" s="418"/>
      <c r="R376" s="418"/>
      <c r="S376" s="418"/>
      <c r="T376" s="418"/>
      <c r="U376" s="41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14" t="s">
        <v>414</v>
      </c>
      <c r="C377" s="187" t="s">
        <v>416</v>
      </c>
      <c r="D377" s="108"/>
      <c r="E377" s="108"/>
      <c r="F377" s="127"/>
      <c r="G377" s="128"/>
      <c r="H377" s="423">
        <f t="shared" si="171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6"/>
        <v>0</v>
      </c>
      <c r="N377" s="130"/>
      <c r="O377" s="418"/>
      <c r="P377" s="418"/>
      <c r="Q377" s="418"/>
      <c r="R377" s="418"/>
      <c r="S377" s="418"/>
      <c r="T377" s="418"/>
      <c r="U377" s="41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14" t="s">
        <v>414</v>
      </c>
      <c r="C378" s="187" t="s">
        <v>61</v>
      </c>
      <c r="D378" s="108"/>
      <c r="E378" s="108"/>
      <c r="F378" s="127"/>
      <c r="G378" s="128"/>
      <c r="H378" s="423">
        <f t="shared" si="171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6"/>
        <v>0</v>
      </c>
      <c r="N378" s="130"/>
      <c r="O378" s="418"/>
      <c r="P378" s="418"/>
      <c r="Q378" s="418"/>
      <c r="R378" s="418"/>
      <c r="S378" s="418"/>
      <c r="T378" s="418"/>
      <c r="U378" s="41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14" t="s">
        <v>208</v>
      </c>
      <c r="C379" s="126" t="s">
        <v>179</v>
      </c>
      <c r="D379" s="108">
        <v>5.08</v>
      </c>
      <c r="E379" s="108"/>
      <c r="F379" s="127"/>
      <c r="G379" s="128"/>
      <c r="H379" s="42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ref="N379:N394" si="180">SUM(O379:U379)</f>
        <v>0</v>
      </c>
      <c r="O379" s="418"/>
      <c r="P379" s="418"/>
      <c r="Q379" s="418"/>
      <c r="R379" s="418"/>
      <c r="S379" s="418"/>
      <c r="T379" s="418"/>
      <c r="U379" s="418"/>
      <c r="V379" s="132">
        <f t="shared" ref="V379:V390" si="181">SUM(X379:AA379)</f>
        <v>0</v>
      </c>
      <c r="W379" s="133" t="str">
        <f t="shared" ref="W379:W390" si="182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14" t="s">
        <v>208</v>
      </c>
      <c r="C380" s="126" t="s">
        <v>204</v>
      </c>
      <c r="D380" s="108">
        <v>5.08</v>
      </c>
      <c r="E380" s="108"/>
      <c r="F380" s="127"/>
      <c r="G380" s="128"/>
      <c r="H380" s="42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18"/>
      <c r="P380" s="418"/>
      <c r="Q380" s="418"/>
      <c r="R380" s="418"/>
      <c r="S380" s="418"/>
      <c r="T380" s="418"/>
      <c r="U380" s="418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14" t="s">
        <v>208</v>
      </c>
      <c r="C381" s="126" t="s">
        <v>205</v>
      </c>
      <c r="D381" s="108">
        <v>5.08</v>
      </c>
      <c r="E381" s="108"/>
      <c r="F381" s="127"/>
      <c r="G381" s="128"/>
      <c r="H381" s="42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18"/>
      <c r="P381" s="418"/>
      <c r="Q381" s="418"/>
      <c r="R381" s="418"/>
      <c r="S381" s="418"/>
      <c r="T381" s="418"/>
      <c r="U381" s="418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14" t="s">
        <v>208</v>
      </c>
      <c r="C382" s="126" t="s">
        <v>186</v>
      </c>
      <c r="D382" s="108">
        <v>5.08</v>
      </c>
      <c r="E382" s="108"/>
      <c r="F382" s="127"/>
      <c r="G382" s="128"/>
      <c r="H382" s="42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18"/>
      <c r="P382" s="418"/>
      <c r="Q382" s="418"/>
      <c r="R382" s="418"/>
      <c r="S382" s="418"/>
      <c r="T382" s="418"/>
      <c r="U382" s="41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14" t="s">
        <v>208</v>
      </c>
      <c r="C383" s="126" t="s">
        <v>203</v>
      </c>
      <c r="D383" s="108">
        <v>5.08</v>
      </c>
      <c r="E383" s="108"/>
      <c r="F383" s="127"/>
      <c r="G383" s="128"/>
      <c r="H383" s="42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18"/>
      <c r="P383" s="418"/>
      <c r="Q383" s="418"/>
      <c r="R383" s="418"/>
      <c r="S383" s="418"/>
      <c r="T383" s="418"/>
      <c r="U383" s="418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14" t="s">
        <v>208</v>
      </c>
      <c r="C384" s="126" t="s">
        <v>199</v>
      </c>
      <c r="D384" s="108">
        <v>5.08</v>
      </c>
      <c r="E384" s="108"/>
      <c r="F384" s="127"/>
      <c r="G384" s="128"/>
      <c r="H384" s="42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15"/>
      <c r="P384" s="415"/>
      <c r="Q384" s="415"/>
      <c r="R384" s="415"/>
      <c r="S384" s="415"/>
      <c r="T384" s="415"/>
      <c r="U384" s="41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14" t="s">
        <v>208</v>
      </c>
      <c r="C385" s="126" t="s">
        <v>187</v>
      </c>
      <c r="D385" s="108">
        <v>5.08</v>
      </c>
      <c r="E385" s="108"/>
      <c r="F385" s="127"/>
      <c r="G385" s="128"/>
      <c r="H385" s="42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6"/>
        <v>0</v>
      </c>
      <c r="N385" s="130">
        <f t="shared" si="180"/>
        <v>0</v>
      </c>
      <c r="O385" s="418"/>
      <c r="P385" s="418"/>
      <c r="Q385" s="418"/>
      <c r="R385" s="418"/>
      <c r="S385" s="418"/>
      <c r="T385" s="418"/>
      <c r="U385" s="418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14" t="s">
        <v>208</v>
      </c>
      <c r="C386" s="126" t="s">
        <v>207</v>
      </c>
      <c r="D386" s="108">
        <v>5.08</v>
      </c>
      <c r="E386" s="108"/>
      <c r="F386" s="127"/>
      <c r="G386" s="128"/>
      <c r="H386" s="42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6"/>
        <v>0</v>
      </c>
      <c r="N386" s="130">
        <f t="shared" si="180"/>
        <v>0</v>
      </c>
      <c r="O386" s="415"/>
      <c r="P386" s="415"/>
      <c r="Q386" s="415"/>
      <c r="R386" s="415"/>
      <c r="S386" s="415"/>
      <c r="T386" s="415"/>
      <c r="U386" s="41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14" t="s">
        <v>209</v>
      </c>
      <c r="C387" s="126" t="s">
        <v>194</v>
      </c>
      <c r="D387" s="108">
        <v>5.03</v>
      </c>
      <c r="E387" s="108"/>
      <c r="F387" s="127"/>
      <c r="G387" s="128"/>
      <c r="H387" s="42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18"/>
      <c r="P387" s="418"/>
      <c r="Q387" s="418"/>
      <c r="R387" s="418"/>
      <c r="S387" s="418"/>
      <c r="T387" s="418"/>
      <c r="U387" s="418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14" t="s">
        <v>209</v>
      </c>
      <c r="C388" s="126" t="s">
        <v>179</v>
      </c>
      <c r="D388" s="108">
        <v>5.03</v>
      </c>
      <c r="E388" s="108"/>
      <c r="F388" s="127"/>
      <c r="G388" s="128"/>
      <c r="H388" s="42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18"/>
      <c r="P388" s="418"/>
      <c r="Q388" s="418"/>
      <c r="R388" s="418"/>
      <c r="S388" s="418"/>
      <c r="T388" s="418"/>
      <c r="U388" s="418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14" t="s">
        <v>209</v>
      </c>
      <c r="C389" s="126" t="s">
        <v>195</v>
      </c>
      <c r="D389" s="108">
        <v>5.03</v>
      </c>
      <c r="E389" s="108"/>
      <c r="F389" s="127"/>
      <c r="G389" s="128"/>
      <c r="H389" s="423">
        <f t="shared" si="171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6"/>
        <v>0</v>
      </c>
      <c r="N389" s="130">
        <f t="shared" si="180"/>
        <v>0</v>
      </c>
      <c r="O389" s="418"/>
      <c r="P389" s="418"/>
      <c r="Q389" s="418"/>
      <c r="R389" s="418"/>
      <c r="S389" s="418"/>
      <c r="T389" s="418"/>
      <c r="U389" s="418"/>
      <c r="V389" s="132">
        <f t="shared" si="181"/>
        <v>0</v>
      </c>
      <c r="W389" s="133" t="str">
        <f t="shared" si="182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14" t="s">
        <v>209</v>
      </c>
      <c r="C390" s="126" t="s">
        <v>204</v>
      </c>
      <c r="D390" s="108">
        <v>5.03</v>
      </c>
      <c r="E390" s="108"/>
      <c r="F390" s="127"/>
      <c r="G390" s="128"/>
      <c r="H390" s="423">
        <f t="shared" si="171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6"/>
        <v>0</v>
      </c>
      <c r="N390" s="130">
        <f t="shared" si="180"/>
        <v>0</v>
      </c>
      <c r="O390" s="418"/>
      <c r="P390" s="418"/>
      <c r="Q390" s="418"/>
      <c r="R390" s="418"/>
      <c r="S390" s="418"/>
      <c r="T390" s="418"/>
      <c r="U390" s="418"/>
      <c r="V390" s="132">
        <f t="shared" si="181"/>
        <v>0</v>
      </c>
      <c r="W390" s="133" t="str">
        <f t="shared" si="182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14" t="s">
        <v>382</v>
      </c>
      <c r="C391" s="187" t="s">
        <v>383</v>
      </c>
      <c r="D391" s="108">
        <v>5.03</v>
      </c>
      <c r="E391" s="108"/>
      <c r="F391" s="127"/>
      <c r="G391" s="128"/>
      <c r="H391" s="42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18"/>
      <c r="P391" s="418"/>
      <c r="Q391" s="418"/>
      <c r="R391" s="418"/>
      <c r="S391" s="418"/>
      <c r="T391" s="418"/>
      <c r="U391" s="41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14" t="s">
        <v>382</v>
      </c>
      <c r="C392" s="187" t="s">
        <v>384</v>
      </c>
      <c r="D392" s="108">
        <v>5.03</v>
      </c>
      <c r="E392" s="108"/>
      <c r="F392" s="127"/>
      <c r="G392" s="128"/>
      <c r="H392" s="42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18"/>
      <c r="P392" s="418"/>
      <c r="Q392" s="418"/>
      <c r="R392" s="418"/>
      <c r="S392" s="418"/>
      <c r="T392" s="418"/>
      <c r="U392" s="41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14" t="s">
        <v>382</v>
      </c>
      <c r="C393" s="187" t="s">
        <v>389</v>
      </c>
      <c r="D393" s="108">
        <v>5.03</v>
      </c>
      <c r="E393" s="108"/>
      <c r="F393" s="127"/>
      <c r="G393" s="128"/>
      <c r="H393" s="42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6"/>
        <v>0</v>
      </c>
      <c r="N393" s="130">
        <f t="shared" si="180"/>
        <v>0</v>
      </c>
      <c r="O393" s="418"/>
      <c r="P393" s="418"/>
      <c r="Q393" s="418"/>
      <c r="R393" s="418"/>
      <c r="S393" s="418"/>
      <c r="T393" s="418"/>
      <c r="U393" s="41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14" t="s">
        <v>382</v>
      </c>
      <c r="C394" s="187" t="s">
        <v>391</v>
      </c>
      <c r="D394" s="108">
        <v>5.03</v>
      </c>
      <c r="E394" s="108"/>
      <c r="F394" s="127"/>
      <c r="G394" s="128"/>
      <c r="H394" s="42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6"/>
        <v>0</v>
      </c>
      <c r="N394" s="130">
        <f t="shared" si="180"/>
        <v>0</v>
      </c>
      <c r="O394" s="418"/>
      <c r="P394" s="418"/>
      <c r="Q394" s="418"/>
      <c r="R394" s="418"/>
      <c r="S394" s="418"/>
      <c r="T394" s="418"/>
      <c r="U394" s="41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14" t="s">
        <v>418</v>
      </c>
      <c r="C395" s="187" t="s">
        <v>364</v>
      </c>
      <c r="D395" s="108">
        <v>5.03</v>
      </c>
      <c r="E395" s="108"/>
      <c r="F395" s="127"/>
      <c r="G395" s="128"/>
      <c r="H395" s="42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18"/>
      <c r="P395" s="418"/>
      <c r="Q395" s="418"/>
      <c r="R395" s="418"/>
      <c r="S395" s="418"/>
      <c r="T395" s="418"/>
      <c r="U395" s="41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14" t="s">
        <v>418</v>
      </c>
      <c r="C396" s="187" t="s">
        <v>365</v>
      </c>
      <c r="D396" s="108">
        <v>5.03</v>
      </c>
      <c r="E396" s="108"/>
      <c r="F396" s="127"/>
      <c r="G396" s="128"/>
      <c r="H396" s="42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18"/>
      <c r="P396" s="418"/>
      <c r="Q396" s="418"/>
      <c r="R396" s="418"/>
      <c r="S396" s="418"/>
      <c r="T396" s="418"/>
      <c r="U396" s="41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14" t="s">
        <v>418</v>
      </c>
      <c r="C397" s="187" t="s">
        <v>366</v>
      </c>
      <c r="D397" s="108">
        <v>5.03</v>
      </c>
      <c r="E397" s="108"/>
      <c r="F397" s="127"/>
      <c r="G397" s="128"/>
      <c r="H397" s="423">
        <f t="shared" si="171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6"/>
        <v>0</v>
      </c>
      <c r="N397" s="130"/>
      <c r="O397" s="418"/>
      <c r="P397" s="418"/>
      <c r="Q397" s="418"/>
      <c r="R397" s="418"/>
      <c r="S397" s="418"/>
      <c r="T397" s="418"/>
      <c r="U397" s="41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14" t="s">
        <v>418</v>
      </c>
      <c r="C398" s="187" t="s">
        <v>367</v>
      </c>
      <c r="D398" s="108">
        <v>5.03</v>
      </c>
      <c r="E398" s="108"/>
      <c r="F398" s="127"/>
      <c r="G398" s="128"/>
      <c r="H398" s="423">
        <f t="shared" si="171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6"/>
        <v>0</v>
      </c>
      <c r="N398" s="130"/>
      <c r="O398" s="418"/>
      <c r="P398" s="418"/>
      <c r="Q398" s="418"/>
      <c r="R398" s="418"/>
      <c r="S398" s="418"/>
      <c r="T398" s="418"/>
      <c r="U398" s="41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ref="N399:N408" si="183">SUM(O399:U399)</f>
        <v>0</v>
      </c>
      <c r="O399" s="415"/>
      <c r="P399" s="415"/>
      <c r="Q399" s="415"/>
      <c r="R399" s="415"/>
      <c r="S399" s="415"/>
      <c r="T399" s="415"/>
      <c r="U399" s="415"/>
      <c r="V399" s="132">
        <f t="shared" ref="V399:V408" si="184">SUM(X399:AA399)</f>
        <v>0</v>
      </c>
      <c r="W399" s="133" t="str">
        <f t="shared" ref="W399:W408" si="185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6"/>
        <v>0</v>
      </c>
      <c r="N400" s="130">
        <f t="shared" si="183"/>
        <v>0</v>
      </c>
      <c r="O400" s="415"/>
      <c r="P400" s="415"/>
      <c r="Q400" s="415"/>
      <c r="R400" s="415"/>
      <c r="S400" s="415"/>
      <c r="T400" s="415"/>
      <c r="U400" s="41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6"/>
        <v>0</v>
      </c>
      <c r="N401" s="130">
        <f t="shared" si="183"/>
        <v>0</v>
      </c>
      <c r="O401" s="415"/>
      <c r="P401" s="415"/>
      <c r="Q401" s="415"/>
      <c r="R401" s="415"/>
      <c r="S401" s="415"/>
      <c r="T401" s="415"/>
      <c r="U401" s="41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15"/>
      <c r="P402" s="415"/>
      <c r="Q402" s="415"/>
      <c r="R402" s="415"/>
      <c r="S402" s="415"/>
      <c r="T402" s="415"/>
      <c r="U402" s="41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15"/>
      <c r="P403" s="415"/>
      <c r="Q403" s="415"/>
      <c r="R403" s="415"/>
      <c r="S403" s="415"/>
      <c r="T403" s="415"/>
      <c r="U403" s="41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15"/>
      <c r="P404" s="415"/>
      <c r="Q404" s="415"/>
      <c r="R404" s="415"/>
      <c r="S404" s="415"/>
      <c r="T404" s="415"/>
      <c r="U404" s="41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15"/>
      <c r="P405" s="415"/>
      <c r="Q405" s="415"/>
      <c r="R405" s="415"/>
      <c r="S405" s="415"/>
      <c r="T405" s="415"/>
      <c r="U405" s="41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15"/>
      <c r="P406" s="415"/>
      <c r="Q406" s="415"/>
      <c r="R406" s="415"/>
      <c r="S406" s="415"/>
      <c r="T406" s="415"/>
      <c r="U406" s="41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3">
        <f t="shared" si="171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6"/>
        <v>0</v>
      </c>
      <c r="N407" s="130">
        <f t="shared" si="183"/>
        <v>0</v>
      </c>
      <c r="O407" s="415"/>
      <c r="P407" s="415"/>
      <c r="Q407" s="415"/>
      <c r="R407" s="415"/>
      <c r="S407" s="415"/>
      <c r="T407" s="415"/>
      <c r="U407" s="415"/>
      <c r="V407" s="132">
        <f t="shared" si="184"/>
        <v>0</v>
      </c>
      <c r="W407" s="133" t="str">
        <f t="shared" si="185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3">
        <f t="shared" si="171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6"/>
        <v>0</v>
      </c>
      <c r="N408" s="130">
        <f t="shared" si="183"/>
        <v>0</v>
      </c>
      <c r="O408" s="415"/>
      <c r="P408" s="415"/>
      <c r="Q408" s="415"/>
      <c r="R408" s="415"/>
      <c r="S408" s="415"/>
      <c r="T408" s="415"/>
      <c r="U408" s="415"/>
      <c r="V408" s="132">
        <f t="shared" si="184"/>
        <v>0</v>
      </c>
      <c r="W408" s="133" t="str">
        <f t="shared" si="185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3">
        <f t="shared" si="171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15"/>
      <c r="P409" s="415"/>
      <c r="Q409" s="415"/>
      <c r="R409" s="415"/>
      <c r="S409" s="415"/>
      <c r="T409" s="415"/>
      <c r="U409" s="415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3">
        <f t="shared" si="171"/>
        <v>0</v>
      </c>
      <c r="I410" s="129"/>
      <c r="J410" s="130"/>
      <c r="K410" s="131"/>
      <c r="L410" s="129">
        <v>50</v>
      </c>
      <c r="M410" s="109"/>
      <c r="N410" s="130"/>
      <c r="O410" s="415"/>
      <c r="P410" s="415"/>
      <c r="Q410" s="415"/>
      <c r="R410" s="415"/>
      <c r="S410" s="415"/>
      <c r="T410" s="415"/>
      <c r="U410" s="415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3">
        <f t="shared" si="171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6">IF(ISERROR(I411-K411),"",I411-K411)</f>
        <v>0</v>
      </c>
      <c r="N411" s="130">
        <f t="shared" ref="N411:N412" si="187">SUM(O411:U411)</f>
        <v>0</v>
      </c>
      <c r="O411" s="415"/>
      <c r="P411" s="415"/>
      <c r="Q411" s="415"/>
      <c r="R411" s="415"/>
      <c r="S411" s="415"/>
      <c r="T411" s="415"/>
      <c r="U411" s="415"/>
      <c r="V411" s="132">
        <f t="shared" ref="V411:V412" si="188">SUM(X411:AA411)</f>
        <v>0</v>
      </c>
      <c r="W411" s="133" t="str">
        <f t="shared" ref="W411:W412" si="189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3">
        <f t="shared" si="171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6"/>
        <v>0</v>
      </c>
      <c r="N412" s="130">
        <f t="shared" si="187"/>
        <v>0</v>
      </c>
      <c r="O412" s="415"/>
      <c r="P412" s="415"/>
      <c r="Q412" s="415"/>
      <c r="R412" s="415"/>
      <c r="S412" s="415"/>
      <c r="T412" s="415"/>
      <c r="U412" s="415"/>
      <c r="V412" s="132">
        <f t="shared" si="188"/>
        <v>0</v>
      </c>
      <c r="W412" s="133" t="str">
        <f t="shared" si="189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3">
        <f t="shared" si="171"/>
        <v>0</v>
      </c>
      <c r="I413" s="129"/>
      <c r="J413" s="130"/>
      <c r="K413" s="131"/>
      <c r="L413" s="129"/>
      <c r="M413" s="109"/>
      <c r="N413" s="130"/>
      <c r="O413" s="415"/>
      <c r="P413" s="415"/>
      <c r="Q413" s="415"/>
      <c r="R413" s="415"/>
      <c r="S413" s="415"/>
      <c r="T413" s="415"/>
      <c r="U413" s="415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0">IF(ISERROR(I414-K414),"",I414-K414)</f>
        <v/>
      </c>
      <c r="N414" s="130">
        <f t="shared" ref="N414:N417" si="191">SUM(O414:U414)</f>
        <v>0</v>
      </c>
      <c r="O414" s="415"/>
      <c r="P414" s="415"/>
      <c r="Q414" s="415"/>
      <c r="R414" s="415"/>
      <c r="S414" s="415"/>
      <c r="T414" s="415"/>
      <c r="U414" s="415"/>
      <c r="V414" s="132">
        <f t="shared" ref="V414:V417" si="192">SUM(X414:AA414)</f>
        <v>0</v>
      </c>
      <c r="W414" s="133" t="str">
        <f t="shared" ref="W414:W417" si="193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15"/>
      <c r="P415" s="415"/>
      <c r="Q415" s="415"/>
      <c r="R415" s="415"/>
      <c r="S415" s="415"/>
      <c r="T415" s="415"/>
      <c r="U415" s="41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3">
        <f t="shared" si="171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0"/>
        <v/>
      </c>
      <c r="N416" s="130">
        <f t="shared" si="191"/>
        <v>0</v>
      </c>
      <c r="O416" s="415"/>
      <c r="P416" s="415"/>
      <c r="Q416" s="415"/>
      <c r="R416" s="415"/>
      <c r="S416" s="415"/>
      <c r="T416" s="415"/>
      <c r="U416" s="415"/>
      <c r="V416" s="132">
        <f t="shared" si="192"/>
        <v>0</v>
      </c>
      <c r="W416" s="133" t="str">
        <f t="shared" si="193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3">
        <f t="shared" si="171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0"/>
        <v/>
      </c>
      <c r="N417" s="130">
        <f t="shared" si="191"/>
        <v>0</v>
      </c>
      <c r="O417" s="415"/>
      <c r="P417" s="415"/>
      <c r="Q417" s="415"/>
      <c r="R417" s="415"/>
      <c r="S417" s="415"/>
      <c r="T417" s="415"/>
      <c r="U417" s="415"/>
      <c r="V417" s="132">
        <f t="shared" si="192"/>
        <v>0</v>
      </c>
      <c r="W417" s="133" t="str">
        <f t="shared" si="193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15"/>
      <c r="P418" s="415"/>
      <c r="Q418" s="415"/>
      <c r="R418" s="415"/>
      <c r="S418" s="415"/>
      <c r="T418" s="415"/>
      <c r="U418" s="41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15"/>
      <c r="P419" s="415"/>
      <c r="Q419" s="415"/>
      <c r="R419" s="415"/>
      <c r="S419" s="415"/>
      <c r="T419" s="415"/>
      <c r="U419" s="41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0"/>
        <v>0</v>
      </c>
      <c r="N420" s="130"/>
      <c r="O420" s="415"/>
      <c r="P420" s="415"/>
      <c r="Q420" s="415"/>
      <c r="R420" s="415"/>
      <c r="S420" s="415"/>
      <c r="T420" s="415"/>
      <c r="U420" s="41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0"/>
        <v>0</v>
      </c>
      <c r="N421" s="130"/>
      <c r="O421" s="415"/>
      <c r="P421" s="415"/>
      <c r="Q421" s="415"/>
      <c r="R421" s="415"/>
      <c r="S421" s="415"/>
      <c r="T421" s="415"/>
      <c r="U421" s="41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15"/>
      <c r="P422" s="415"/>
      <c r="Q422" s="415"/>
      <c r="R422" s="415"/>
      <c r="S422" s="415"/>
      <c r="T422" s="415"/>
      <c r="U422" s="41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15"/>
      <c r="P423" s="415"/>
      <c r="Q423" s="415"/>
      <c r="R423" s="415"/>
      <c r="S423" s="415"/>
      <c r="T423" s="415"/>
      <c r="U423" s="41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15"/>
      <c r="P424" s="415"/>
      <c r="Q424" s="415"/>
      <c r="R424" s="415"/>
      <c r="S424" s="415"/>
      <c r="T424" s="415"/>
      <c r="U424" s="41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15"/>
      <c r="P425" s="415"/>
      <c r="Q425" s="415"/>
      <c r="R425" s="415"/>
      <c r="S425" s="415"/>
      <c r="T425" s="415"/>
      <c r="U425" s="41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3">
        <f t="shared" si="171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0"/>
        <v>0</v>
      </c>
      <c r="N426" s="130"/>
      <c r="O426" s="415"/>
      <c r="P426" s="415"/>
      <c r="Q426" s="415"/>
      <c r="R426" s="415"/>
      <c r="S426" s="415"/>
      <c r="T426" s="415"/>
      <c r="U426" s="415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3">
        <f t="shared" si="171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0"/>
        <v>0</v>
      </c>
      <c r="N427" s="130"/>
      <c r="O427" s="415"/>
      <c r="P427" s="415"/>
      <c r="Q427" s="415"/>
      <c r="R427" s="415"/>
      <c r="S427" s="415"/>
      <c r="T427" s="415"/>
      <c r="U427" s="415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21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4">SUM(M371:M427)</f>
        <v>0</v>
      </c>
      <c r="N428" s="146">
        <f t="shared" si="194"/>
        <v>0</v>
      </c>
      <c r="O428" s="148">
        <f t="shared" si="194"/>
        <v>0</v>
      </c>
      <c r="P428" s="148">
        <f t="shared" si="194"/>
        <v>0</v>
      </c>
      <c r="Q428" s="148">
        <f t="shared" si="194"/>
        <v>0</v>
      </c>
      <c r="R428" s="148">
        <f t="shared" si="194"/>
        <v>0</v>
      </c>
      <c r="S428" s="148">
        <f t="shared" si="194"/>
        <v>0</v>
      </c>
      <c r="T428" s="148">
        <f t="shared" si="194"/>
        <v>0</v>
      </c>
      <c r="U428" s="148">
        <f t="shared" si="194"/>
        <v>0</v>
      </c>
      <c r="V428" s="149">
        <f t="shared" si="194"/>
        <v>0</v>
      </c>
      <c r="W428" s="133" t="str">
        <f t="shared" ref="W428:W435" si="195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14" t="s">
        <v>217</v>
      </c>
      <c r="C429" s="126" t="s">
        <v>179</v>
      </c>
      <c r="D429" s="108">
        <v>5.03</v>
      </c>
      <c r="E429" s="108"/>
      <c r="F429" s="127"/>
      <c r="G429" s="128"/>
      <c r="H429" s="423">
        <f t="shared" ref="H429:H462" si="196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7">IF(ISERROR(I429-K429),"",I429-K429)</f>
        <v>0</v>
      </c>
      <c r="N429" s="130">
        <f t="shared" ref="N429:N436" si="198">SUM(O429:U429)</f>
        <v>0</v>
      </c>
      <c r="O429" s="415"/>
      <c r="P429" s="415"/>
      <c r="Q429" s="415"/>
      <c r="R429" s="415"/>
      <c r="S429" s="415"/>
      <c r="T429" s="415"/>
      <c r="U429" s="415"/>
      <c r="V429" s="132">
        <f t="shared" ref="V429:V435" si="199">SUM(X429:AA429)</f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14" t="s">
        <v>217</v>
      </c>
      <c r="C430" s="126" t="s">
        <v>186</v>
      </c>
      <c r="D430" s="108">
        <v>5.03</v>
      </c>
      <c r="E430" s="108"/>
      <c r="F430" s="127"/>
      <c r="G430" s="128"/>
      <c r="H430" s="42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7"/>
        <v>0</v>
      </c>
      <c r="N430" s="130">
        <f t="shared" si="198"/>
        <v>0</v>
      </c>
      <c r="O430" s="415"/>
      <c r="P430" s="415"/>
      <c r="Q430" s="415"/>
      <c r="R430" s="415"/>
      <c r="S430" s="415"/>
      <c r="T430" s="415"/>
      <c r="U430" s="41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14" t="s">
        <v>217</v>
      </c>
      <c r="C431" s="126" t="s">
        <v>204</v>
      </c>
      <c r="D431" s="108">
        <v>5.03</v>
      </c>
      <c r="E431" s="108"/>
      <c r="F431" s="127"/>
      <c r="G431" s="128"/>
      <c r="H431" s="42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7"/>
        <v>0</v>
      </c>
      <c r="N431" s="130">
        <f t="shared" si="198"/>
        <v>0</v>
      </c>
      <c r="O431" s="415"/>
      <c r="P431" s="415"/>
      <c r="Q431" s="415"/>
      <c r="R431" s="415"/>
      <c r="S431" s="415"/>
      <c r="T431" s="415"/>
      <c r="U431" s="41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15"/>
      <c r="P432" s="415"/>
      <c r="Q432" s="415"/>
      <c r="R432" s="415"/>
      <c r="S432" s="415"/>
      <c r="T432" s="415"/>
      <c r="U432" s="41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15"/>
      <c r="P433" s="415"/>
      <c r="Q433" s="415"/>
      <c r="R433" s="415"/>
      <c r="S433" s="415"/>
      <c r="T433" s="415"/>
      <c r="U433" s="41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3">
        <f t="shared" si="196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15"/>
      <c r="P434" s="415"/>
      <c r="Q434" s="415"/>
      <c r="R434" s="415"/>
      <c r="S434" s="415"/>
      <c r="T434" s="415"/>
      <c r="U434" s="415"/>
      <c r="V434" s="132">
        <f t="shared" si="199"/>
        <v>0</v>
      </c>
      <c r="W434" s="133" t="str">
        <f t="shared" si="195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2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7"/>
        <v>0</v>
      </c>
      <c r="N435" s="130">
        <f t="shared" si="198"/>
        <v>0</v>
      </c>
      <c r="O435" s="415"/>
      <c r="P435" s="415"/>
      <c r="Q435" s="415"/>
      <c r="R435" s="415"/>
      <c r="S435" s="415"/>
      <c r="T435" s="415"/>
      <c r="U435" s="415"/>
      <c r="V435" s="132">
        <f t="shared" si="199"/>
        <v>0</v>
      </c>
      <c r="W435" s="133" t="str">
        <f t="shared" si="195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3">
        <f t="shared" si="196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7"/>
        <v>0</v>
      </c>
      <c r="N436" s="130">
        <f t="shared" si="198"/>
        <v>0</v>
      </c>
      <c r="O436" s="415"/>
      <c r="P436" s="415"/>
      <c r="Q436" s="415"/>
      <c r="R436" s="415"/>
      <c r="S436" s="415"/>
      <c r="T436" s="415"/>
      <c r="U436" s="415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5"/>
      <c r="P437" s="415"/>
      <c r="Q437" s="415"/>
      <c r="R437" s="415"/>
      <c r="S437" s="415"/>
      <c r="T437" s="415"/>
      <c r="U437" s="41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5"/>
      <c r="P438" s="415"/>
      <c r="Q438" s="415"/>
      <c r="R438" s="415"/>
      <c r="S438" s="415"/>
      <c r="T438" s="415"/>
      <c r="U438" s="41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15"/>
      <c r="P439" s="415"/>
      <c r="Q439" s="415"/>
      <c r="R439" s="415"/>
      <c r="S439" s="415"/>
      <c r="T439" s="415"/>
      <c r="U439" s="415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3">
        <f t="shared" si="196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15"/>
      <c r="P440" s="415"/>
      <c r="Q440" s="415"/>
      <c r="R440" s="415"/>
      <c r="S440" s="415"/>
      <c r="T440" s="415"/>
      <c r="U440" s="415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3">
        <f t="shared" si="196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0">IF(ISERROR(I441-K441),"",I441-K441)</f>
        <v>0</v>
      </c>
      <c r="N441" s="130">
        <f t="shared" ref="N441:N456" si="201">SUM(O441:U441)</f>
        <v>0</v>
      </c>
      <c r="O441" s="415"/>
      <c r="P441" s="415"/>
      <c r="Q441" s="415"/>
      <c r="R441" s="415"/>
      <c r="S441" s="415"/>
      <c r="T441" s="415"/>
      <c r="U441" s="415"/>
      <c r="V441" s="132">
        <f t="shared" ref="V441:V444" si="202">SUM(X441:AA441)</f>
        <v>0</v>
      </c>
      <c r="W441" s="133" t="str">
        <f t="shared" ref="W441:W448" si="203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15"/>
      <c r="P442" s="415"/>
      <c r="Q442" s="415"/>
      <c r="R442" s="415"/>
      <c r="S442" s="415"/>
      <c r="T442" s="415"/>
      <c r="U442" s="41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3">
        <f t="shared" si="196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0"/>
        <v/>
      </c>
      <c r="N443" s="130">
        <f t="shared" si="201"/>
        <v>0</v>
      </c>
      <c r="O443" s="415"/>
      <c r="P443" s="415"/>
      <c r="Q443" s="415"/>
      <c r="R443" s="415"/>
      <c r="S443" s="415"/>
      <c r="T443" s="415"/>
      <c r="U443" s="415"/>
      <c r="V443" s="132">
        <f t="shared" si="202"/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3">
        <f t="shared" si="196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0"/>
        <v/>
      </c>
      <c r="N444" s="130">
        <f t="shared" si="201"/>
        <v>0</v>
      </c>
      <c r="O444" s="415"/>
      <c r="P444" s="415"/>
      <c r="Q444" s="415"/>
      <c r="R444" s="415"/>
      <c r="S444" s="415"/>
      <c r="T444" s="415"/>
      <c r="U444" s="415"/>
      <c r="V444" s="132">
        <f t="shared" si="202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14" t="s">
        <v>222</v>
      </c>
      <c r="C445" s="126" t="s">
        <v>181</v>
      </c>
      <c r="D445" s="108">
        <v>9.36</v>
      </c>
      <c r="E445" s="108"/>
      <c r="F445" s="127"/>
      <c r="G445" s="128"/>
      <c r="H445" s="42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15"/>
      <c r="P445" s="415"/>
      <c r="Q445" s="415"/>
      <c r="R445" s="415"/>
      <c r="S445" s="415"/>
      <c r="T445" s="415"/>
      <c r="U445" s="415"/>
      <c r="V445" s="132">
        <f t="shared" ref="V445:V448" si="204">SUM(X445:AA445)</f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14" t="s">
        <v>222</v>
      </c>
      <c r="C446" s="126" t="s">
        <v>179</v>
      </c>
      <c r="D446" s="108">
        <v>9.36</v>
      </c>
      <c r="E446" s="108"/>
      <c r="F446" s="127"/>
      <c r="G446" s="128"/>
      <c r="H446" s="42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15"/>
      <c r="P446" s="415"/>
      <c r="Q446" s="415"/>
      <c r="R446" s="415"/>
      <c r="S446" s="415"/>
      <c r="T446" s="415"/>
      <c r="U446" s="41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14" t="s">
        <v>222</v>
      </c>
      <c r="C447" s="126" t="s">
        <v>221</v>
      </c>
      <c r="D447" s="108">
        <v>9.36</v>
      </c>
      <c r="E447" s="108"/>
      <c r="F447" s="127"/>
      <c r="G447" s="128"/>
      <c r="H447" s="423">
        <f t="shared" si="196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0"/>
        <v>0</v>
      </c>
      <c r="N447" s="130">
        <f t="shared" si="201"/>
        <v>0</v>
      </c>
      <c r="O447" s="415"/>
      <c r="P447" s="415"/>
      <c r="Q447" s="415"/>
      <c r="R447" s="415"/>
      <c r="S447" s="415"/>
      <c r="T447" s="415"/>
      <c r="U447" s="415"/>
      <c r="V447" s="132">
        <f t="shared" si="204"/>
        <v>0</v>
      </c>
      <c r="W447" s="133" t="str">
        <f t="shared" si="203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14" t="s">
        <v>222</v>
      </c>
      <c r="C448" s="126" t="s">
        <v>186</v>
      </c>
      <c r="D448" s="108">
        <v>9.36</v>
      </c>
      <c r="E448" s="108"/>
      <c r="F448" s="127"/>
      <c r="G448" s="128"/>
      <c r="H448" s="423">
        <f t="shared" si="196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0"/>
        <v>0</v>
      </c>
      <c r="N448" s="130">
        <f t="shared" si="201"/>
        <v>0</v>
      </c>
      <c r="O448" s="415"/>
      <c r="P448" s="415"/>
      <c r="Q448" s="415"/>
      <c r="R448" s="415"/>
      <c r="S448" s="415"/>
      <c r="T448" s="415"/>
      <c r="U448" s="415"/>
      <c r="V448" s="132">
        <f t="shared" si="204"/>
        <v>0</v>
      </c>
      <c r="W448" s="133" t="str">
        <f t="shared" si="203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14" t="s">
        <v>393</v>
      </c>
      <c r="C449" s="187" t="s">
        <v>395</v>
      </c>
      <c r="D449" s="108">
        <v>5</v>
      </c>
      <c r="E449" s="108"/>
      <c r="F449" s="127"/>
      <c r="G449" s="128"/>
      <c r="H449" s="42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15"/>
      <c r="P449" s="415"/>
      <c r="Q449" s="415"/>
      <c r="R449" s="415"/>
      <c r="S449" s="415"/>
      <c r="T449" s="415"/>
      <c r="U449" s="41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14" t="s">
        <v>393</v>
      </c>
      <c r="C450" s="187" t="s">
        <v>402</v>
      </c>
      <c r="D450" s="108">
        <v>5</v>
      </c>
      <c r="E450" s="108"/>
      <c r="F450" s="127"/>
      <c r="G450" s="128"/>
      <c r="H450" s="42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15"/>
      <c r="P450" s="415"/>
      <c r="Q450" s="415"/>
      <c r="R450" s="415"/>
      <c r="S450" s="415"/>
      <c r="T450" s="415"/>
      <c r="U450" s="41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14" t="s">
        <v>404</v>
      </c>
      <c r="C451" s="187" t="s">
        <v>405</v>
      </c>
      <c r="D451" s="108">
        <v>5</v>
      </c>
      <c r="E451" s="108"/>
      <c r="F451" s="127"/>
      <c r="G451" s="128"/>
      <c r="H451" s="42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15"/>
      <c r="P451" s="415"/>
      <c r="Q451" s="415"/>
      <c r="R451" s="415"/>
      <c r="S451" s="415"/>
      <c r="T451" s="415"/>
      <c r="U451" s="41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14" t="s">
        <v>342</v>
      </c>
      <c r="C452" s="187" t="s">
        <v>372</v>
      </c>
      <c r="D452" s="108">
        <v>5</v>
      </c>
      <c r="E452" s="108"/>
      <c r="F452" s="127"/>
      <c r="G452" s="128"/>
      <c r="H452" s="42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15"/>
      <c r="P452" s="415"/>
      <c r="Q452" s="415"/>
      <c r="R452" s="415"/>
      <c r="S452" s="415"/>
      <c r="T452" s="415"/>
      <c r="U452" s="41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14" t="s">
        <v>343</v>
      </c>
      <c r="C453" s="126" t="s">
        <v>345</v>
      </c>
      <c r="D453" s="108">
        <v>5</v>
      </c>
      <c r="E453" s="108"/>
      <c r="F453" s="127"/>
      <c r="G453" s="128"/>
      <c r="H453" s="423">
        <f t="shared" si="196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0"/>
        <v>0</v>
      </c>
      <c r="N453" s="130">
        <f t="shared" si="201"/>
        <v>0</v>
      </c>
      <c r="O453" s="415"/>
      <c r="P453" s="415"/>
      <c r="Q453" s="415"/>
      <c r="R453" s="415"/>
      <c r="S453" s="415"/>
      <c r="T453" s="415"/>
      <c r="U453" s="415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14" t="s">
        <v>343</v>
      </c>
      <c r="C454" s="126" t="s">
        <v>347</v>
      </c>
      <c r="D454" s="108">
        <v>5</v>
      </c>
      <c r="E454" s="108"/>
      <c r="F454" s="127"/>
      <c r="G454" s="128"/>
      <c r="H454" s="423">
        <f t="shared" si="196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0"/>
        <v>0</v>
      </c>
      <c r="N454" s="130">
        <f t="shared" si="201"/>
        <v>0</v>
      </c>
      <c r="O454" s="415"/>
      <c r="P454" s="415"/>
      <c r="Q454" s="415"/>
      <c r="R454" s="415"/>
      <c r="S454" s="415"/>
      <c r="T454" s="415"/>
      <c r="U454" s="415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3">
        <f t="shared" si="196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0"/>
        <v>0</v>
      </c>
      <c r="N455" s="130">
        <f t="shared" si="201"/>
        <v>0</v>
      </c>
      <c r="O455" s="415"/>
      <c r="P455" s="415"/>
      <c r="Q455" s="415"/>
      <c r="R455" s="415"/>
      <c r="S455" s="415"/>
      <c r="T455" s="415"/>
      <c r="U455" s="415"/>
      <c r="V455" s="132">
        <f t="shared" ref="V455:V456" si="205">SUM(X455:AA455)</f>
        <v>0</v>
      </c>
      <c r="W455" s="133" t="str">
        <f t="shared" ref="W455:W456" si="206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3">
        <f t="shared" si="196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0"/>
        <v>0</v>
      </c>
      <c r="N456" s="130">
        <f t="shared" si="201"/>
        <v>0</v>
      </c>
      <c r="O456" s="415"/>
      <c r="P456" s="415"/>
      <c r="Q456" s="415"/>
      <c r="R456" s="415"/>
      <c r="S456" s="415"/>
      <c r="T456" s="415"/>
      <c r="U456" s="415"/>
      <c r="V456" s="132">
        <f t="shared" si="205"/>
        <v>0</v>
      </c>
      <c r="W456" s="133" t="str">
        <f t="shared" si="206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15"/>
      <c r="P457" s="415"/>
      <c r="Q457" s="415"/>
      <c r="R457" s="415"/>
      <c r="S457" s="415"/>
      <c r="T457" s="415"/>
      <c r="U457" s="41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3">
        <f t="shared" si="196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0"/>
        <v>0</v>
      </c>
      <c r="N458" s="130"/>
      <c r="O458" s="415"/>
      <c r="P458" s="415"/>
      <c r="Q458" s="415"/>
      <c r="R458" s="415"/>
      <c r="S458" s="415"/>
      <c r="T458" s="415"/>
      <c r="U458" s="415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3">
        <f t="shared" si="196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0"/>
        <v>0</v>
      </c>
      <c r="N459" s="130"/>
      <c r="O459" s="415"/>
      <c r="P459" s="415"/>
      <c r="Q459" s="415"/>
      <c r="R459" s="415"/>
      <c r="S459" s="415"/>
      <c r="T459" s="415"/>
      <c r="U459" s="415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3">
        <f t="shared" si="196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ref="N460:N462" si="207">SUM(O460:U460)</f>
        <v>0</v>
      </c>
      <c r="O460" s="415"/>
      <c r="P460" s="415"/>
      <c r="Q460" s="415"/>
      <c r="R460" s="415"/>
      <c r="S460" s="415"/>
      <c r="T460" s="415"/>
      <c r="U460" s="415"/>
      <c r="V460" s="132">
        <f t="shared" ref="V460:V462" si="208">SUM(X460:AA460)</f>
        <v>0</v>
      </c>
      <c r="W460" s="133" t="str">
        <f t="shared" ref="W460:W484" si="209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3">
        <f t="shared" si="196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0"/>
        <v>0</v>
      </c>
      <c r="N461" s="130">
        <f t="shared" si="207"/>
        <v>0</v>
      </c>
      <c r="O461" s="415"/>
      <c r="P461" s="415"/>
      <c r="Q461" s="415"/>
      <c r="R461" s="415"/>
      <c r="S461" s="415"/>
      <c r="T461" s="415"/>
      <c r="U461" s="415"/>
      <c r="V461" s="132">
        <f t="shared" si="208"/>
        <v>0</v>
      </c>
      <c r="W461" s="133" t="str">
        <f t="shared" si="209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3">
        <f t="shared" si="196"/>
        <v>0</v>
      </c>
      <c r="I462" s="129"/>
      <c r="J462" s="130" t="str">
        <f t="array" ref="J462">IF(ISERROR(G462/I462),"",G462/I462)</f>
        <v/>
      </c>
      <c r="K462" s="423">
        <f t="array" ref="K462">IF(ISERROR(G462/L462),"",G462/L462)</f>
        <v>0</v>
      </c>
      <c r="L462" s="129">
        <v>9</v>
      </c>
      <c r="M462" s="109">
        <f t="shared" si="200"/>
        <v>0</v>
      </c>
      <c r="N462" s="130">
        <f t="shared" si="207"/>
        <v>0</v>
      </c>
      <c r="O462" s="415"/>
      <c r="P462" s="415"/>
      <c r="Q462" s="415"/>
      <c r="R462" s="415"/>
      <c r="S462" s="415"/>
      <c r="T462" s="415"/>
      <c r="U462" s="415"/>
      <c r="V462" s="132">
        <f t="shared" si="208"/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618" t="s">
        <v>224</v>
      </c>
      <c r="B463" s="619"/>
      <c r="C463" s="421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0">SUM(M429:M462)</f>
        <v>0</v>
      </c>
      <c r="N463" s="146">
        <f t="shared" si="210"/>
        <v>0</v>
      </c>
      <c r="O463" s="148">
        <f t="shared" si="210"/>
        <v>0</v>
      </c>
      <c r="P463" s="148">
        <f t="shared" si="210"/>
        <v>0</v>
      </c>
      <c r="Q463" s="148">
        <f t="shared" si="210"/>
        <v>0</v>
      </c>
      <c r="R463" s="148">
        <f t="shared" si="210"/>
        <v>0</v>
      </c>
      <c r="S463" s="148">
        <f t="shared" si="210"/>
        <v>0</v>
      </c>
      <c r="T463" s="148">
        <f t="shared" si="210"/>
        <v>0</v>
      </c>
      <c r="U463" s="148">
        <f t="shared" si="210"/>
        <v>0</v>
      </c>
      <c r="V463" s="149">
        <f t="shared" si="210"/>
        <v>0</v>
      </c>
      <c r="W463" s="133" t="str">
        <f t="shared" si="209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3">
        <f t="shared" ref="H464:H478" si="211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2">IF(ISERROR(I464-K464),"",I464-K464)</f>
        <v>0</v>
      </c>
      <c r="N464" s="130">
        <f t="shared" ref="N464:N478" si="213">SUM(O464:U464)</f>
        <v>0</v>
      </c>
      <c r="O464" s="415"/>
      <c r="P464" s="415"/>
      <c r="Q464" s="415"/>
      <c r="R464" s="415"/>
      <c r="S464" s="415"/>
      <c r="T464" s="415"/>
      <c r="U464" s="415"/>
      <c r="V464" s="132">
        <f t="shared" ref="V464:V478" si="214">SUM(X464:AA464)</f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2"/>
        <v>0</v>
      </c>
      <c r="N465" s="130">
        <f t="shared" si="213"/>
        <v>0</v>
      </c>
      <c r="O465" s="415"/>
      <c r="P465" s="415"/>
      <c r="Q465" s="415"/>
      <c r="R465" s="415"/>
      <c r="S465" s="415"/>
      <c r="T465" s="415"/>
      <c r="U465" s="41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2"/>
        <v>0</v>
      </c>
      <c r="N466" s="130">
        <f t="shared" si="213"/>
        <v>0</v>
      </c>
      <c r="O466" s="415"/>
      <c r="P466" s="415"/>
      <c r="Q466" s="415"/>
      <c r="R466" s="415"/>
      <c r="S466" s="415"/>
      <c r="T466" s="415"/>
      <c r="U466" s="41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15"/>
      <c r="P467" s="415"/>
      <c r="Q467" s="415"/>
      <c r="R467" s="415"/>
      <c r="S467" s="415"/>
      <c r="T467" s="415"/>
      <c r="U467" s="41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19" t="s">
        <v>203</v>
      </c>
      <c r="D468" s="108">
        <v>5.03</v>
      </c>
      <c r="E468" s="108"/>
      <c r="F468" s="127"/>
      <c r="G468" s="128"/>
      <c r="H468" s="42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15"/>
      <c r="P468" s="415"/>
      <c r="Q468" s="415"/>
      <c r="R468" s="415"/>
      <c r="S468" s="415"/>
      <c r="T468" s="415"/>
      <c r="U468" s="41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15"/>
      <c r="P469" s="415"/>
      <c r="Q469" s="415"/>
      <c r="R469" s="415"/>
      <c r="S469" s="415"/>
      <c r="T469" s="415"/>
      <c r="U469" s="41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3">
        <f t="shared" si="211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2"/>
        <v>0</v>
      </c>
      <c r="N470" s="130">
        <f t="shared" si="213"/>
        <v>0</v>
      </c>
      <c r="O470" s="415"/>
      <c r="P470" s="415"/>
      <c r="Q470" s="415"/>
      <c r="R470" s="415"/>
      <c r="S470" s="415"/>
      <c r="T470" s="415"/>
      <c r="U470" s="41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19" t="s">
        <v>228</v>
      </c>
      <c r="D471" s="108">
        <v>5.03</v>
      </c>
      <c r="E471" s="108"/>
      <c r="F471" s="127"/>
      <c r="G471" s="128"/>
      <c r="H471" s="423">
        <f t="shared" si="211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2"/>
        <v>0</v>
      </c>
      <c r="N471" s="130">
        <f t="shared" si="213"/>
        <v>0</v>
      </c>
      <c r="O471" s="415"/>
      <c r="P471" s="415"/>
      <c r="Q471" s="415"/>
      <c r="R471" s="415"/>
      <c r="S471" s="415"/>
      <c r="T471" s="415"/>
      <c r="U471" s="41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19" t="s">
        <v>212</v>
      </c>
      <c r="D472" s="108">
        <v>5.03</v>
      </c>
      <c r="E472" s="108"/>
      <c r="F472" s="127"/>
      <c r="G472" s="128"/>
      <c r="H472" s="42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15"/>
      <c r="P472" s="415"/>
      <c r="Q472" s="415"/>
      <c r="R472" s="415"/>
      <c r="S472" s="415"/>
      <c r="T472" s="415"/>
      <c r="U472" s="41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19" t="s">
        <v>203</v>
      </c>
      <c r="D473" s="108">
        <v>5.03</v>
      </c>
      <c r="E473" s="108"/>
      <c r="F473" s="127"/>
      <c r="G473" s="128"/>
      <c r="H473" s="42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15"/>
      <c r="P473" s="415"/>
      <c r="Q473" s="415"/>
      <c r="R473" s="415"/>
      <c r="S473" s="415"/>
      <c r="T473" s="415"/>
      <c r="U473" s="41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19" t="s">
        <v>186</v>
      </c>
      <c r="D474" s="108">
        <v>5.03</v>
      </c>
      <c r="E474" s="108"/>
      <c r="F474" s="127"/>
      <c r="G474" s="128"/>
      <c r="H474" s="42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15"/>
      <c r="P474" s="415"/>
      <c r="Q474" s="415"/>
      <c r="R474" s="415"/>
      <c r="S474" s="415"/>
      <c r="T474" s="415"/>
      <c r="U474" s="41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19" t="s">
        <v>228</v>
      </c>
      <c r="D475" s="108">
        <v>5.03</v>
      </c>
      <c r="E475" s="108"/>
      <c r="F475" s="127"/>
      <c r="G475" s="128"/>
      <c r="H475" s="423">
        <f t="shared" si="211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2"/>
        <v/>
      </c>
      <c r="N475" s="130">
        <f t="shared" si="213"/>
        <v>0</v>
      </c>
      <c r="O475" s="415"/>
      <c r="P475" s="415"/>
      <c r="Q475" s="415"/>
      <c r="R475" s="415"/>
      <c r="S475" s="415"/>
      <c r="T475" s="415"/>
      <c r="U475" s="41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19" t="s">
        <v>199</v>
      </c>
      <c r="D476" s="108">
        <v>5.03</v>
      </c>
      <c r="E476" s="108"/>
      <c r="F476" s="127"/>
      <c r="G476" s="128"/>
      <c r="H476" s="423">
        <f t="shared" si="211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2"/>
        <v/>
      </c>
      <c r="N476" s="130">
        <f t="shared" si="213"/>
        <v>0</v>
      </c>
      <c r="O476" s="415"/>
      <c r="P476" s="415"/>
      <c r="Q476" s="415"/>
      <c r="R476" s="415"/>
      <c r="S476" s="415"/>
      <c r="T476" s="415"/>
      <c r="U476" s="41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3">
        <f t="shared" si="211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2"/>
        <v>0</v>
      </c>
      <c r="N477" s="130">
        <f t="shared" si="213"/>
        <v>0</v>
      </c>
      <c r="O477" s="415"/>
      <c r="P477" s="415"/>
      <c r="Q477" s="415"/>
      <c r="R477" s="415"/>
      <c r="S477" s="415"/>
      <c r="T477" s="415"/>
      <c r="U477" s="415"/>
      <c r="V477" s="132">
        <f t="shared" si="214"/>
        <v>0</v>
      </c>
      <c r="W477" s="133" t="str">
        <f t="shared" si="209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3">
        <f t="shared" si="211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2"/>
        <v>0</v>
      </c>
      <c r="N478" s="130">
        <f t="shared" si="213"/>
        <v>0</v>
      </c>
      <c r="O478" s="415"/>
      <c r="P478" s="415"/>
      <c r="Q478" s="415"/>
      <c r="R478" s="415"/>
      <c r="S478" s="415"/>
      <c r="T478" s="415"/>
      <c r="U478" s="415"/>
      <c r="V478" s="132">
        <f t="shared" si="214"/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421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9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3">
        <f t="shared" ref="H480:H489" si="215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6">IF(ISERROR(I480-K480),"",I480-K480)</f>
        <v>0</v>
      </c>
      <c r="N480" s="130">
        <f t="shared" ref="N480:N484" si="217">SUM(O480:U480)</f>
        <v>0</v>
      </c>
      <c r="O480" s="415"/>
      <c r="P480" s="415"/>
      <c r="Q480" s="415"/>
      <c r="R480" s="415"/>
      <c r="S480" s="415"/>
      <c r="T480" s="415"/>
      <c r="U480" s="415"/>
      <c r="V480" s="132">
        <f t="shared" ref="V480:V484" si="218">SUM(X480:AA480)</f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15"/>
      <c r="P481" s="415"/>
      <c r="Q481" s="415"/>
      <c r="R481" s="415"/>
      <c r="S481" s="415"/>
      <c r="T481" s="415"/>
      <c r="U481" s="41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15"/>
      <c r="P482" s="415"/>
      <c r="Q482" s="415"/>
      <c r="R482" s="415"/>
      <c r="S482" s="415"/>
      <c r="T482" s="415"/>
      <c r="U482" s="41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3">
        <f t="shared" si="215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6"/>
        <v>0</v>
      </c>
      <c r="N483" s="130">
        <f t="shared" si="217"/>
        <v>0</v>
      </c>
      <c r="O483" s="415"/>
      <c r="P483" s="415"/>
      <c r="Q483" s="415"/>
      <c r="R483" s="415"/>
      <c r="S483" s="415"/>
      <c r="T483" s="415"/>
      <c r="U483" s="415"/>
      <c r="V483" s="132">
        <f t="shared" si="218"/>
        <v>0</v>
      </c>
      <c r="W483" s="133" t="str">
        <f t="shared" si="209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3">
        <f t="shared" si="215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6"/>
        <v>0</v>
      </c>
      <c r="N484" s="130">
        <f t="shared" si="217"/>
        <v>0</v>
      </c>
      <c r="O484" s="415"/>
      <c r="P484" s="415"/>
      <c r="Q484" s="415"/>
      <c r="R484" s="415"/>
      <c r="S484" s="415"/>
      <c r="T484" s="415"/>
      <c r="U484" s="415"/>
      <c r="V484" s="132">
        <f t="shared" si="218"/>
        <v>0</v>
      </c>
      <c r="W484" s="133" t="str">
        <f t="shared" si="209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3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15"/>
      <c r="P485" s="415"/>
      <c r="Q485" s="415"/>
      <c r="R485" s="415"/>
      <c r="S485" s="415"/>
      <c r="T485" s="415"/>
      <c r="U485" s="415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3">
        <f t="shared" si="215"/>
        <v>0</v>
      </c>
      <c r="I486" s="129"/>
      <c r="J486" s="130"/>
      <c r="K486" s="131"/>
      <c r="L486" s="129">
        <v>13.5</v>
      </c>
      <c r="M486" s="109"/>
      <c r="N486" s="130"/>
      <c r="O486" s="415"/>
      <c r="P486" s="415"/>
      <c r="Q486" s="415"/>
      <c r="R486" s="415"/>
      <c r="S486" s="415"/>
      <c r="T486" s="415"/>
      <c r="U486" s="415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3">
        <f t="shared" si="215"/>
        <v>0</v>
      </c>
      <c r="I487" s="129"/>
      <c r="J487" s="130"/>
      <c r="K487" s="131"/>
      <c r="L487" s="129">
        <v>13.5</v>
      </c>
      <c r="M487" s="109"/>
      <c r="N487" s="130"/>
      <c r="O487" s="415"/>
      <c r="P487" s="415"/>
      <c r="Q487" s="415"/>
      <c r="R487" s="415"/>
      <c r="S487" s="415"/>
      <c r="T487" s="415"/>
      <c r="U487" s="415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5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3">
        <f t="shared" si="21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9">IF(ISERROR(I489-K489),"",I489-K489)</f>
        <v>0</v>
      </c>
      <c r="N489" s="130">
        <f t="shared" ref="N489" si="220">SUM(O489:U489)</f>
        <v>0</v>
      </c>
      <c r="O489" s="415"/>
      <c r="P489" s="415"/>
      <c r="Q489" s="415"/>
      <c r="R489" s="415"/>
      <c r="S489" s="415"/>
      <c r="T489" s="415"/>
      <c r="U489" s="415"/>
      <c r="V489" s="132">
        <f t="shared" ref="V489" si="221">SUM(X489:AA489)</f>
        <v>0</v>
      </c>
      <c r="W489" s="133" t="str">
        <f t="shared" ref="W489:W494" si="222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421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2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13"/>
      <c r="D491" s="108">
        <v>3.65</v>
      </c>
      <c r="E491" s="108"/>
      <c r="F491" s="153"/>
      <c r="G491" s="128"/>
      <c r="H491" s="423">
        <f t="shared" ref="H491:H505" si="223">D491*G491</f>
        <v>0</v>
      </c>
      <c r="I491" s="129"/>
      <c r="J491" s="130" t="str">
        <f t="array" ref="J491">IF(ISERROR(G491/I491),"",G491/I491)</f>
        <v/>
      </c>
      <c r="K491" s="423">
        <f t="array" ref="K491">IF(ISERROR(G491/L491),"",G491/L491)</f>
        <v>0</v>
      </c>
      <c r="L491" s="129">
        <v>5</v>
      </c>
      <c r="M491" s="109">
        <f t="shared" ref="M491:M494" si="224">IF(ISERROR(I491-K491),"",I491-K491)</f>
        <v>0</v>
      </c>
      <c r="N491" s="130">
        <f t="shared" ref="N491:N494" si="225">SUM(O491:U491)</f>
        <v>0</v>
      </c>
      <c r="O491" s="415"/>
      <c r="P491" s="415"/>
      <c r="Q491" s="415"/>
      <c r="R491" s="415"/>
      <c r="S491" s="415"/>
      <c r="T491" s="415"/>
      <c r="U491" s="415"/>
      <c r="V491" s="132">
        <f t="shared" ref="V491:V494" si="226">SUM(X491:AA491)</f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13"/>
      <c r="D492" s="108">
        <v>6.58</v>
      </c>
      <c r="E492" s="108"/>
      <c r="F492" s="127"/>
      <c r="G492" s="128"/>
      <c r="H492" s="423">
        <f t="shared" si="223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4"/>
        <v>0</v>
      </c>
      <c r="N492" s="130">
        <f t="shared" si="225"/>
        <v>0</v>
      </c>
      <c r="O492" s="415"/>
      <c r="P492" s="415"/>
      <c r="Q492" s="415"/>
      <c r="R492" s="415"/>
      <c r="S492" s="415"/>
      <c r="T492" s="415"/>
      <c r="U492" s="415"/>
      <c r="V492" s="132">
        <f t="shared" si="226"/>
        <v>0</v>
      </c>
      <c r="W492" s="133" t="str">
        <f t="shared" si="222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13"/>
      <c r="D493" s="108">
        <v>7.8</v>
      </c>
      <c r="E493" s="108"/>
      <c r="F493" s="127"/>
      <c r="G493" s="128"/>
      <c r="H493" s="423">
        <f t="shared" si="223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4"/>
        <v>0</v>
      </c>
      <c r="N493" s="130">
        <f t="shared" si="225"/>
        <v>0</v>
      </c>
      <c r="O493" s="415"/>
      <c r="P493" s="415"/>
      <c r="Q493" s="415"/>
      <c r="R493" s="415"/>
      <c r="S493" s="415"/>
      <c r="T493" s="415"/>
      <c r="U493" s="415"/>
      <c r="V493" s="132">
        <f t="shared" si="226"/>
        <v>0</v>
      </c>
      <c r="W493" s="133" t="str">
        <f t="shared" si="222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13"/>
      <c r="D494" s="108">
        <v>4.4000000000000004</v>
      </c>
      <c r="E494" s="108"/>
      <c r="F494" s="127"/>
      <c r="G494" s="128"/>
      <c r="H494" s="42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4"/>
        <v>0</v>
      </c>
      <c r="N494" s="130">
        <f t="shared" si="225"/>
        <v>0</v>
      </c>
      <c r="O494" s="415"/>
      <c r="P494" s="415"/>
      <c r="Q494" s="415"/>
      <c r="R494" s="415"/>
      <c r="S494" s="415"/>
      <c r="T494" s="415"/>
      <c r="U494" s="415"/>
      <c r="V494" s="132">
        <f t="shared" si="226"/>
        <v>0</v>
      </c>
      <c r="W494" s="133" t="str">
        <f t="shared" si="222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3">
        <f t="shared" si="223"/>
        <v>0</v>
      </c>
      <c r="I495" s="129"/>
      <c r="J495" s="130"/>
      <c r="K495" s="131"/>
      <c r="L495" s="129"/>
      <c r="M495" s="109"/>
      <c r="N495" s="130"/>
      <c r="O495" s="415"/>
      <c r="P495" s="415"/>
      <c r="Q495" s="415"/>
      <c r="R495" s="415"/>
      <c r="S495" s="415"/>
      <c r="T495" s="415"/>
      <c r="U495" s="415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13"/>
      <c r="D496" s="108"/>
      <c r="E496" s="108"/>
      <c r="F496" s="127"/>
      <c r="G496" s="128"/>
      <c r="H496" s="423">
        <f t="shared" si="223"/>
        <v>0</v>
      </c>
      <c r="I496" s="129"/>
      <c r="J496" s="130"/>
      <c r="K496" s="131"/>
      <c r="L496" s="129">
        <v>6</v>
      </c>
      <c r="M496" s="109"/>
      <c r="N496" s="130"/>
      <c r="O496" s="415"/>
      <c r="P496" s="415"/>
      <c r="Q496" s="415"/>
      <c r="R496" s="415"/>
      <c r="S496" s="415"/>
      <c r="T496" s="415"/>
      <c r="U496" s="41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13" t="s">
        <v>239</v>
      </c>
      <c r="C497" s="413" t="s">
        <v>179</v>
      </c>
      <c r="D497" s="108">
        <v>6.04</v>
      </c>
      <c r="E497" s="108"/>
      <c r="F497" s="127"/>
      <c r="G497" s="128"/>
      <c r="H497" s="423">
        <f t="shared" si="223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7">IF(ISERROR(I497-K497),"",I497-K497)</f>
        <v>0</v>
      </c>
      <c r="N497" s="130">
        <f t="shared" ref="N497:N498" si="228">SUM(O497:U497)</f>
        <v>0</v>
      </c>
      <c r="O497" s="415"/>
      <c r="P497" s="415"/>
      <c r="Q497" s="415"/>
      <c r="R497" s="415"/>
      <c r="S497" s="415"/>
      <c r="T497" s="415"/>
      <c r="U497" s="415"/>
      <c r="V497" s="132">
        <f t="shared" ref="V497:V498" si="229">SUM(X497:AA497)</f>
        <v>0</v>
      </c>
      <c r="W497" s="133" t="str">
        <f t="shared" ref="W497:W498" si="230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13" t="s">
        <v>239</v>
      </c>
      <c r="C498" s="413" t="s">
        <v>186</v>
      </c>
      <c r="D498" s="108">
        <v>6.04</v>
      </c>
      <c r="E498" s="108"/>
      <c r="F498" s="127"/>
      <c r="G498" s="128"/>
      <c r="H498" s="42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7"/>
        <v>0</v>
      </c>
      <c r="N498" s="130">
        <f t="shared" si="228"/>
        <v>0</v>
      </c>
      <c r="O498" s="415"/>
      <c r="P498" s="415"/>
      <c r="Q498" s="415"/>
      <c r="R498" s="415"/>
      <c r="S498" s="415"/>
      <c r="T498" s="415"/>
      <c r="U498" s="415"/>
      <c r="V498" s="132">
        <f t="shared" si="229"/>
        <v>0</v>
      </c>
      <c r="W498" s="133" t="str">
        <f t="shared" si="230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13" t="s">
        <v>443</v>
      </c>
      <c r="C499" s="413" t="s">
        <v>179</v>
      </c>
      <c r="D499" s="108"/>
      <c r="E499" s="108"/>
      <c r="F499" s="127"/>
      <c r="G499" s="128"/>
      <c r="H499" s="423">
        <f t="shared" si="223"/>
        <v>0</v>
      </c>
      <c r="I499" s="129"/>
      <c r="J499" s="130"/>
      <c r="K499" s="131"/>
      <c r="L499" s="129"/>
      <c r="M499" s="109"/>
      <c r="N499" s="130"/>
      <c r="O499" s="415"/>
      <c r="P499" s="415"/>
      <c r="Q499" s="415"/>
      <c r="R499" s="415"/>
      <c r="S499" s="415"/>
      <c r="T499" s="415"/>
      <c r="U499" s="41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13" t="s">
        <v>443</v>
      </c>
      <c r="C500" s="413" t="s">
        <v>186</v>
      </c>
      <c r="D500" s="108"/>
      <c r="E500" s="108"/>
      <c r="F500" s="127"/>
      <c r="G500" s="128"/>
      <c r="H500" s="423">
        <f t="shared" si="223"/>
        <v>0</v>
      </c>
      <c r="I500" s="129"/>
      <c r="J500" s="130"/>
      <c r="K500" s="131"/>
      <c r="L500" s="129"/>
      <c r="M500" s="109"/>
      <c r="N500" s="130"/>
      <c r="O500" s="415"/>
      <c r="P500" s="415"/>
      <c r="Q500" s="415"/>
      <c r="R500" s="415"/>
      <c r="S500" s="415"/>
      <c r="T500" s="415"/>
      <c r="U500" s="41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14" t="s">
        <v>240</v>
      </c>
      <c r="C501" s="126"/>
      <c r="D501" s="108">
        <v>7.3</v>
      </c>
      <c r="E501" s="108"/>
      <c r="F501" s="127"/>
      <c r="G501" s="128"/>
      <c r="H501" s="423">
        <f t="shared" si="223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1">IF(ISERROR(I501-K501),"",I501-K501)</f>
        <v>0</v>
      </c>
      <c r="N501" s="130">
        <f t="shared" ref="N501" si="232">SUM(O501:U501)</f>
        <v>0</v>
      </c>
      <c r="O501" s="415"/>
      <c r="P501" s="415"/>
      <c r="Q501" s="415"/>
      <c r="R501" s="415"/>
      <c r="S501" s="415"/>
      <c r="T501" s="415"/>
      <c r="U501" s="415"/>
      <c r="V501" s="132">
        <f t="shared" ref="V501" si="233">SUM(X501:AA501)</f>
        <v>0</v>
      </c>
      <c r="W501" s="133" t="str">
        <f t="shared" ref="W501" si="234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14" t="s">
        <v>241</v>
      </c>
      <c r="C502" s="126"/>
      <c r="D502" s="108">
        <f>78*120/1000</f>
        <v>9.36</v>
      </c>
      <c r="E502" s="108"/>
      <c r="F502" s="127"/>
      <c r="G502" s="128"/>
      <c r="H502" s="423">
        <f t="shared" si="223"/>
        <v>0</v>
      </c>
      <c r="I502" s="129"/>
      <c r="J502" s="130"/>
      <c r="K502" s="131"/>
      <c r="L502" s="129"/>
      <c r="M502" s="109"/>
      <c r="N502" s="130"/>
      <c r="O502" s="415"/>
      <c r="P502" s="415"/>
      <c r="Q502" s="415"/>
      <c r="R502" s="415"/>
      <c r="S502" s="415"/>
      <c r="T502" s="415"/>
      <c r="U502" s="41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14" t="s">
        <v>242</v>
      </c>
      <c r="C503" s="126"/>
      <c r="D503" s="108">
        <v>4.5</v>
      </c>
      <c r="E503" s="108"/>
      <c r="F503" s="127"/>
      <c r="G503" s="128"/>
      <c r="H503" s="423">
        <f t="shared" si="223"/>
        <v>0</v>
      </c>
      <c r="I503" s="129"/>
      <c r="J503" s="130"/>
      <c r="K503" s="131"/>
      <c r="L503" s="129"/>
      <c r="M503" s="109"/>
      <c r="N503" s="130"/>
      <c r="O503" s="415"/>
      <c r="P503" s="415"/>
      <c r="Q503" s="415"/>
      <c r="R503" s="415"/>
      <c r="S503" s="415"/>
      <c r="T503" s="415"/>
      <c r="U503" s="415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14" t="s">
        <v>243</v>
      </c>
      <c r="C504" s="126"/>
      <c r="D504" s="108">
        <v>4.5</v>
      </c>
      <c r="E504" s="108"/>
      <c r="F504" s="127"/>
      <c r="G504" s="128"/>
      <c r="H504" s="423">
        <f t="shared" si="223"/>
        <v>0</v>
      </c>
      <c r="I504" s="129"/>
      <c r="J504" s="130"/>
      <c r="K504" s="131"/>
      <c r="L504" s="129"/>
      <c r="M504" s="109"/>
      <c r="N504" s="130"/>
      <c r="O504" s="415"/>
      <c r="P504" s="415"/>
      <c r="Q504" s="415"/>
      <c r="R504" s="415"/>
      <c r="S504" s="415"/>
      <c r="T504" s="415"/>
      <c r="U504" s="415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14"/>
      <c r="C505" s="126"/>
      <c r="D505" s="108"/>
      <c r="E505" s="108"/>
      <c r="F505" s="127"/>
      <c r="G505" s="128"/>
      <c r="H505" s="423">
        <f t="shared" si="223"/>
        <v>0</v>
      </c>
      <c r="I505" s="129"/>
      <c r="J505" s="130"/>
      <c r="K505" s="131"/>
      <c r="L505" s="129"/>
      <c r="M505" s="109"/>
      <c r="N505" s="130"/>
      <c r="O505" s="415"/>
      <c r="P505" s="415"/>
      <c r="Q505" s="415"/>
      <c r="R505" s="415"/>
      <c r="S505" s="415"/>
      <c r="T505" s="415"/>
      <c r="U505" s="415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421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5">SUM(M491:M501)</f>
        <v>0</v>
      </c>
      <c r="N506" s="146">
        <f t="shared" si="235"/>
        <v>0</v>
      </c>
      <c r="O506" s="148">
        <f t="shared" si="235"/>
        <v>0</v>
      </c>
      <c r="P506" s="148">
        <f t="shared" si="235"/>
        <v>0</v>
      </c>
      <c r="Q506" s="148">
        <f t="shared" si="235"/>
        <v>0</v>
      </c>
      <c r="R506" s="148">
        <f t="shared" si="235"/>
        <v>0</v>
      </c>
      <c r="S506" s="148">
        <f t="shared" si="235"/>
        <v>0</v>
      </c>
      <c r="T506" s="148">
        <f t="shared" si="235"/>
        <v>0</v>
      </c>
      <c r="U506" s="148">
        <f t="shared" si="235"/>
        <v>0</v>
      </c>
      <c r="V506" s="149">
        <f t="shared" si="235"/>
        <v>0</v>
      </c>
      <c r="W506" s="133">
        <f t="shared" si="235"/>
        <v>0</v>
      </c>
      <c r="X506" s="149">
        <f t="shared" si="235"/>
        <v>0</v>
      </c>
      <c r="Y506" s="149">
        <f t="shared" si="235"/>
        <v>0</v>
      </c>
      <c r="Z506" s="149">
        <f t="shared" si="235"/>
        <v>0</v>
      </c>
      <c r="AA506" s="149">
        <f t="shared" si="235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6">SUM(M370,M428,M463,M479,M490,M506)</f>
        <v>0</v>
      </c>
      <c r="N507" s="154">
        <f t="shared" si="236"/>
        <v>0</v>
      </c>
      <c r="O507" s="154">
        <f t="shared" si="236"/>
        <v>0</v>
      </c>
      <c r="P507" s="154">
        <f t="shared" si="236"/>
        <v>0</v>
      </c>
      <c r="Q507" s="154">
        <f t="shared" si="236"/>
        <v>0</v>
      </c>
      <c r="R507" s="154">
        <f t="shared" si="236"/>
        <v>0</v>
      </c>
      <c r="S507" s="154">
        <f t="shared" si="236"/>
        <v>0</v>
      </c>
      <c r="T507" s="154">
        <f t="shared" si="236"/>
        <v>0</v>
      </c>
      <c r="U507" s="154">
        <f t="shared" si="236"/>
        <v>0</v>
      </c>
      <c r="V507" s="154">
        <f t="shared" si="236"/>
        <v>0</v>
      </c>
      <c r="W507" s="156" t="str">
        <f t="shared" ref="W507" si="237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420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420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420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420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420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420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420">
        <f>G507</f>
        <v>0</v>
      </c>
      <c r="C514" s="638" t="s">
        <v>269</v>
      </c>
      <c r="D514" s="639"/>
      <c r="E514" s="631">
        <f>H507</f>
        <v>0</v>
      </c>
      <c r="F514" s="631"/>
      <c r="G514" s="631" t="s">
        <v>270</v>
      </c>
      <c r="H514" s="631"/>
      <c r="I514" s="640" t="str">
        <f>L507</f>
        <v/>
      </c>
      <c r="J514" s="640"/>
      <c r="K514" s="628" t="s">
        <v>271</v>
      </c>
      <c r="L514" s="628"/>
      <c r="M514" s="640" t="str">
        <f>J507</f>
        <v/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420">
        <f>I507+C513</f>
        <v>1</v>
      </c>
      <c r="C515" s="641" t="s">
        <v>251</v>
      </c>
      <c r="D515" s="642"/>
      <c r="E515" s="643">
        <f>K507+I513</f>
        <v>11</v>
      </c>
      <c r="F515" s="643"/>
      <c r="G515" s="631" t="s">
        <v>274</v>
      </c>
      <c r="H515" s="631"/>
      <c r="I515" s="640">
        <f>B515-E515</f>
        <v>-10</v>
      </c>
      <c r="J515" s="640"/>
      <c r="K515" s="628" t="s">
        <v>275</v>
      </c>
      <c r="L515" s="628"/>
      <c r="M515" s="632">
        <f>IF(ISERROR(I515/E515),"",I515/E515)</f>
        <v>-0.90909090909090906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420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 t="str">
        <f t="array" ref="M516">IF(ISERROR(I516/B514),"",I516/B514)</f>
        <v/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422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10972</v>
      </c>
      <c r="D519" s="627"/>
      <c r="E519" s="673" t="s">
        <v>269</v>
      </c>
      <c r="F519" s="673"/>
      <c r="G519" s="643">
        <f>SUM(E171,E342,E514)</f>
        <v>55282</v>
      </c>
      <c r="H519" s="643"/>
      <c r="I519" s="631" t="s">
        <v>270</v>
      </c>
      <c r="J519" s="673"/>
      <c r="K519" s="626">
        <f>IF(ISERROR(C519/G520),"",C519/G520)</f>
        <v>15.348176790277762</v>
      </c>
      <c r="L519" s="627"/>
      <c r="M519" s="631" t="s">
        <v>271</v>
      </c>
      <c r="N519" s="631"/>
      <c r="O519" s="668">
        <f t="array" ref="O519">IF(ISERROR(C519/C520),"",C519/C520)</f>
        <v>16.32300871790294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672.18000000000006</v>
      </c>
      <c r="D520" s="627"/>
      <c r="E520" s="631" t="s">
        <v>251</v>
      </c>
      <c r="F520" s="631"/>
      <c r="G520" s="643">
        <f>SUM(E172,E343,E515)</f>
        <v>714.87318330540518</v>
      </c>
      <c r="H520" s="643"/>
      <c r="I520" s="641" t="s">
        <v>274</v>
      </c>
      <c r="J520" s="642"/>
      <c r="K520" s="638">
        <f>C520-G520</f>
        <v>-42.693183305405114</v>
      </c>
      <c r="L520" s="639"/>
      <c r="M520" s="638" t="s">
        <v>275</v>
      </c>
      <c r="N520" s="639"/>
      <c r="O520" s="671">
        <f>IF(ISERROR(K520/C520),"",K520/C520)</f>
        <v>-6.3514509960732407E-2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2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3491</v>
      </c>
      <c r="D524" s="642"/>
      <c r="E524" s="681">
        <f>IF(ISERROR(C524/C530),"",C524/C530)</f>
        <v>0.31817353262850895</v>
      </c>
      <c r="F524" s="682"/>
      <c r="G524" s="676"/>
      <c r="H524" s="677"/>
      <c r="I524" s="683" t="s">
        <v>301</v>
      </c>
      <c r="J524" s="684"/>
      <c r="K524" s="638">
        <f t="shared" ref="K524:K529" si="238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9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3775</v>
      </c>
      <c r="D525" s="642"/>
      <c r="E525" s="681">
        <f>IF(ISERROR(C525/C530),"",C525/C530)</f>
        <v>0.34405760116660589</v>
      </c>
      <c r="F525" s="682"/>
      <c r="G525" s="676"/>
      <c r="H525" s="677"/>
      <c r="I525" s="683" t="s">
        <v>302</v>
      </c>
      <c r="J525" s="684"/>
      <c r="K525" s="638">
        <f t="shared" si="238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9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1555</v>
      </c>
      <c r="D526" s="642"/>
      <c r="E526" s="681">
        <f>IF(ISERROR(C526/C530),"",C526/C530)</f>
        <v>0.14172438935472112</v>
      </c>
      <c r="F526" s="682"/>
      <c r="G526" s="676"/>
      <c r="H526" s="677"/>
      <c r="I526" s="683" t="s">
        <v>303</v>
      </c>
      <c r="J526" s="684"/>
      <c r="K526" s="638">
        <f t="shared" si="238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9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975</v>
      </c>
      <c r="D527" s="642"/>
      <c r="E527" s="681">
        <f>IF(ISERROR(C527/C530),"",C527/C530)</f>
        <v>8.8862559241706163E-2</v>
      </c>
      <c r="F527" s="682"/>
      <c r="G527" s="676"/>
      <c r="H527" s="677"/>
      <c r="I527" s="683" t="s">
        <v>304</v>
      </c>
      <c r="J527" s="684"/>
      <c r="K527" s="638">
        <f t="shared" si="238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9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1176</v>
      </c>
      <c r="D528" s="642"/>
      <c r="E528" s="681">
        <f>IF(ISERROR(C528/C530),"",C528/C530)</f>
        <v>0.1071819176084579</v>
      </c>
      <c r="F528" s="682"/>
      <c r="G528" s="676"/>
      <c r="H528" s="677"/>
      <c r="I528" s="683" t="s">
        <v>306</v>
      </c>
      <c r="J528" s="684"/>
      <c r="K528" s="638">
        <f t="shared" si="238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9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0</v>
      </c>
      <c r="D529" s="642"/>
      <c r="E529" s="681">
        <f>IF(ISERROR(C529/C530),"",C529/C530)</f>
        <v>0</v>
      </c>
      <c r="F529" s="682"/>
      <c r="G529" s="676"/>
      <c r="H529" s="677"/>
      <c r="I529" s="683" t="s">
        <v>307</v>
      </c>
      <c r="J529" s="684"/>
      <c r="K529" s="638">
        <f t="shared" si="238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9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10972</v>
      </c>
      <c r="D530" s="642"/>
      <c r="E530" s="681">
        <f>SUM(E524:F529)</f>
        <v>0.99999999999999989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413" t="s">
        <v>309</v>
      </c>
      <c r="D532" s="413" t="s">
        <v>310</v>
      </c>
      <c r="E532" s="413" t="s">
        <v>311</v>
      </c>
      <c r="F532" s="413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15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3" t="s">
        <v>322</v>
      </c>
      <c r="Q532" s="129" t="s">
        <v>323</v>
      </c>
      <c r="R532" s="109" t="s">
        <v>324</v>
      </c>
      <c r="S532" s="413" t="s">
        <v>325</v>
      </c>
      <c r="T532" s="413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42</v>
      </c>
      <c r="D533" s="106">
        <f>+'2'!C533</f>
        <v>38</v>
      </c>
      <c r="E533" s="106">
        <v>4</v>
      </c>
      <c r="F533" s="106"/>
      <c r="G533" s="107"/>
      <c r="H533" s="106"/>
      <c r="I533" s="106"/>
      <c r="J533" s="106">
        <f>C533-H533-I533</f>
        <v>42</v>
      </c>
      <c r="K533" s="106"/>
      <c r="L533" s="106"/>
      <c r="M533" s="106"/>
      <c r="N533" s="106"/>
      <c r="O533" s="106"/>
      <c r="P533" s="108"/>
      <c r="Q533" s="106">
        <f>J533-K533-L533</f>
        <v>42</v>
      </c>
      <c r="R533" s="109">
        <f>Q533*11-M533-N533</f>
        <v>462</v>
      </c>
      <c r="S533" s="416">
        <f t="array" ref="S533">IF(ISERROR(Q533/J533),"",Q533/J533)</f>
        <v>1</v>
      </c>
      <c r="T533" s="416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45</v>
      </c>
      <c r="D534" s="106">
        <f>+'2'!C534</f>
        <v>44</v>
      </c>
      <c r="E534" s="110">
        <v>1</v>
      </c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16">
        <f t="array" ref="S534">IF(ISERROR(Q534/J534),"",Q534/J534)</f>
        <v>0.9555555555555556</v>
      </c>
      <c r="T534" s="416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+'2'!C535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>
        <v>1</v>
      </c>
      <c r="L535" s="106"/>
      <c r="M535" s="106"/>
      <c r="N535" s="106"/>
      <c r="O535" s="110"/>
      <c r="P535" s="111"/>
      <c r="Q535" s="106">
        <f>J535-K535-L535</f>
        <v>9</v>
      </c>
      <c r="R535" s="109">
        <f>Q535*11-M535-N535</f>
        <v>99</v>
      </c>
      <c r="S535" s="416">
        <f t="array" ref="S535">IF(ISERROR(Q535/J535),"",Q535/J535)</f>
        <v>0.9</v>
      </c>
      <c r="T535" s="416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97</v>
      </c>
      <c r="D536" s="112">
        <f t="shared" ref="D536:N536" si="240">SUM(D533:D535)</f>
        <v>92</v>
      </c>
      <c r="E536" s="112">
        <f t="shared" si="240"/>
        <v>5</v>
      </c>
      <c r="F536" s="112">
        <f t="shared" si="240"/>
        <v>0</v>
      </c>
      <c r="G536" s="113">
        <f t="shared" si="240"/>
        <v>0</v>
      </c>
      <c r="H536" s="112">
        <f t="shared" si="240"/>
        <v>0</v>
      </c>
      <c r="I536" s="112">
        <f t="shared" si="240"/>
        <v>0</v>
      </c>
      <c r="J536" s="112">
        <f t="shared" si="240"/>
        <v>97</v>
      </c>
      <c r="K536" s="112">
        <f t="shared" si="240"/>
        <v>3</v>
      </c>
      <c r="L536" s="112">
        <f t="shared" si="240"/>
        <v>0</v>
      </c>
      <c r="M536" s="112">
        <f t="shared" si="240"/>
        <v>0</v>
      </c>
      <c r="N536" s="112">
        <f t="shared" si="240"/>
        <v>0</v>
      </c>
      <c r="O536" s="112">
        <f>SUM(O533:O535)</f>
        <v>0</v>
      </c>
      <c r="P536" s="112">
        <f>SUM(P533:P535)</f>
        <v>0</v>
      </c>
      <c r="Q536" s="112">
        <f>SUM(Q533:Q535)</f>
        <v>94</v>
      </c>
      <c r="R536" s="114">
        <f>SUM(R533:R535)</f>
        <v>1034</v>
      </c>
      <c r="S536" s="115">
        <f t="array" ref="S536">IF(ISERROR(Q536/J536),"",Q536/J536)</f>
        <v>0.96907216494845361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39" spans="1:27">
      <c r="E539" s="121">
        <f>11596-624</f>
        <v>10972</v>
      </c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531" activePane="bottomRight" state="frozen"/>
      <selection activeCell="E487" sqref="E487"/>
      <selection pane="topRight" activeCell="E487" sqref="E487"/>
      <selection pane="bottomLeft" activeCell="E487" sqref="E487"/>
      <selection pane="bottomRight" activeCell="G30" sqref="G3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435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424" t="s">
        <v>178</v>
      </c>
      <c r="C7" s="126" t="s">
        <v>179</v>
      </c>
      <c r="D7" s="108">
        <v>5.03</v>
      </c>
      <c r="E7" s="108"/>
      <c r="F7" s="127"/>
      <c r="G7" s="128"/>
      <c r="H7" s="42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3"/>
      <c r="P7" s="433"/>
      <c r="Q7" s="433"/>
      <c r="R7" s="433"/>
      <c r="S7" s="433"/>
      <c r="T7" s="433"/>
      <c r="U7" s="43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3"/>
      <c r="Q8" s="433"/>
      <c r="R8" s="433"/>
      <c r="S8" s="433"/>
      <c r="T8" s="433"/>
      <c r="U8" s="43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3"/>
      <c r="P9" s="433"/>
      <c r="Q9" s="433"/>
      <c r="R9" s="433"/>
      <c r="S9" s="433"/>
      <c r="T9" s="433"/>
      <c r="U9" s="43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3"/>
      <c r="P10" s="433"/>
      <c r="Q10" s="433"/>
      <c r="R10" s="433"/>
      <c r="S10" s="433"/>
      <c r="T10" s="433"/>
      <c r="U10" s="43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42736</v>
      </c>
      <c r="G11" s="128">
        <v>28</v>
      </c>
      <c r="H11" s="425">
        <f t="shared" si="0"/>
        <v>140.84</v>
      </c>
      <c r="I11" s="129">
        <f>4*2</f>
        <v>8</v>
      </c>
      <c r="J11" s="130">
        <f t="array" ref="J11">IF(ISERROR(G11/I11),"",G11/I11)</f>
        <v>3.5</v>
      </c>
      <c r="K11" s="131">
        <f t="array" ref="K11">IF(ISERROR(G11/L11),"",G11/L11)</f>
        <v>1.4</v>
      </c>
      <c r="L11" s="129">
        <v>20</v>
      </c>
      <c r="M11" s="109">
        <f t="shared" si="1"/>
        <v>6.6</v>
      </c>
      <c r="N11" s="130">
        <f t="shared" si="4"/>
        <v>0</v>
      </c>
      <c r="O11" s="433"/>
      <c r="P11" s="433"/>
      <c r="Q11" s="433"/>
      <c r="R11" s="433"/>
      <c r="S11" s="433"/>
      <c r="T11" s="433"/>
      <c r="U11" s="433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42739</v>
      </c>
      <c r="G12" s="128">
        <f>100*5+70-10</f>
        <v>560</v>
      </c>
      <c r="H12" s="425">
        <f t="shared" si="0"/>
        <v>2822.4</v>
      </c>
      <c r="I12" s="138">
        <f>11*3</f>
        <v>33</v>
      </c>
      <c r="J12" s="130">
        <f t="array" ref="J12">IF(ISERROR(G12/I12),"",G12/I12)</f>
        <v>16.969696969696969</v>
      </c>
      <c r="K12" s="131">
        <f t="array" ref="K12">IF(ISERROR(G12/L12),"",G12/L12)</f>
        <v>29.473684210526315</v>
      </c>
      <c r="L12" s="129">
        <v>19</v>
      </c>
      <c r="M12" s="109">
        <f t="shared" si="1"/>
        <v>3.526315789473685</v>
      </c>
      <c r="N12" s="130">
        <f t="shared" si="4"/>
        <v>0</v>
      </c>
      <c r="O12" s="433"/>
      <c r="P12" s="433"/>
      <c r="Q12" s="433"/>
      <c r="R12" s="433"/>
      <c r="S12" s="433"/>
      <c r="T12" s="433"/>
      <c r="U12" s="433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3"/>
      <c r="P13" s="433"/>
      <c r="Q13" s="433"/>
      <c r="R13" s="433"/>
      <c r="S13" s="433"/>
      <c r="T13" s="433"/>
      <c r="U13" s="43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3"/>
      <c r="P14" s="433"/>
      <c r="Q14" s="433"/>
      <c r="R14" s="433"/>
      <c r="S14" s="433"/>
      <c r="T14" s="433"/>
      <c r="U14" s="43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27">
        <v>42739</v>
      </c>
      <c r="G15" s="128">
        <f>100*4+82</f>
        <v>482</v>
      </c>
      <c r="H15" s="425">
        <f t="shared" si="0"/>
        <v>2429.2800000000002</v>
      </c>
      <c r="I15" s="129">
        <f>6.5*5</f>
        <v>32.5</v>
      </c>
      <c r="J15" s="130">
        <f t="array" ref="J15">IF(ISERROR(G15/I15),"",G15/I15)</f>
        <v>14.830769230769231</v>
      </c>
      <c r="K15" s="131">
        <f t="array" ref="K15">IF(ISERROR(G15/L15),"",G15/L15)</f>
        <v>28.352941176470587</v>
      </c>
      <c r="L15" s="129">
        <v>17</v>
      </c>
      <c r="M15" s="109">
        <f t="shared" si="1"/>
        <v>4.147058823529413</v>
      </c>
      <c r="N15" s="130">
        <f t="shared" si="4"/>
        <v>0</v>
      </c>
      <c r="O15" s="433"/>
      <c r="P15" s="433"/>
      <c r="Q15" s="433"/>
      <c r="R15" s="433"/>
      <c r="S15" s="433"/>
      <c r="T15" s="433"/>
      <c r="U15" s="43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5">
        <f t="shared" si="0"/>
        <v>0</v>
      </c>
      <c r="I16" s="42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3"/>
      <c r="P16" s="433"/>
      <c r="Q16" s="433"/>
      <c r="R16" s="433"/>
      <c r="S16" s="433"/>
      <c r="T16" s="433"/>
      <c r="U16" s="43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3"/>
      <c r="P17" s="433"/>
      <c r="Q17" s="433"/>
      <c r="R17" s="433"/>
      <c r="S17" s="433"/>
      <c r="T17" s="433"/>
      <c r="U17" s="43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3"/>
      <c r="P18" s="433"/>
      <c r="Q18" s="433"/>
      <c r="R18" s="433"/>
      <c r="S18" s="433"/>
      <c r="T18" s="433"/>
      <c r="U18" s="43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3"/>
      <c r="P19" s="433"/>
      <c r="Q19" s="433"/>
      <c r="R19" s="433"/>
      <c r="S19" s="433"/>
      <c r="T19" s="433"/>
      <c r="U19" s="433"/>
      <c r="V19" s="132">
        <f t="shared" ref="V19:V21" si="5">SUM(X19:AA19)</f>
        <v>0</v>
      </c>
      <c r="W19" s="42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3"/>
      <c r="P20" s="433"/>
      <c r="Q20" s="433"/>
      <c r="R20" s="433"/>
      <c r="S20" s="433"/>
      <c r="T20" s="433"/>
      <c r="U20" s="43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3"/>
      <c r="P21" s="433"/>
      <c r="Q21" s="433"/>
      <c r="R21" s="433"/>
      <c r="S21" s="433"/>
      <c r="T21" s="433"/>
      <c r="U21" s="43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1" t="s">
        <v>190</v>
      </c>
      <c r="D22" s="108">
        <v>4.8</v>
      </c>
      <c r="E22" s="108"/>
      <c r="F22" s="127"/>
      <c r="G22" s="128"/>
      <c r="H22" s="42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3"/>
      <c r="P22" s="433"/>
      <c r="Q22" s="433"/>
      <c r="R22" s="433"/>
      <c r="S22" s="433"/>
      <c r="T22" s="433"/>
      <c r="U22" s="43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1" t="s">
        <v>187</v>
      </c>
      <c r="D23" s="108">
        <v>4.8</v>
      </c>
      <c r="E23" s="108"/>
      <c r="F23" s="127"/>
      <c r="G23" s="128"/>
      <c r="H23" s="42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3"/>
      <c r="P23" s="433"/>
      <c r="Q23" s="433"/>
      <c r="R23" s="433"/>
      <c r="S23" s="433"/>
      <c r="T23" s="433"/>
      <c r="U23" s="43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1" t="s">
        <v>179</v>
      </c>
      <c r="D24" s="108">
        <v>4.8</v>
      </c>
      <c r="E24" s="108"/>
      <c r="F24" s="127"/>
      <c r="G24" s="128"/>
      <c r="H24" s="42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3"/>
      <c r="P24" s="433"/>
      <c r="Q24" s="433"/>
      <c r="R24" s="433"/>
      <c r="S24" s="433"/>
      <c r="T24" s="433"/>
      <c r="U24" s="43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1" t="s">
        <v>199</v>
      </c>
      <c r="D25" s="108">
        <v>4.8</v>
      </c>
      <c r="E25" s="108"/>
      <c r="F25" s="127"/>
      <c r="G25" s="128"/>
      <c r="H25" s="42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3"/>
      <c r="P25" s="433"/>
      <c r="Q25" s="433"/>
      <c r="R25" s="433"/>
      <c r="S25" s="433"/>
      <c r="T25" s="433"/>
      <c r="U25" s="43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3"/>
      <c r="P26" s="433"/>
      <c r="Q26" s="433"/>
      <c r="R26" s="433"/>
      <c r="S26" s="433"/>
      <c r="T26" s="433"/>
      <c r="U26" s="43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27">
        <v>42738</v>
      </c>
      <c r="G27" s="128">
        <f>100+29+100</f>
        <v>229</v>
      </c>
      <c r="H27" s="425">
        <f t="shared" si="0"/>
        <v>1142.71</v>
      </c>
      <c r="I27" s="129">
        <f>2.5*5</f>
        <v>12.5</v>
      </c>
      <c r="J27" s="130">
        <f t="array" ref="J27">IF(ISERROR(G27/I27),"",G27/I27)</f>
        <v>18.32</v>
      </c>
      <c r="K27" s="131">
        <f t="array" ref="K27">IF(ISERROR(G27/L27),"",G27/L27)</f>
        <v>9.7446808510638299</v>
      </c>
      <c r="L27" s="129">
        <v>23.5</v>
      </c>
      <c r="M27" s="109">
        <f t="shared" si="1"/>
        <v>2.7553191489361701</v>
      </c>
      <c r="N27" s="130">
        <f t="shared" si="7"/>
        <v>0</v>
      </c>
      <c r="O27" s="433"/>
      <c r="P27" s="433"/>
      <c r="Q27" s="433"/>
      <c r="R27" s="433"/>
      <c r="S27" s="433"/>
      <c r="T27" s="433"/>
      <c r="U27" s="433"/>
      <c r="V27" s="132">
        <f t="shared" si="8"/>
        <v>0</v>
      </c>
      <c r="W27" s="133">
        <f t="shared" si="9"/>
        <v>0</v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434" t="s">
        <v>202</v>
      </c>
      <c r="D28" s="143"/>
      <c r="E28" s="143"/>
      <c r="F28" s="144"/>
      <c r="G28" s="145">
        <f>SUM(G7:G27)</f>
        <v>1299</v>
      </c>
      <c r="H28" s="146">
        <f>SUM(H7:H27)</f>
        <v>6535.2300000000005</v>
      </c>
      <c r="I28" s="146">
        <f>SUM(I7:I27)</f>
        <v>86</v>
      </c>
      <c r="J28" s="130">
        <f t="array" ref="J28">IF(ISERROR(G28/I28),"",G28/I28)</f>
        <v>15.104651162790697</v>
      </c>
      <c r="K28" s="146">
        <f>SUM(K7:K27)</f>
        <v>68.971306238060734</v>
      </c>
      <c r="L28" s="147"/>
      <c r="M28" s="146">
        <f t="shared" ref="M28:V28" si="10">SUM(M7:M27)</f>
        <v>17.028693761939266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4" t="s">
        <v>206</v>
      </c>
      <c r="C29" s="126" t="s">
        <v>199</v>
      </c>
      <c r="D29" s="108">
        <v>5.03</v>
      </c>
      <c r="E29" s="108"/>
      <c r="F29" s="127"/>
      <c r="G29" s="128"/>
      <c r="H29" s="42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0" si="12">IF(ISERROR(I29-K29),"",I29-K29)</f>
        <v>0</v>
      </c>
      <c r="N29" s="130">
        <f t="shared" ref="N29" si="13">SUM(O29:U29)</f>
        <v>0</v>
      </c>
      <c r="O29" s="429"/>
      <c r="P29" s="429"/>
      <c r="Q29" s="429"/>
      <c r="R29" s="429"/>
      <c r="S29" s="429"/>
      <c r="T29" s="429"/>
      <c r="U29" s="42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24" t="s">
        <v>425</v>
      </c>
      <c r="C30" s="187" t="s">
        <v>427</v>
      </c>
      <c r="D30" s="108">
        <v>5.03</v>
      </c>
      <c r="E30" s="108"/>
      <c r="F30" s="127">
        <v>42739</v>
      </c>
      <c r="G30" s="128">
        <f>62+108*5+85+43</f>
        <v>730</v>
      </c>
      <c r="H30" s="425">
        <f t="shared" si="11"/>
        <v>3671.9</v>
      </c>
      <c r="I30" s="129">
        <f>2.5*2</f>
        <v>5</v>
      </c>
      <c r="J30" s="130">
        <f t="array" ref="J30">IF(ISERROR(G30/I30),"",G30/I30)</f>
        <v>146</v>
      </c>
      <c r="K30" s="131">
        <f t="array" ref="K30">IF(ISERROR(G30/L30),"",G30/L30)</f>
        <v>14.038461538461538</v>
      </c>
      <c r="L30" s="129">
        <v>52</v>
      </c>
      <c r="M30" s="109">
        <f t="shared" si="12"/>
        <v>-9.0384615384615383</v>
      </c>
      <c r="N30" s="130"/>
      <c r="O30" s="429"/>
      <c r="P30" s="429"/>
      <c r="Q30" s="429"/>
      <c r="R30" s="429"/>
      <c r="S30" s="429"/>
      <c r="T30" s="429"/>
      <c r="U30" s="42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4" t="s">
        <v>206</v>
      </c>
      <c r="C31" s="126" t="s">
        <v>186</v>
      </c>
      <c r="D31" s="108">
        <v>5.03</v>
      </c>
      <c r="E31" s="108"/>
      <c r="F31" s="127"/>
      <c r="G31" s="128"/>
      <c r="H31" s="42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9"/>
      <c r="P31" s="429"/>
      <c r="Q31" s="429"/>
      <c r="R31" s="429"/>
      <c r="S31" s="429"/>
      <c r="T31" s="429"/>
      <c r="U31" s="42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24" t="s">
        <v>206</v>
      </c>
      <c r="C32" s="126" t="s">
        <v>203</v>
      </c>
      <c r="D32" s="108">
        <v>5.03</v>
      </c>
      <c r="E32" s="108"/>
      <c r="F32" s="127">
        <v>42739</v>
      </c>
      <c r="G32" s="128">
        <f>108*7+66</f>
        <v>822</v>
      </c>
      <c r="H32" s="425">
        <f t="shared" si="11"/>
        <v>4134.66</v>
      </c>
      <c r="I32" s="129">
        <f>5.5*2</f>
        <v>11</v>
      </c>
      <c r="J32" s="130">
        <f t="array" ref="J32">IF(ISERROR(G32/I32),"",G32/I32)</f>
        <v>74.727272727272734</v>
      </c>
      <c r="K32" s="131">
        <f t="array" ref="K32">IF(ISERROR(G32/L32),"",G32/L32)</f>
        <v>15.807692307692308</v>
      </c>
      <c r="L32" s="129">
        <v>52</v>
      </c>
      <c r="M32" s="109">
        <f t="shared" si="15"/>
        <v>-4.8076923076923084</v>
      </c>
      <c r="N32" s="130">
        <f t="shared" si="16"/>
        <v>0</v>
      </c>
      <c r="O32" s="429"/>
      <c r="P32" s="429"/>
      <c r="Q32" s="429"/>
      <c r="R32" s="429"/>
      <c r="S32" s="429"/>
      <c r="T32" s="429"/>
      <c r="U32" s="429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4" t="s">
        <v>206</v>
      </c>
      <c r="C33" s="126" t="s">
        <v>207</v>
      </c>
      <c r="D33" s="108">
        <v>5.03</v>
      </c>
      <c r="E33" s="108"/>
      <c r="F33" s="127"/>
      <c r="G33" s="128"/>
      <c r="H33" s="42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9"/>
      <c r="P33" s="429"/>
      <c r="Q33" s="429"/>
      <c r="R33" s="429"/>
      <c r="S33" s="429"/>
      <c r="T33" s="429"/>
      <c r="U33" s="42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4" t="s">
        <v>414</v>
      </c>
      <c r="C34" s="187" t="s">
        <v>415</v>
      </c>
      <c r="D34" s="108">
        <v>5.03</v>
      </c>
      <c r="E34" s="108"/>
      <c r="F34" s="127"/>
      <c r="G34" s="128"/>
      <c r="H34" s="425">
        <f t="shared" si="11"/>
        <v>0</v>
      </c>
      <c r="I34" s="129"/>
      <c r="J34" s="130"/>
      <c r="K34" s="131"/>
      <c r="L34" s="129">
        <v>52</v>
      </c>
      <c r="M34" s="109"/>
      <c r="N34" s="130"/>
      <c r="O34" s="429"/>
      <c r="P34" s="429"/>
      <c r="Q34" s="429"/>
      <c r="R34" s="429"/>
      <c r="S34" s="429"/>
      <c r="T34" s="429"/>
      <c r="U34" s="42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4" t="s">
        <v>414</v>
      </c>
      <c r="C35" s="187" t="s">
        <v>416</v>
      </c>
      <c r="D35" s="108">
        <v>5.03</v>
      </c>
      <c r="E35" s="108"/>
      <c r="F35" s="127"/>
      <c r="G35" s="128"/>
      <c r="H35" s="425">
        <f t="shared" si="11"/>
        <v>0</v>
      </c>
      <c r="I35" s="129"/>
      <c r="J35" s="130"/>
      <c r="K35" s="131"/>
      <c r="L35" s="129">
        <v>52</v>
      </c>
      <c r="M35" s="109"/>
      <c r="N35" s="130"/>
      <c r="O35" s="429"/>
      <c r="P35" s="429"/>
      <c r="Q35" s="429"/>
      <c r="R35" s="429"/>
      <c r="S35" s="429"/>
      <c r="T35" s="429"/>
      <c r="U35" s="42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4" t="s">
        <v>414</v>
      </c>
      <c r="C36" s="187" t="s">
        <v>61</v>
      </c>
      <c r="D36" s="108">
        <v>5.03</v>
      </c>
      <c r="E36" s="108"/>
      <c r="F36" s="127"/>
      <c r="G36" s="128"/>
      <c r="H36" s="425">
        <f t="shared" si="11"/>
        <v>0</v>
      </c>
      <c r="I36" s="129"/>
      <c r="J36" s="130"/>
      <c r="K36" s="131"/>
      <c r="L36" s="129">
        <v>52</v>
      </c>
      <c r="M36" s="109"/>
      <c r="N36" s="130"/>
      <c r="O36" s="429"/>
      <c r="P36" s="429"/>
      <c r="Q36" s="429"/>
      <c r="R36" s="429"/>
      <c r="S36" s="429"/>
      <c r="T36" s="429"/>
      <c r="U36" s="42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4" t="s">
        <v>208</v>
      </c>
      <c r="C37" s="126" t="s">
        <v>179</v>
      </c>
      <c r="D37" s="108">
        <v>5.08</v>
      </c>
      <c r="E37" s="108"/>
      <c r="F37" s="127"/>
      <c r="G37" s="128"/>
      <c r="H37" s="42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9"/>
      <c r="P37" s="429"/>
      <c r="Q37" s="429"/>
      <c r="R37" s="429"/>
      <c r="S37" s="429"/>
      <c r="T37" s="429"/>
      <c r="U37" s="42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4" t="s">
        <v>208</v>
      </c>
      <c r="C38" s="126" t="s">
        <v>204</v>
      </c>
      <c r="D38" s="108">
        <v>5.08</v>
      </c>
      <c r="E38" s="108"/>
      <c r="F38" s="127"/>
      <c r="G38" s="128"/>
      <c r="H38" s="42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9"/>
      <c r="P38" s="429"/>
      <c r="Q38" s="429"/>
      <c r="R38" s="429"/>
      <c r="S38" s="429"/>
      <c r="T38" s="429"/>
      <c r="U38" s="42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4" t="s">
        <v>208</v>
      </c>
      <c r="C39" s="126" t="s">
        <v>205</v>
      </c>
      <c r="D39" s="108">
        <v>5.08</v>
      </c>
      <c r="E39" s="108"/>
      <c r="F39" s="127"/>
      <c r="G39" s="128"/>
      <c r="H39" s="42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9"/>
      <c r="P39" s="429"/>
      <c r="Q39" s="429"/>
      <c r="R39" s="429"/>
      <c r="S39" s="429"/>
      <c r="T39" s="429"/>
      <c r="U39" s="42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4" t="s">
        <v>208</v>
      </c>
      <c r="C40" s="126" t="s">
        <v>186</v>
      </c>
      <c r="D40" s="108">
        <v>5.08</v>
      </c>
      <c r="E40" s="108"/>
      <c r="F40" s="127"/>
      <c r="G40" s="128"/>
      <c r="H40" s="42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9"/>
      <c r="P40" s="429"/>
      <c r="Q40" s="429"/>
      <c r="R40" s="429"/>
      <c r="S40" s="429"/>
      <c r="T40" s="429"/>
      <c r="U40" s="42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4" t="s">
        <v>208</v>
      </c>
      <c r="C41" s="126" t="s">
        <v>203</v>
      </c>
      <c r="D41" s="108">
        <v>5.08</v>
      </c>
      <c r="E41" s="108"/>
      <c r="F41" s="127"/>
      <c r="G41" s="128"/>
      <c r="H41" s="42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9"/>
      <c r="P41" s="429"/>
      <c r="Q41" s="429"/>
      <c r="R41" s="429"/>
      <c r="S41" s="429"/>
      <c r="T41" s="429"/>
      <c r="U41" s="42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4" t="s">
        <v>208</v>
      </c>
      <c r="C42" s="126" t="s">
        <v>199</v>
      </c>
      <c r="D42" s="108">
        <v>5.08</v>
      </c>
      <c r="E42" s="108"/>
      <c r="F42" s="127"/>
      <c r="G42" s="128"/>
      <c r="H42" s="42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3"/>
      <c r="P42" s="433"/>
      <c r="Q42" s="433"/>
      <c r="R42" s="433"/>
      <c r="S42" s="433"/>
      <c r="T42" s="433"/>
      <c r="U42" s="43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4" t="s">
        <v>208</v>
      </c>
      <c r="C43" s="126" t="s">
        <v>187</v>
      </c>
      <c r="D43" s="108">
        <v>5.08</v>
      </c>
      <c r="E43" s="108"/>
      <c r="F43" s="127"/>
      <c r="G43" s="128"/>
      <c r="H43" s="42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9"/>
      <c r="P43" s="429"/>
      <c r="Q43" s="429"/>
      <c r="R43" s="429"/>
      <c r="S43" s="429"/>
      <c r="T43" s="429"/>
      <c r="U43" s="42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24" t="s">
        <v>208</v>
      </c>
      <c r="C44" s="126" t="s">
        <v>207</v>
      </c>
      <c r="D44" s="108">
        <v>5.08</v>
      </c>
      <c r="E44" s="108"/>
      <c r="F44" s="127">
        <v>42738</v>
      </c>
      <c r="G44" s="128">
        <f>108*4+48+108*3</f>
        <v>804</v>
      </c>
      <c r="H44" s="425">
        <f t="shared" si="11"/>
        <v>4084.32</v>
      </c>
      <c r="I44" s="129">
        <f>11*3</f>
        <v>33</v>
      </c>
      <c r="J44" s="130">
        <f t="array" ref="J44">IF(ISERROR(G44/I44),"",G44/I44)</f>
        <v>24.363636363636363</v>
      </c>
      <c r="K44" s="131">
        <f t="array" ref="K44">IF(ISERROR(G44/L44),"",G44/L44)</f>
        <v>38.285714285714285</v>
      </c>
      <c r="L44" s="129">
        <v>21</v>
      </c>
      <c r="M44" s="109">
        <f t="shared" si="19"/>
        <v>-5.2857142857142847</v>
      </c>
      <c r="N44" s="130">
        <f t="shared" si="20"/>
        <v>0</v>
      </c>
      <c r="O44" s="433"/>
      <c r="P44" s="433"/>
      <c r="Q44" s="433"/>
      <c r="R44" s="433"/>
      <c r="S44" s="433"/>
      <c r="T44" s="433"/>
      <c r="U44" s="433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4" t="s">
        <v>209</v>
      </c>
      <c r="C45" s="126" t="s">
        <v>194</v>
      </c>
      <c r="D45" s="108">
        <v>5.03</v>
      </c>
      <c r="E45" s="108"/>
      <c r="F45" s="127"/>
      <c r="G45" s="128"/>
      <c r="H45" s="42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9"/>
      <c r="P45" s="429"/>
      <c r="Q45" s="429"/>
      <c r="R45" s="429"/>
      <c r="S45" s="429"/>
      <c r="T45" s="429"/>
      <c r="U45" s="42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4" t="s">
        <v>209</v>
      </c>
      <c r="C46" s="126" t="s">
        <v>179</v>
      </c>
      <c r="D46" s="108">
        <v>5.03</v>
      </c>
      <c r="E46" s="108"/>
      <c r="F46" s="127"/>
      <c r="G46" s="128"/>
      <c r="H46" s="42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9"/>
      <c r="P46" s="429"/>
      <c r="Q46" s="429"/>
      <c r="R46" s="429"/>
      <c r="S46" s="429"/>
      <c r="T46" s="429"/>
      <c r="U46" s="42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4" t="s">
        <v>209</v>
      </c>
      <c r="C47" s="126" t="s">
        <v>195</v>
      </c>
      <c r="D47" s="108">
        <v>5.03</v>
      </c>
      <c r="E47" s="108"/>
      <c r="F47" s="127"/>
      <c r="G47" s="128"/>
      <c r="H47" s="42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9"/>
      <c r="P47" s="429"/>
      <c r="Q47" s="429"/>
      <c r="R47" s="429"/>
      <c r="S47" s="429"/>
      <c r="T47" s="429"/>
      <c r="U47" s="42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4" t="s">
        <v>209</v>
      </c>
      <c r="C48" s="126" t="s">
        <v>204</v>
      </c>
      <c r="D48" s="108">
        <v>5.03</v>
      </c>
      <c r="E48" s="108"/>
      <c r="F48" s="127"/>
      <c r="G48" s="128"/>
      <c r="H48" s="42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9"/>
      <c r="P48" s="429"/>
      <c r="Q48" s="429"/>
      <c r="R48" s="429"/>
      <c r="S48" s="429"/>
      <c r="T48" s="429"/>
      <c r="U48" s="42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4" t="s">
        <v>382</v>
      </c>
      <c r="C49" s="187" t="s">
        <v>383</v>
      </c>
      <c r="D49" s="108">
        <v>5.03</v>
      </c>
      <c r="E49" s="108"/>
      <c r="F49" s="127"/>
      <c r="G49" s="128"/>
      <c r="H49" s="42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9"/>
      <c r="P49" s="429"/>
      <c r="Q49" s="429"/>
      <c r="R49" s="429"/>
      <c r="S49" s="429"/>
      <c r="T49" s="429"/>
      <c r="U49" s="42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24" t="s">
        <v>382</v>
      </c>
      <c r="C50" s="187" t="s">
        <v>384</v>
      </c>
      <c r="D50" s="108">
        <v>5.03</v>
      </c>
      <c r="E50" s="108"/>
      <c r="F50" s="127">
        <v>42739</v>
      </c>
      <c r="G50" s="128">
        <f>90+41</f>
        <v>131</v>
      </c>
      <c r="H50" s="425">
        <f t="shared" si="11"/>
        <v>658.93000000000006</v>
      </c>
      <c r="I50" s="129">
        <v>2</v>
      </c>
      <c r="J50" s="130">
        <f t="array" ref="J50">IF(ISERROR(G50/I50),"",G50/I50)</f>
        <v>65.5</v>
      </c>
      <c r="K50" s="131">
        <f t="array" ref="K50">IF(ISERROR(G50/L50),"",G50/L50)</f>
        <v>2.425925925925926</v>
      </c>
      <c r="L50" s="129">
        <v>54</v>
      </c>
      <c r="M50" s="109">
        <f t="shared" si="19"/>
        <v>-0.42592592592592604</v>
      </c>
      <c r="N50" s="130">
        <f t="shared" si="20"/>
        <v>0</v>
      </c>
      <c r="O50" s="429"/>
      <c r="P50" s="429"/>
      <c r="Q50" s="429"/>
      <c r="R50" s="429"/>
      <c r="S50" s="429"/>
      <c r="T50" s="429"/>
      <c r="U50" s="42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4" t="s">
        <v>382</v>
      </c>
      <c r="C51" s="187" t="s">
        <v>389</v>
      </c>
      <c r="D51" s="108">
        <v>5.03</v>
      </c>
      <c r="E51" s="108"/>
      <c r="F51" s="127"/>
      <c r="G51" s="128"/>
      <c r="H51" s="42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9"/>
      <c r="P51" s="429"/>
      <c r="Q51" s="429"/>
      <c r="R51" s="429"/>
      <c r="S51" s="429"/>
      <c r="T51" s="429"/>
      <c r="U51" s="429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24" t="s">
        <v>382</v>
      </c>
      <c r="C52" s="187" t="s">
        <v>391</v>
      </c>
      <c r="D52" s="108">
        <v>5.03</v>
      </c>
      <c r="E52" s="108"/>
      <c r="F52" s="127">
        <v>42739</v>
      </c>
      <c r="G52" s="128">
        <f>90*3+17+90*3</f>
        <v>557</v>
      </c>
      <c r="H52" s="425">
        <f t="shared" si="11"/>
        <v>2801.71</v>
      </c>
      <c r="I52" s="129">
        <v>9</v>
      </c>
      <c r="J52" s="130">
        <f t="array" ref="J52">IF(ISERROR(G52/I52),"",G52/I52)</f>
        <v>61.888888888888886</v>
      </c>
      <c r="K52" s="131">
        <f t="array" ref="K52">IF(ISERROR(G52/L52),"",G52/L52)</f>
        <v>10.314814814814815</v>
      </c>
      <c r="L52" s="129">
        <v>54</v>
      </c>
      <c r="M52" s="109">
        <f t="shared" si="19"/>
        <v>-1.3148148148148149</v>
      </c>
      <c r="N52" s="130">
        <f t="shared" si="20"/>
        <v>0</v>
      </c>
      <c r="O52" s="429"/>
      <c r="P52" s="429"/>
      <c r="Q52" s="429"/>
      <c r="R52" s="429"/>
      <c r="S52" s="429"/>
      <c r="T52" s="429"/>
      <c r="U52" s="42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4" t="s">
        <v>418</v>
      </c>
      <c r="C53" s="187" t="s">
        <v>364</v>
      </c>
      <c r="D53" s="108">
        <v>5.03</v>
      </c>
      <c r="E53" s="108"/>
      <c r="F53" s="127"/>
      <c r="G53" s="128"/>
      <c r="H53" s="42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9"/>
      <c r="P53" s="429"/>
      <c r="Q53" s="429"/>
      <c r="R53" s="429"/>
      <c r="S53" s="429"/>
      <c r="T53" s="429"/>
      <c r="U53" s="42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4" t="s">
        <v>418</v>
      </c>
      <c r="C54" s="187" t="s">
        <v>365</v>
      </c>
      <c r="D54" s="108">
        <v>5.03</v>
      </c>
      <c r="E54" s="108"/>
      <c r="F54" s="127"/>
      <c r="G54" s="128"/>
      <c r="H54" s="42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9"/>
      <c r="P54" s="429"/>
      <c r="Q54" s="429"/>
      <c r="R54" s="429"/>
      <c r="S54" s="429"/>
      <c r="T54" s="429"/>
      <c r="U54" s="42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4" t="s">
        <v>418</v>
      </c>
      <c r="C55" s="187" t="s">
        <v>366</v>
      </c>
      <c r="D55" s="108">
        <v>5.03</v>
      </c>
      <c r="E55" s="108"/>
      <c r="F55" s="127"/>
      <c r="G55" s="128"/>
      <c r="H55" s="42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9"/>
      <c r="P55" s="429"/>
      <c r="Q55" s="429"/>
      <c r="R55" s="429"/>
      <c r="S55" s="429"/>
      <c r="T55" s="429"/>
      <c r="U55" s="42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4" t="s">
        <v>418</v>
      </c>
      <c r="C56" s="187" t="s">
        <v>367</v>
      </c>
      <c r="D56" s="108">
        <v>5.03</v>
      </c>
      <c r="E56" s="108"/>
      <c r="F56" s="127"/>
      <c r="G56" s="128"/>
      <c r="H56" s="42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9"/>
      <c r="P56" s="429"/>
      <c r="Q56" s="429"/>
      <c r="R56" s="429"/>
      <c r="S56" s="429"/>
      <c r="T56" s="429"/>
      <c r="U56" s="42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3"/>
      <c r="P57" s="433"/>
      <c r="Q57" s="433"/>
      <c r="R57" s="433"/>
      <c r="S57" s="433"/>
      <c r="T57" s="433"/>
      <c r="U57" s="43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3"/>
      <c r="P58" s="433"/>
      <c r="Q58" s="433"/>
      <c r="R58" s="433"/>
      <c r="S58" s="433"/>
      <c r="T58" s="433"/>
      <c r="U58" s="43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3"/>
      <c r="P59" s="433"/>
      <c r="Q59" s="433"/>
      <c r="R59" s="433"/>
      <c r="S59" s="433"/>
      <c r="T59" s="433"/>
      <c r="U59" s="43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3"/>
      <c r="P60" s="433"/>
      <c r="Q60" s="433"/>
      <c r="R60" s="433"/>
      <c r="S60" s="433"/>
      <c r="T60" s="433"/>
      <c r="U60" s="43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3"/>
      <c r="P61" s="433"/>
      <c r="Q61" s="433"/>
      <c r="R61" s="433"/>
      <c r="S61" s="433"/>
      <c r="T61" s="433"/>
      <c r="U61" s="43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3"/>
      <c r="P62" s="433"/>
      <c r="Q62" s="433"/>
      <c r="R62" s="433"/>
      <c r="S62" s="433"/>
      <c r="T62" s="433"/>
      <c r="U62" s="43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3"/>
      <c r="P63" s="433"/>
      <c r="Q63" s="433"/>
      <c r="R63" s="433"/>
      <c r="S63" s="433"/>
      <c r="T63" s="433"/>
      <c r="U63" s="43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3"/>
      <c r="P64" s="433"/>
      <c r="Q64" s="433"/>
      <c r="R64" s="433"/>
      <c r="S64" s="433"/>
      <c r="T64" s="433"/>
      <c r="U64" s="43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3"/>
      <c r="P65" s="433"/>
      <c r="Q65" s="433"/>
      <c r="R65" s="433"/>
      <c r="S65" s="433"/>
      <c r="T65" s="433"/>
      <c r="U65" s="43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3"/>
      <c r="P66" s="433"/>
      <c r="Q66" s="433"/>
      <c r="R66" s="433"/>
      <c r="S66" s="433"/>
      <c r="T66" s="433"/>
      <c r="U66" s="43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2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3"/>
      <c r="P67" s="433"/>
      <c r="Q67" s="433"/>
      <c r="R67" s="433"/>
      <c r="S67" s="433"/>
      <c r="T67" s="433"/>
      <c r="U67" s="43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3"/>
      <c r="P68" s="433"/>
      <c r="Q68" s="433"/>
      <c r="R68" s="433"/>
      <c r="S68" s="433"/>
      <c r="T68" s="433"/>
      <c r="U68" s="43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3"/>
      <c r="P69" s="433"/>
      <c r="Q69" s="433"/>
      <c r="R69" s="433"/>
      <c r="S69" s="433"/>
      <c r="T69" s="433"/>
      <c r="U69" s="43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3"/>
      <c r="P70" s="433"/>
      <c r="Q70" s="433"/>
      <c r="R70" s="433"/>
      <c r="S70" s="433"/>
      <c r="T70" s="433"/>
      <c r="U70" s="433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5">
        <f t="shared" si="11"/>
        <v>0</v>
      </c>
      <c r="I71" s="129"/>
      <c r="J71" s="130"/>
      <c r="K71" s="131"/>
      <c r="L71" s="129"/>
      <c r="M71" s="109"/>
      <c r="N71" s="130"/>
      <c r="O71" s="433"/>
      <c r="P71" s="433"/>
      <c r="Q71" s="433"/>
      <c r="R71" s="433"/>
      <c r="S71" s="433"/>
      <c r="T71" s="433"/>
      <c r="U71" s="43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3"/>
      <c r="P72" s="433"/>
      <c r="Q72" s="433"/>
      <c r="R72" s="433"/>
      <c r="S72" s="433"/>
      <c r="T72" s="433"/>
      <c r="U72" s="43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3"/>
      <c r="P73" s="433"/>
      <c r="Q73" s="433"/>
      <c r="R73" s="433"/>
      <c r="S73" s="433"/>
      <c r="T73" s="433"/>
      <c r="U73" s="43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3"/>
      <c r="P74" s="433"/>
      <c r="Q74" s="433"/>
      <c r="R74" s="433"/>
      <c r="S74" s="433"/>
      <c r="T74" s="433"/>
      <c r="U74" s="43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3"/>
      <c r="P75" s="433"/>
      <c r="Q75" s="433"/>
      <c r="R75" s="433"/>
      <c r="S75" s="433"/>
      <c r="T75" s="433"/>
      <c r="U75" s="43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3"/>
      <c r="P76" s="433"/>
      <c r="Q76" s="433"/>
      <c r="R76" s="433"/>
      <c r="S76" s="433"/>
      <c r="T76" s="433"/>
      <c r="U76" s="43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3"/>
      <c r="P77" s="433"/>
      <c r="Q77" s="433"/>
      <c r="R77" s="433"/>
      <c r="S77" s="433"/>
      <c r="T77" s="433"/>
      <c r="U77" s="43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3"/>
      <c r="P78" s="433"/>
      <c r="Q78" s="433"/>
      <c r="R78" s="433"/>
      <c r="S78" s="433"/>
      <c r="T78" s="433"/>
      <c r="U78" s="43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3"/>
      <c r="P79" s="433"/>
      <c r="Q79" s="433"/>
      <c r="R79" s="433"/>
      <c r="S79" s="433"/>
      <c r="T79" s="433"/>
      <c r="U79" s="43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3"/>
      <c r="P80" s="433"/>
      <c r="Q80" s="433"/>
      <c r="R80" s="433"/>
      <c r="S80" s="433"/>
      <c r="T80" s="433"/>
      <c r="U80" s="43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3"/>
      <c r="P81" s="433"/>
      <c r="Q81" s="433"/>
      <c r="R81" s="433"/>
      <c r="S81" s="433"/>
      <c r="T81" s="433"/>
      <c r="U81" s="43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3"/>
      <c r="P82" s="433"/>
      <c r="Q82" s="433"/>
      <c r="R82" s="433"/>
      <c r="S82" s="433"/>
      <c r="T82" s="433"/>
      <c r="U82" s="43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3"/>
      <c r="P83" s="433"/>
      <c r="Q83" s="433"/>
      <c r="R83" s="433"/>
      <c r="S83" s="433"/>
      <c r="T83" s="433"/>
      <c r="U83" s="43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3"/>
      <c r="P84" s="433"/>
      <c r="Q84" s="433"/>
      <c r="R84" s="433"/>
      <c r="S84" s="433"/>
      <c r="T84" s="433"/>
      <c r="U84" s="43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3"/>
      <c r="P85" s="433"/>
      <c r="Q85" s="433"/>
      <c r="R85" s="433"/>
      <c r="S85" s="433"/>
      <c r="T85" s="433"/>
      <c r="U85" s="433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34" t="s">
        <v>202</v>
      </c>
      <c r="D86" s="143"/>
      <c r="E86" s="143"/>
      <c r="F86" s="144"/>
      <c r="G86" s="145">
        <f>SUM(G29:G85)</f>
        <v>3044</v>
      </c>
      <c r="H86" s="146">
        <f>SUM(H29:H85)</f>
        <v>15351.52</v>
      </c>
      <c r="I86" s="146">
        <f>SUM(I29:I85)</f>
        <v>60</v>
      </c>
      <c r="J86" s="130">
        <f t="array" ref="J86">IF(ISERROR(G86/I86),"",G86/I86)</f>
        <v>50.733333333333334</v>
      </c>
      <c r="K86" s="146">
        <f>SUM(K29:K85)</f>
        <v>80.872608872608865</v>
      </c>
      <c r="L86" s="147"/>
      <c r="M86" s="150">
        <f t="shared" ref="M86:V86" si="34">SUM(M29:M85)</f>
        <v>-20.872608872608872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4" t="s">
        <v>217</v>
      </c>
      <c r="C87" s="126" t="s">
        <v>179</v>
      </c>
      <c r="D87" s="108">
        <v>5.03</v>
      </c>
      <c r="E87" s="108"/>
      <c r="F87" s="127"/>
      <c r="G87" s="128"/>
      <c r="H87" s="42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433"/>
      <c r="P87" s="433"/>
      <c r="Q87" s="433"/>
      <c r="R87" s="433"/>
      <c r="S87" s="433"/>
      <c r="T87" s="433"/>
      <c r="U87" s="43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4" t="s">
        <v>217</v>
      </c>
      <c r="C88" s="126" t="s">
        <v>186</v>
      </c>
      <c r="D88" s="108">
        <v>5.03</v>
      </c>
      <c r="E88" s="108"/>
      <c r="F88" s="127"/>
      <c r="G88" s="128"/>
      <c r="H88" s="42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3"/>
      <c r="P88" s="433"/>
      <c r="Q88" s="433"/>
      <c r="R88" s="433"/>
      <c r="S88" s="433"/>
      <c r="T88" s="433"/>
      <c r="U88" s="43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4" t="s">
        <v>217</v>
      </c>
      <c r="C89" s="126" t="s">
        <v>204</v>
      </c>
      <c r="D89" s="108">
        <v>5.03</v>
      </c>
      <c r="E89" s="108"/>
      <c r="F89" s="127"/>
      <c r="G89" s="128"/>
      <c r="H89" s="42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3"/>
      <c r="P89" s="433"/>
      <c r="Q89" s="433"/>
      <c r="R89" s="433"/>
      <c r="S89" s="433"/>
      <c r="T89" s="433"/>
      <c r="U89" s="43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33"/>
      <c r="P90" s="433"/>
      <c r="Q90" s="433"/>
      <c r="R90" s="433"/>
      <c r="S90" s="433"/>
      <c r="T90" s="433"/>
      <c r="U90" s="43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2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33"/>
      <c r="P91" s="433"/>
      <c r="Q91" s="433"/>
      <c r="R91" s="433"/>
      <c r="S91" s="433"/>
      <c r="T91" s="433"/>
      <c r="U91" s="43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2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3"/>
      <c r="P92" s="433"/>
      <c r="Q92" s="433"/>
      <c r="R92" s="433"/>
      <c r="S92" s="433"/>
      <c r="T92" s="433"/>
      <c r="U92" s="43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42738</v>
      </c>
      <c r="G93" s="128">
        <f>108*2+73</f>
        <v>289</v>
      </c>
      <c r="H93" s="425">
        <f t="shared" si="36"/>
        <v>1453.67</v>
      </c>
      <c r="I93" s="129">
        <f>11*4</f>
        <v>44</v>
      </c>
      <c r="J93" s="130">
        <f t="array" ref="J93">IF(ISERROR(G93/I93),"",G93/I93)</f>
        <v>6.5681818181818183</v>
      </c>
      <c r="K93" s="131">
        <f t="array" ref="K93">IF(ISERROR(G93/L93),"",G93/L93)</f>
        <v>31.0752688172043</v>
      </c>
      <c r="L93" s="129">
        <v>9.3000000000000007</v>
      </c>
      <c r="M93" s="109">
        <f t="shared" si="37"/>
        <v>12.9247311827957</v>
      </c>
      <c r="N93" s="130">
        <f t="shared" si="38"/>
        <v>0</v>
      </c>
      <c r="O93" s="433"/>
      <c r="P93" s="433"/>
      <c r="Q93" s="433"/>
      <c r="R93" s="433"/>
      <c r="S93" s="433"/>
      <c r="T93" s="433"/>
      <c r="U93" s="433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3"/>
      <c r="P94" s="433"/>
      <c r="Q94" s="433"/>
      <c r="R94" s="433"/>
      <c r="S94" s="433"/>
      <c r="T94" s="433"/>
      <c r="U94" s="43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3"/>
      <c r="P95" s="433"/>
      <c r="Q95" s="433"/>
      <c r="R95" s="433"/>
      <c r="S95" s="433"/>
      <c r="T95" s="433"/>
      <c r="U95" s="43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3"/>
      <c r="P96" s="433"/>
      <c r="Q96" s="433"/>
      <c r="R96" s="433"/>
      <c r="S96" s="433"/>
      <c r="T96" s="433"/>
      <c r="U96" s="43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3"/>
      <c r="P97" s="433"/>
      <c r="Q97" s="433"/>
      <c r="R97" s="433"/>
      <c r="S97" s="433"/>
      <c r="T97" s="433"/>
      <c r="U97" s="43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3"/>
      <c r="P98" s="433"/>
      <c r="Q98" s="433"/>
      <c r="R98" s="433"/>
      <c r="S98" s="433"/>
      <c r="T98" s="433"/>
      <c r="U98" s="43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2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3"/>
      <c r="P99" s="433"/>
      <c r="Q99" s="433"/>
      <c r="R99" s="433"/>
      <c r="S99" s="433"/>
      <c r="T99" s="433"/>
      <c r="U99" s="43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3"/>
      <c r="P100" s="433"/>
      <c r="Q100" s="433"/>
      <c r="R100" s="433"/>
      <c r="S100" s="433"/>
      <c r="T100" s="433"/>
      <c r="U100" s="43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3"/>
      <c r="P101" s="433"/>
      <c r="Q101" s="433"/>
      <c r="R101" s="433"/>
      <c r="S101" s="433"/>
      <c r="T101" s="433"/>
      <c r="U101" s="43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3"/>
      <c r="P102" s="433"/>
      <c r="Q102" s="433"/>
      <c r="R102" s="433"/>
      <c r="S102" s="433"/>
      <c r="T102" s="433"/>
      <c r="U102" s="43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3"/>
      <c r="P103" s="433"/>
      <c r="Q103" s="433"/>
      <c r="R103" s="433"/>
      <c r="S103" s="433"/>
      <c r="T103" s="433"/>
      <c r="U103" s="43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3"/>
      <c r="P104" s="433"/>
      <c r="Q104" s="433"/>
      <c r="R104" s="433"/>
      <c r="S104" s="433"/>
      <c r="T104" s="433"/>
      <c r="U104" s="43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3"/>
      <c r="P105" s="433"/>
      <c r="Q105" s="433"/>
      <c r="R105" s="433"/>
      <c r="S105" s="433"/>
      <c r="T105" s="433"/>
      <c r="U105" s="43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3"/>
      <c r="P106" s="433"/>
      <c r="Q106" s="433"/>
      <c r="R106" s="433"/>
      <c r="S106" s="433"/>
      <c r="T106" s="433"/>
      <c r="U106" s="43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4" t="s">
        <v>393</v>
      </c>
      <c r="C107" s="187" t="s">
        <v>395</v>
      </c>
      <c r="D107" s="108">
        <v>5</v>
      </c>
      <c r="E107" s="108"/>
      <c r="F107" s="127"/>
      <c r="G107" s="128"/>
      <c r="H107" s="42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3"/>
      <c r="P107" s="433"/>
      <c r="Q107" s="433"/>
      <c r="R107" s="433"/>
      <c r="S107" s="433"/>
      <c r="T107" s="433"/>
      <c r="U107" s="433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24" t="s">
        <v>393</v>
      </c>
      <c r="C108" s="187" t="s">
        <v>402</v>
      </c>
      <c r="D108" s="108">
        <v>5</v>
      </c>
      <c r="E108" s="108"/>
      <c r="F108" s="127">
        <v>42738</v>
      </c>
      <c r="G108" s="128">
        <f>9+39</f>
        <v>48</v>
      </c>
      <c r="H108" s="425">
        <f t="shared" si="36"/>
        <v>240</v>
      </c>
      <c r="I108" s="129">
        <v>10</v>
      </c>
      <c r="J108" s="130">
        <f t="array" ref="J108">IF(ISERROR(G108/I108),"",G108/I108)</f>
        <v>4.8</v>
      </c>
      <c r="K108" s="131">
        <f t="array" ref="K108">IF(ISERROR(G108/L108),"",G108/L108)</f>
        <v>9.6</v>
      </c>
      <c r="L108" s="129">
        <v>5</v>
      </c>
      <c r="M108" s="109">
        <f t="shared" si="37"/>
        <v>0.40000000000000036</v>
      </c>
      <c r="N108" s="130">
        <f t="shared" si="40"/>
        <v>0</v>
      </c>
      <c r="O108" s="433"/>
      <c r="P108" s="433"/>
      <c r="Q108" s="433"/>
      <c r="R108" s="433"/>
      <c r="S108" s="433"/>
      <c r="T108" s="433"/>
      <c r="U108" s="43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4" t="s">
        <v>404</v>
      </c>
      <c r="C109" s="187" t="s">
        <v>405</v>
      </c>
      <c r="D109" s="108">
        <v>5</v>
      </c>
      <c r="E109" s="108"/>
      <c r="F109" s="127"/>
      <c r="G109" s="128"/>
      <c r="H109" s="42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3"/>
      <c r="P109" s="433"/>
      <c r="Q109" s="433"/>
      <c r="R109" s="433"/>
      <c r="S109" s="433"/>
      <c r="T109" s="433"/>
      <c r="U109" s="43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4" t="s">
        <v>492</v>
      </c>
      <c r="C110" s="187" t="s">
        <v>372</v>
      </c>
      <c r="D110" s="108">
        <v>5</v>
      </c>
      <c r="E110" s="108"/>
      <c r="F110" s="127"/>
      <c r="G110" s="128"/>
      <c r="H110" s="42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3"/>
      <c r="P110" s="433"/>
      <c r="Q110" s="433"/>
      <c r="R110" s="433"/>
      <c r="S110" s="433"/>
      <c r="T110" s="433"/>
      <c r="U110" s="43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4" t="s">
        <v>343</v>
      </c>
      <c r="C111" s="126" t="s">
        <v>345</v>
      </c>
      <c r="D111" s="108">
        <v>5</v>
      </c>
      <c r="E111" s="108"/>
      <c r="F111" s="127"/>
      <c r="G111" s="128"/>
      <c r="H111" s="42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3"/>
      <c r="P111" s="433"/>
      <c r="Q111" s="433"/>
      <c r="R111" s="433"/>
      <c r="S111" s="433"/>
      <c r="T111" s="433"/>
      <c r="U111" s="43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4" t="s">
        <v>343</v>
      </c>
      <c r="C112" s="126" t="s">
        <v>347</v>
      </c>
      <c r="D112" s="108">
        <v>5</v>
      </c>
      <c r="E112" s="108"/>
      <c r="F112" s="127"/>
      <c r="G112" s="128"/>
      <c r="H112" s="42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3"/>
      <c r="P112" s="433"/>
      <c r="Q112" s="433"/>
      <c r="R112" s="433"/>
      <c r="S112" s="433"/>
      <c r="T112" s="433"/>
      <c r="U112" s="43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3"/>
      <c r="P113" s="433"/>
      <c r="Q113" s="433"/>
      <c r="R113" s="433"/>
      <c r="S113" s="433"/>
      <c r="T113" s="433"/>
      <c r="U113" s="43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3"/>
      <c r="P114" s="433"/>
      <c r="Q114" s="433"/>
      <c r="R114" s="433"/>
      <c r="S114" s="433"/>
      <c r="T114" s="433"/>
      <c r="U114" s="43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>
        <v>42736</v>
      </c>
      <c r="G115" s="128">
        <v>10</v>
      </c>
      <c r="H115" s="425">
        <f t="shared" si="36"/>
        <v>50</v>
      </c>
      <c r="I115" s="129">
        <v>1</v>
      </c>
      <c r="J115" s="130">
        <f t="array" ref="J115">IF(ISERROR(G115/I115),"",G115/I115)</f>
        <v>10</v>
      </c>
      <c r="K115" s="131">
        <f t="array" ref="K115">IF(ISERROR(G115/L115),"",G115/L115)</f>
        <v>0.41666666666666669</v>
      </c>
      <c r="L115" s="129">
        <v>24</v>
      </c>
      <c r="M115" s="109">
        <f t="shared" si="37"/>
        <v>0.58333333333333326</v>
      </c>
      <c r="N115" s="130"/>
      <c r="O115" s="433"/>
      <c r="P115" s="433"/>
      <c r="Q115" s="433"/>
      <c r="R115" s="433"/>
      <c r="S115" s="433"/>
      <c r="T115" s="433"/>
      <c r="U115" s="43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5">
        <f t="shared" si="36"/>
        <v>0</v>
      </c>
      <c r="I116" s="129"/>
      <c r="J116" s="130" t="str">
        <f t="array" ref="J116">IF(ISERROR(G116/I116),"",G116/I116)</f>
        <v/>
      </c>
      <c r="K116" s="131">
        <f t="array" ref="K116">IF(ISERROR(G116/L116),"",G116/L116)</f>
        <v>0</v>
      </c>
      <c r="L116" s="129">
        <v>24</v>
      </c>
      <c r="M116" s="109">
        <f t="shared" si="37"/>
        <v>0</v>
      </c>
      <c r="N116" s="130"/>
      <c r="O116" s="433"/>
      <c r="P116" s="433"/>
      <c r="Q116" s="433"/>
      <c r="R116" s="433"/>
      <c r="S116" s="433"/>
      <c r="T116" s="433"/>
      <c r="U116" s="433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42736</v>
      </c>
      <c r="G117" s="128">
        <f>42+6</f>
        <v>48</v>
      </c>
      <c r="H117" s="425">
        <f t="shared" si="36"/>
        <v>240</v>
      </c>
      <c r="I117" s="129">
        <v>1.5</v>
      </c>
      <c r="J117" s="130">
        <f t="array" ref="J117">IF(ISERROR(G117/I117),"",G117/I117)</f>
        <v>32</v>
      </c>
      <c r="K117" s="131">
        <f t="array" ref="K117">IF(ISERROR(G117/L117),"",G117/L117)</f>
        <v>2</v>
      </c>
      <c r="L117" s="129">
        <v>24</v>
      </c>
      <c r="M117" s="109">
        <f t="shared" si="37"/>
        <v>-0.5</v>
      </c>
      <c r="N117" s="130"/>
      <c r="O117" s="433"/>
      <c r="P117" s="433"/>
      <c r="Q117" s="433"/>
      <c r="R117" s="433"/>
      <c r="S117" s="433"/>
      <c r="T117" s="433"/>
      <c r="U117" s="43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33"/>
      <c r="P118" s="433"/>
      <c r="Q118" s="433"/>
      <c r="R118" s="433"/>
      <c r="S118" s="433"/>
      <c r="T118" s="433"/>
      <c r="U118" s="43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2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33"/>
      <c r="P119" s="433"/>
      <c r="Q119" s="433"/>
      <c r="R119" s="433"/>
      <c r="S119" s="433"/>
      <c r="T119" s="433"/>
      <c r="U119" s="43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25">
        <f t="shared" si="36"/>
        <v>0</v>
      </c>
      <c r="I120" s="129"/>
      <c r="J120" s="130" t="str">
        <f t="array" ref="J120">IF(ISERROR(G120/I120),"",G120/I120)</f>
        <v/>
      </c>
      <c r="K120" s="42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33"/>
      <c r="P120" s="433"/>
      <c r="Q120" s="433"/>
      <c r="R120" s="433"/>
      <c r="S120" s="433"/>
      <c r="T120" s="433"/>
      <c r="U120" s="43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434" t="s">
        <v>202</v>
      </c>
      <c r="D121" s="143"/>
      <c r="E121" s="143"/>
      <c r="F121" s="144"/>
      <c r="G121" s="145">
        <f>SUM(G87:G120)</f>
        <v>395</v>
      </c>
      <c r="H121" s="146">
        <f>SUM(H87:H120)</f>
        <v>1983.67</v>
      </c>
      <c r="I121" s="146">
        <f>SUM(I87:I120)</f>
        <v>56.5</v>
      </c>
      <c r="J121" s="130">
        <f t="array" ref="J121">IF(ISERROR(G121/I121),"",G121/I121)</f>
        <v>6.9911504424778759</v>
      </c>
      <c r="K121" s="146">
        <f>SUM(K87:K120)</f>
        <v>43.091935483870962</v>
      </c>
      <c r="L121" s="147"/>
      <c r="M121" s="150">
        <f t="shared" ref="M121:V121" si="50">SUM(M87:M120)</f>
        <v>13.408064516129034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3"/>
      <c r="P122" s="433"/>
      <c r="Q122" s="433"/>
      <c r="R122" s="433"/>
      <c r="S122" s="433"/>
      <c r="T122" s="433"/>
      <c r="U122" s="43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3"/>
      <c r="P123" s="433"/>
      <c r="Q123" s="433"/>
      <c r="R123" s="433"/>
      <c r="S123" s="433"/>
      <c r="T123" s="433"/>
      <c r="U123" s="43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3"/>
      <c r="P124" s="433"/>
      <c r="Q124" s="433"/>
      <c r="R124" s="433"/>
      <c r="S124" s="433"/>
      <c r="T124" s="433"/>
      <c r="U124" s="433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2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3"/>
      <c r="P125" s="433"/>
      <c r="Q125" s="433"/>
      <c r="R125" s="433"/>
      <c r="S125" s="433"/>
      <c r="T125" s="433"/>
      <c r="U125" s="43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0" t="s">
        <v>203</v>
      </c>
      <c r="D126" s="108">
        <v>5.03</v>
      </c>
      <c r="E126" s="108"/>
      <c r="F126" s="127"/>
      <c r="G126" s="128"/>
      <c r="H126" s="42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3"/>
      <c r="P126" s="433"/>
      <c r="Q126" s="433"/>
      <c r="R126" s="433"/>
      <c r="S126" s="433"/>
      <c r="T126" s="433"/>
      <c r="U126" s="43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3"/>
      <c r="P127" s="433"/>
      <c r="Q127" s="433"/>
      <c r="R127" s="433"/>
      <c r="S127" s="433"/>
      <c r="T127" s="433"/>
      <c r="U127" s="43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3"/>
      <c r="P128" s="433"/>
      <c r="Q128" s="433"/>
      <c r="R128" s="433"/>
      <c r="S128" s="433"/>
      <c r="T128" s="433"/>
      <c r="U128" s="43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0" t="s">
        <v>228</v>
      </c>
      <c r="D129" s="108">
        <v>5.03</v>
      </c>
      <c r="E129" s="108"/>
      <c r="F129" s="127"/>
      <c r="G129" s="128"/>
      <c r="H129" s="42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3"/>
      <c r="P129" s="433"/>
      <c r="Q129" s="433"/>
      <c r="R129" s="433"/>
      <c r="S129" s="433"/>
      <c r="T129" s="433"/>
      <c r="U129" s="43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0" t="s">
        <v>212</v>
      </c>
      <c r="D130" s="108">
        <v>5.03</v>
      </c>
      <c r="E130" s="108"/>
      <c r="F130" s="127"/>
      <c r="G130" s="128"/>
      <c r="H130" s="42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3"/>
      <c r="P130" s="433"/>
      <c r="Q130" s="433"/>
      <c r="R130" s="433"/>
      <c r="S130" s="433"/>
      <c r="T130" s="433"/>
      <c r="U130" s="43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0" t="s">
        <v>203</v>
      </c>
      <c r="D131" s="108">
        <v>5.03</v>
      </c>
      <c r="E131" s="108"/>
      <c r="F131" s="127"/>
      <c r="G131" s="128"/>
      <c r="H131" s="42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3"/>
      <c r="P131" s="433"/>
      <c r="Q131" s="433"/>
      <c r="R131" s="433"/>
      <c r="S131" s="433"/>
      <c r="T131" s="433"/>
      <c r="U131" s="43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0" t="s">
        <v>186</v>
      </c>
      <c r="D132" s="108">
        <v>5.03</v>
      </c>
      <c r="E132" s="108"/>
      <c r="F132" s="127"/>
      <c r="G132" s="128"/>
      <c r="H132" s="42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3"/>
      <c r="P132" s="433"/>
      <c r="Q132" s="433"/>
      <c r="R132" s="433"/>
      <c r="S132" s="433"/>
      <c r="T132" s="433"/>
      <c r="U132" s="43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0" t="s">
        <v>228</v>
      </c>
      <c r="D133" s="108">
        <v>5.03</v>
      </c>
      <c r="E133" s="108"/>
      <c r="F133" s="127"/>
      <c r="G133" s="128"/>
      <c r="H133" s="42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3"/>
      <c r="P133" s="433"/>
      <c r="Q133" s="433"/>
      <c r="R133" s="433"/>
      <c r="S133" s="433"/>
      <c r="T133" s="433"/>
      <c r="U133" s="43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0" t="s">
        <v>199</v>
      </c>
      <c r="D134" s="108">
        <v>5.03</v>
      </c>
      <c r="E134" s="108"/>
      <c r="F134" s="127"/>
      <c r="G134" s="128"/>
      <c r="H134" s="42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3"/>
      <c r="P134" s="433"/>
      <c r="Q134" s="433"/>
      <c r="R134" s="433"/>
      <c r="S134" s="433"/>
      <c r="T134" s="433"/>
      <c r="U134" s="43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3"/>
      <c r="P135" s="433"/>
      <c r="Q135" s="433"/>
      <c r="R135" s="433"/>
      <c r="S135" s="433"/>
      <c r="T135" s="433"/>
      <c r="U135" s="43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3"/>
      <c r="P136" s="433"/>
      <c r="Q136" s="433"/>
      <c r="R136" s="433"/>
      <c r="S136" s="433"/>
      <c r="T136" s="433"/>
      <c r="U136" s="43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618" t="s">
        <v>231</v>
      </c>
      <c r="B137" s="619"/>
      <c r="C137" s="43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5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3"/>
      <c r="P138" s="433"/>
      <c r="Q138" s="433"/>
      <c r="R138" s="433"/>
      <c r="S138" s="433"/>
      <c r="T138" s="433"/>
      <c r="U138" s="43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3"/>
      <c r="P139" s="433"/>
      <c r="Q139" s="433"/>
      <c r="R139" s="433"/>
      <c r="S139" s="433"/>
      <c r="T139" s="433"/>
      <c r="U139" s="43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3"/>
      <c r="P140" s="433"/>
      <c r="Q140" s="433"/>
      <c r="R140" s="433"/>
      <c r="S140" s="433"/>
      <c r="T140" s="433"/>
      <c r="U140" s="43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2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3"/>
      <c r="P141" s="433"/>
      <c r="Q141" s="433"/>
      <c r="R141" s="433"/>
      <c r="S141" s="433"/>
      <c r="T141" s="433"/>
      <c r="U141" s="43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3"/>
      <c r="P142" s="433"/>
      <c r="Q142" s="433"/>
      <c r="R142" s="433"/>
      <c r="S142" s="433"/>
      <c r="T142" s="433"/>
      <c r="U142" s="43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3"/>
      <c r="P143" s="433"/>
      <c r="Q143" s="433"/>
      <c r="R143" s="433"/>
      <c r="S143" s="433"/>
      <c r="T143" s="433"/>
      <c r="U143" s="43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f>90*5+58</f>
        <v>508</v>
      </c>
      <c r="H144" s="425">
        <f t="shared" si="55"/>
        <v>2560.3200000000002</v>
      </c>
      <c r="I144" s="129">
        <f>11*4</f>
        <v>44</v>
      </c>
      <c r="J144" s="130">
        <f t="array" ref="J144">IF(ISERROR(G144/I144),"",G144/I144)</f>
        <v>11.545454545454545</v>
      </c>
      <c r="K144" s="131">
        <f t="array" ref="K144">IF(ISERROR(G144/L144),"",G144/L144)</f>
        <v>37.629629629629626</v>
      </c>
      <c r="L144" s="129">
        <v>13.5</v>
      </c>
      <c r="M144" s="109">
        <f t="shared" ref="M144" si="59">IF(ISERROR(I144-K144),"",I144-K144)</f>
        <v>6.3703703703703738</v>
      </c>
      <c r="N144" s="130"/>
      <c r="O144" s="433"/>
      <c r="P144" s="433"/>
      <c r="Q144" s="433"/>
      <c r="R144" s="433"/>
      <c r="S144" s="433"/>
      <c r="T144" s="433"/>
      <c r="U144" s="433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25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33"/>
      <c r="P145" s="433"/>
      <c r="Q145" s="433"/>
      <c r="R145" s="433"/>
      <c r="S145" s="433"/>
      <c r="T145" s="433"/>
      <c r="U145" s="433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3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25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33"/>
      <c r="P147" s="433"/>
      <c r="Q147" s="433"/>
      <c r="R147" s="433"/>
      <c r="S147" s="433"/>
      <c r="T147" s="433"/>
      <c r="U147" s="433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434" t="s">
        <v>202</v>
      </c>
      <c r="D148" s="143"/>
      <c r="E148" s="143"/>
      <c r="F148" s="144"/>
      <c r="G148" s="145">
        <f>SUM(G138:G147)</f>
        <v>508</v>
      </c>
      <c r="H148" s="146">
        <f>SUM(H138:H147)</f>
        <v>2560.3200000000002</v>
      </c>
      <c r="I148" s="146">
        <f>SUM(I138:I147)</f>
        <v>44</v>
      </c>
      <c r="J148" s="130">
        <f t="array" ref="J148">IF(ISERROR(G148/I148),"",G148/I148)</f>
        <v>11.545454545454545</v>
      </c>
      <c r="K148" s="146">
        <f>SUM(K138:K147)</f>
        <v>37.629629629629626</v>
      </c>
      <c r="L148" s="147"/>
      <c r="M148" s="150">
        <f>SUM(M138:M147)</f>
        <v>6.3703703703703738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31"/>
      <c r="D149" s="108">
        <v>3.65</v>
      </c>
      <c r="E149" s="108"/>
      <c r="F149" s="153"/>
      <c r="G149" s="128"/>
      <c r="H149" s="425">
        <f t="shared" ref="H149:H162" si="64">D149*G149</f>
        <v>0</v>
      </c>
      <c r="I149" s="129"/>
      <c r="J149" s="130" t="str">
        <f t="array" ref="J149">IF(ISERROR(G149/I149),"",G149/I149)</f>
        <v/>
      </c>
      <c r="K149" s="425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33"/>
      <c r="P149" s="433"/>
      <c r="Q149" s="433"/>
      <c r="R149" s="433"/>
      <c r="S149" s="433"/>
      <c r="T149" s="433"/>
      <c r="U149" s="433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30700014</v>
      </c>
      <c r="B150" s="141" t="s">
        <v>236</v>
      </c>
      <c r="C150" s="431"/>
      <c r="D150" s="108">
        <v>6.58</v>
      </c>
      <c r="E150" s="108"/>
      <c r="F150" s="127"/>
      <c r="G150" s="128"/>
      <c r="H150" s="425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5</v>
      </c>
      <c r="M150" s="109">
        <f t="shared" si="65"/>
        <v>0</v>
      </c>
      <c r="N150" s="130">
        <f t="shared" si="66"/>
        <v>0</v>
      </c>
      <c r="O150" s="433"/>
      <c r="P150" s="433"/>
      <c r="Q150" s="433"/>
      <c r="R150" s="433"/>
      <c r="S150" s="433"/>
      <c r="T150" s="433"/>
      <c r="U150" s="433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31"/>
      <c r="D151" s="108">
        <v>7.8</v>
      </c>
      <c r="E151" s="108"/>
      <c r="F151" s="127">
        <v>42737</v>
      </c>
      <c r="G151" s="128">
        <v>33</v>
      </c>
      <c r="H151" s="425">
        <f t="shared" si="64"/>
        <v>257.39999999999998</v>
      </c>
      <c r="I151" s="129">
        <v>8</v>
      </c>
      <c r="J151" s="130">
        <f t="array" ref="J151">IF(ISERROR(G151/I151),"",G151/I151)</f>
        <v>4.125</v>
      </c>
      <c r="K151" s="131">
        <f t="array" ref="K151">IF(ISERROR(G151/L151),"",G151/L151)</f>
        <v>7.1739130434782616</v>
      </c>
      <c r="L151" s="129">
        <v>4.5999999999999996</v>
      </c>
      <c r="M151" s="109">
        <f t="shared" si="65"/>
        <v>0.82608695652173836</v>
      </c>
      <c r="N151" s="130">
        <f t="shared" si="66"/>
        <v>0</v>
      </c>
      <c r="O151" s="433"/>
      <c r="P151" s="433"/>
      <c r="Q151" s="433"/>
      <c r="R151" s="433"/>
      <c r="S151" s="433"/>
      <c r="T151" s="433"/>
      <c r="U151" s="433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31"/>
      <c r="D152" s="108">
        <v>4.4000000000000004</v>
      </c>
      <c r="E152" s="108"/>
      <c r="F152" s="127">
        <v>42737</v>
      </c>
      <c r="G152" s="128">
        <v>56</v>
      </c>
      <c r="H152" s="425">
        <f t="shared" si="64"/>
        <v>246.40000000000003</v>
      </c>
      <c r="I152" s="129">
        <f>11*2</f>
        <v>22</v>
      </c>
      <c r="J152" s="130">
        <f t="array" ref="J152">IF(ISERROR(G152/I152),"",G152/I152)</f>
        <v>2.5454545454545454</v>
      </c>
      <c r="K152" s="131">
        <f t="array" ref="K152">IF(ISERROR(G152/L152),"",G152/L152)</f>
        <v>9.6551724137931032</v>
      </c>
      <c r="L152" s="129">
        <v>5.8</v>
      </c>
      <c r="M152" s="109">
        <f t="shared" si="65"/>
        <v>12.344827586206897</v>
      </c>
      <c r="N152" s="130">
        <f t="shared" si="66"/>
        <v>0</v>
      </c>
      <c r="O152" s="433"/>
      <c r="P152" s="433"/>
      <c r="Q152" s="433"/>
      <c r="R152" s="433"/>
      <c r="S152" s="433"/>
      <c r="T152" s="433"/>
      <c r="U152" s="433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25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33"/>
      <c r="P153" s="433"/>
      <c r="Q153" s="433"/>
      <c r="R153" s="433"/>
      <c r="S153" s="433"/>
      <c r="T153" s="433"/>
      <c r="U153" s="433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31" t="s">
        <v>239</v>
      </c>
      <c r="C154" s="431" t="s">
        <v>179</v>
      </c>
      <c r="D154" s="108">
        <v>6.04</v>
      </c>
      <c r="E154" s="108"/>
      <c r="F154" s="127"/>
      <c r="G154" s="128"/>
      <c r="H154" s="425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33"/>
      <c r="P154" s="433"/>
      <c r="Q154" s="433"/>
      <c r="R154" s="433"/>
      <c r="S154" s="433"/>
      <c r="T154" s="433"/>
      <c r="U154" s="433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31" t="s">
        <v>239</v>
      </c>
      <c r="C155" s="431" t="s">
        <v>186</v>
      </c>
      <c r="D155" s="108">
        <v>6.04</v>
      </c>
      <c r="E155" s="108"/>
      <c r="F155" s="127"/>
      <c r="G155" s="128"/>
      <c r="H155" s="425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33"/>
      <c r="P155" s="433"/>
      <c r="Q155" s="433"/>
      <c r="R155" s="433"/>
      <c r="S155" s="433"/>
      <c r="T155" s="433"/>
      <c r="U155" s="433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31" t="s">
        <v>443</v>
      </c>
      <c r="C156" s="431" t="s">
        <v>179</v>
      </c>
      <c r="D156" s="108">
        <v>6</v>
      </c>
      <c r="E156" s="108"/>
      <c r="F156" s="127"/>
      <c r="G156" s="128"/>
      <c r="H156" s="425">
        <f t="shared" si="64"/>
        <v>0</v>
      </c>
      <c r="I156" s="129"/>
      <c r="J156" s="130"/>
      <c r="K156" s="131"/>
      <c r="L156" s="129"/>
      <c r="M156" s="109"/>
      <c r="N156" s="130"/>
      <c r="O156" s="433"/>
      <c r="P156" s="433"/>
      <c r="Q156" s="433"/>
      <c r="R156" s="433"/>
      <c r="S156" s="433"/>
      <c r="T156" s="433"/>
      <c r="U156" s="43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31" t="s">
        <v>443</v>
      </c>
      <c r="C157" s="431" t="s">
        <v>60</v>
      </c>
      <c r="D157" s="108">
        <v>6</v>
      </c>
      <c r="E157" s="108"/>
      <c r="F157" s="127"/>
      <c r="G157" s="128"/>
      <c r="H157" s="425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33"/>
      <c r="P157" s="433"/>
      <c r="Q157" s="433"/>
      <c r="R157" s="433"/>
      <c r="S157" s="433"/>
      <c r="T157" s="433"/>
      <c r="U157" s="433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24" t="s">
        <v>240</v>
      </c>
      <c r="C158" s="126"/>
      <c r="D158" s="108">
        <v>7.3</v>
      </c>
      <c r="E158" s="108"/>
      <c r="F158" s="127"/>
      <c r="G158" s="128"/>
      <c r="H158" s="425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33"/>
      <c r="P158" s="433"/>
      <c r="Q158" s="433"/>
      <c r="R158" s="433"/>
      <c r="S158" s="433"/>
      <c r="T158" s="433"/>
      <c r="U158" s="433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24" t="s">
        <v>241</v>
      </c>
      <c r="C159" s="126"/>
      <c r="D159" s="108">
        <f>78*120/1000</f>
        <v>9.36</v>
      </c>
      <c r="E159" s="108"/>
      <c r="F159" s="127"/>
      <c r="G159" s="128"/>
      <c r="H159" s="425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33"/>
      <c r="P159" s="433"/>
      <c r="Q159" s="433"/>
      <c r="R159" s="433"/>
      <c r="S159" s="433"/>
      <c r="T159" s="433"/>
      <c r="U159" s="433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24" t="s">
        <v>242</v>
      </c>
      <c r="C160" s="126"/>
      <c r="D160" s="108">
        <v>4.5</v>
      </c>
      <c r="E160" s="108"/>
      <c r="F160" s="127"/>
      <c r="G160" s="128"/>
      <c r="H160" s="425">
        <f t="shared" si="64"/>
        <v>0</v>
      </c>
      <c r="I160" s="129"/>
      <c r="J160" s="130"/>
      <c r="K160" s="131"/>
      <c r="L160" s="129"/>
      <c r="M160" s="109"/>
      <c r="N160" s="130"/>
      <c r="O160" s="433"/>
      <c r="P160" s="433"/>
      <c r="Q160" s="433"/>
      <c r="R160" s="433"/>
      <c r="S160" s="433"/>
      <c r="T160" s="433"/>
      <c r="U160" s="43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24" t="s">
        <v>243</v>
      </c>
      <c r="C161" s="126"/>
      <c r="D161" s="108">
        <v>4.5</v>
      </c>
      <c r="E161" s="108"/>
      <c r="F161" s="127"/>
      <c r="G161" s="128"/>
      <c r="H161" s="425">
        <f t="shared" si="64"/>
        <v>0</v>
      </c>
      <c r="I161" s="129"/>
      <c r="J161" s="130"/>
      <c r="K161" s="131"/>
      <c r="L161" s="129"/>
      <c r="M161" s="109"/>
      <c r="N161" s="130"/>
      <c r="O161" s="433"/>
      <c r="P161" s="433"/>
      <c r="Q161" s="433"/>
      <c r="R161" s="433"/>
      <c r="S161" s="433"/>
      <c r="T161" s="433"/>
      <c r="U161" s="43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25">
        <f t="shared" si="64"/>
        <v>0</v>
      </c>
      <c r="I162" s="129"/>
      <c r="J162" s="130"/>
      <c r="K162" s="131"/>
      <c r="L162" s="129"/>
      <c r="M162" s="109"/>
      <c r="N162" s="130"/>
      <c r="O162" s="433"/>
      <c r="P162" s="433"/>
      <c r="Q162" s="433"/>
      <c r="R162" s="433"/>
      <c r="S162" s="433"/>
      <c r="T162" s="433"/>
      <c r="U162" s="433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434" t="s">
        <v>202</v>
      </c>
      <c r="D163" s="143"/>
      <c r="E163" s="143"/>
      <c r="F163" s="144"/>
      <c r="G163" s="145">
        <f>SUM(G149:G161)</f>
        <v>89</v>
      </c>
      <c r="H163" s="146">
        <f>SUM(H149:H159)</f>
        <v>503.8</v>
      </c>
      <c r="I163" s="146">
        <f>SUM(I149:I161)</f>
        <v>30</v>
      </c>
      <c r="J163" s="130">
        <f t="array" ref="J163">IF(ISERROR(G163/I163),"",G163/I163)</f>
        <v>2.9666666666666668</v>
      </c>
      <c r="K163" s="146">
        <f>SUM(K149:K159)</f>
        <v>16.829085457271365</v>
      </c>
      <c r="L163" s="147"/>
      <c r="M163" s="150">
        <f t="shared" ref="M163:V163" si="76">SUM(M149:M159)</f>
        <v>13.170914542728635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5335</v>
      </c>
      <c r="H164" s="154">
        <f>SUM(H28,H86,H121,H137,H148,H163)</f>
        <v>26934.539999999997</v>
      </c>
      <c r="I164" s="154">
        <f>SUM(I28,I86,I121,I137,I148,I163)</f>
        <v>276.5</v>
      </c>
      <c r="J164" s="155">
        <f t="array" ref="J164">IF(ISERROR(G164/I164),"",G164/I164)</f>
        <v>19.294755877034358</v>
      </c>
      <c r="K164" s="154">
        <f>SUM(K28,K86,K121,K137,K148,K163)</f>
        <v>247.39456568144155</v>
      </c>
      <c r="L164" s="155">
        <f>IF(ISERROR(G164/K164),"",G164/K164)</f>
        <v>21.564742076305876</v>
      </c>
      <c r="M164" s="154">
        <f t="shared" ref="M164:AA164" si="77">SUM(M28,M86,M121,M137,M148,M163)</f>
        <v>29.105434318558437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3" t="s">
        <v>476</v>
      </c>
      <c r="B165" s="427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427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427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427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427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427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427">
        <f>G164</f>
        <v>5335</v>
      </c>
      <c r="C171" s="638" t="s">
        <v>269</v>
      </c>
      <c r="D171" s="639"/>
      <c r="E171" s="631">
        <f>H164</f>
        <v>26934.539999999997</v>
      </c>
      <c r="F171" s="631"/>
      <c r="G171" s="631" t="s">
        <v>270</v>
      </c>
      <c r="H171" s="631"/>
      <c r="I171" s="640">
        <f>L164</f>
        <v>21.564742076305876</v>
      </c>
      <c r="J171" s="640"/>
      <c r="K171" s="628" t="s">
        <v>271</v>
      </c>
      <c r="L171" s="628"/>
      <c r="M171" s="640">
        <f>J164</f>
        <v>19.294755877034358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427">
        <f>I164+C170</f>
        <v>280.5</v>
      </c>
      <c r="C172" s="641" t="s">
        <v>251</v>
      </c>
      <c r="D172" s="642"/>
      <c r="E172" s="643">
        <f>K164+I170</f>
        <v>288.39456568144158</v>
      </c>
      <c r="F172" s="643"/>
      <c r="G172" s="631" t="s">
        <v>274</v>
      </c>
      <c r="H172" s="631"/>
      <c r="I172" s="640">
        <f>B172-E172</f>
        <v>-7.894565681441577</v>
      </c>
      <c r="J172" s="640"/>
      <c r="K172" s="628" t="s">
        <v>275</v>
      </c>
      <c r="L172" s="628"/>
      <c r="M172" s="632">
        <f>IF(ISERROR(I172/E172),"",I172/E172)</f>
        <v>-2.7374183222862298E-2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427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541</v>
      </c>
      <c r="H177" s="431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424" t="s">
        <v>178</v>
      </c>
      <c r="C178" s="126" t="s">
        <v>179</v>
      </c>
      <c r="D178" s="108">
        <v>5.03</v>
      </c>
      <c r="E178" s="108"/>
      <c r="F178" s="127"/>
      <c r="G178" s="128"/>
      <c r="H178" s="425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33"/>
      <c r="P178" s="433"/>
      <c r="Q178" s="433"/>
      <c r="R178" s="433"/>
      <c r="S178" s="433"/>
      <c r="T178" s="433"/>
      <c r="U178" s="433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25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33"/>
      <c r="P179" s="433"/>
      <c r="Q179" s="433"/>
      <c r="R179" s="433"/>
      <c r="S179" s="433"/>
      <c r="T179" s="433"/>
      <c r="U179" s="433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25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33"/>
      <c r="P180" s="433"/>
      <c r="Q180" s="433"/>
      <c r="R180" s="433"/>
      <c r="S180" s="433"/>
      <c r="T180" s="433"/>
      <c r="U180" s="433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25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33"/>
      <c r="P181" s="433"/>
      <c r="Q181" s="433"/>
      <c r="R181" s="433"/>
      <c r="S181" s="433"/>
      <c r="T181" s="433"/>
      <c r="U181" s="433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25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33"/>
      <c r="P182" s="433"/>
      <c r="Q182" s="433"/>
      <c r="R182" s="433"/>
      <c r="S182" s="433"/>
      <c r="T182" s="433"/>
      <c r="U182" s="433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42739</v>
      </c>
      <c r="G183" s="128">
        <f>100*2+83</f>
        <v>283</v>
      </c>
      <c r="H183" s="425">
        <f t="shared" si="78"/>
        <v>1426.32</v>
      </c>
      <c r="I183" s="436">
        <f>5.5*3</f>
        <v>16.5</v>
      </c>
      <c r="J183" s="130">
        <f t="array" ref="J183">IF(ISERROR(G183/I183),"",G183/I183)</f>
        <v>17.151515151515152</v>
      </c>
      <c r="K183" s="131">
        <f t="array" ref="K183">IF(ISERROR(G183/L183),"",G183/L183)</f>
        <v>14.894736842105264</v>
      </c>
      <c r="L183" s="129">
        <v>19</v>
      </c>
      <c r="M183" s="109">
        <f t="shared" si="79"/>
        <v>1.6052631578947363</v>
      </c>
      <c r="N183" s="130">
        <f t="shared" si="82"/>
        <v>0</v>
      </c>
      <c r="O183" s="433"/>
      <c r="P183" s="433"/>
      <c r="Q183" s="433"/>
      <c r="R183" s="433"/>
      <c r="S183" s="433"/>
      <c r="T183" s="433"/>
      <c r="U183" s="433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25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33"/>
      <c r="P184" s="433"/>
      <c r="Q184" s="433"/>
      <c r="R184" s="433"/>
      <c r="S184" s="433"/>
      <c r="T184" s="433"/>
      <c r="U184" s="43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25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33"/>
      <c r="P185" s="433"/>
      <c r="Q185" s="433"/>
      <c r="R185" s="433"/>
      <c r="S185" s="433"/>
      <c r="T185" s="433"/>
      <c r="U185" s="433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100*7+61</f>
        <v>761</v>
      </c>
      <c r="H186" s="425">
        <f t="shared" si="78"/>
        <v>3835.44</v>
      </c>
      <c r="I186" s="425">
        <f>11.5*5</f>
        <v>57.5</v>
      </c>
      <c r="J186" s="130">
        <f t="array" ref="J186">IF(ISERROR(G186/I186),"",G186/I186)</f>
        <v>13.234782608695653</v>
      </c>
      <c r="K186" s="131">
        <f t="array" ref="K186">IF(ISERROR(G186/L186),"",G186/L186)</f>
        <v>44.764705882352942</v>
      </c>
      <c r="L186" s="129">
        <v>17</v>
      </c>
      <c r="M186" s="109">
        <f t="shared" si="79"/>
        <v>12.735294117647058</v>
      </c>
      <c r="N186" s="130">
        <f t="shared" si="82"/>
        <v>0</v>
      </c>
      <c r="O186" s="433"/>
      <c r="P186" s="433"/>
      <c r="Q186" s="433"/>
      <c r="R186" s="433"/>
      <c r="S186" s="433"/>
      <c r="T186" s="433"/>
      <c r="U186" s="43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25">
        <f t="shared" si="78"/>
        <v>0</v>
      </c>
      <c r="I187" s="425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33"/>
      <c r="P187" s="433"/>
      <c r="Q187" s="433"/>
      <c r="R187" s="433"/>
      <c r="S187" s="433"/>
      <c r="T187" s="433"/>
      <c r="U187" s="433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2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3"/>
      <c r="P188" s="433"/>
      <c r="Q188" s="433"/>
      <c r="R188" s="433"/>
      <c r="S188" s="433"/>
      <c r="T188" s="433"/>
      <c r="U188" s="433"/>
      <c r="V188" s="132"/>
      <c r="W188" s="133"/>
      <c r="X188" s="132"/>
      <c r="Y188" s="132"/>
      <c r="Z188" s="132"/>
      <c r="AA188" s="132"/>
    </row>
    <row r="189" spans="1:27" ht="19.5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25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33"/>
      <c r="P189" s="433"/>
      <c r="Q189" s="433"/>
      <c r="R189" s="433"/>
      <c r="S189" s="433"/>
      <c r="T189" s="433"/>
      <c r="U189" s="433"/>
      <c r="V189" s="132"/>
      <c r="W189" s="133"/>
      <c r="X189" s="132"/>
      <c r="Y189" s="132"/>
      <c r="Z189" s="132"/>
      <c r="AA189" s="132"/>
    </row>
    <row r="190" spans="1:27" ht="19.5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25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33"/>
      <c r="P190" s="433"/>
      <c r="Q190" s="433"/>
      <c r="R190" s="433"/>
      <c r="S190" s="433"/>
      <c r="T190" s="433"/>
      <c r="U190" s="433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19.5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25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33"/>
      <c r="P191" s="433"/>
      <c r="Q191" s="433"/>
      <c r="R191" s="433"/>
      <c r="S191" s="433"/>
      <c r="T191" s="433"/>
      <c r="U191" s="433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19.5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25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33"/>
      <c r="P192" s="433"/>
      <c r="Q192" s="433"/>
      <c r="R192" s="433"/>
      <c r="S192" s="433"/>
      <c r="T192" s="433"/>
      <c r="U192" s="433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19.5" hidden="1" customHeight="1">
      <c r="A193" s="300">
        <v>30100003</v>
      </c>
      <c r="B193" s="141" t="s">
        <v>198</v>
      </c>
      <c r="C193" s="431" t="s">
        <v>190</v>
      </c>
      <c r="D193" s="108">
        <v>4.8</v>
      </c>
      <c r="E193" s="108"/>
      <c r="F193" s="127"/>
      <c r="G193" s="128"/>
      <c r="H193" s="425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33"/>
      <c r="P193" s="433"/>
      <c r="Q193" s="433"/>
      <c r="R193" s="433"/>
      <c r="S193" s="433"/>
      <c r="T193" s="433"/>
      <c r="U193" s="433"/>
      <c r="V193" s="132"/>
      <c r="W193" s="133"/>
      <c r="X193" s="132"/>
      <c r="Y193" s="132"/>
      <c r="Z193" s="132"/>
      <c r="AA193" s="132"/>
    </row>
    <row r="194" spans="1:27" ht="19.5" hidden="1" customHeight="1">
      <c r="A194" s="300">
        <v>30100004</v>
      </c>
      <c r="B194" s="141" t="s">
        <v>198</v>
      </c>
      <c r="C194" s="431" t="s">
        <v>187</v>
      </c>
      <c r="D194" s="108">
        <v>4.8</v>
      </c>
      <c r="E194" s="108"/>
      <c r="F194" s="127"/>
      <c r="G194" s="128"/>
      <c r="H194" s="425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33"/>
      <c r="P194" s="433"/>
      <c r="Q194" s="433"/>
      <c r="R194" s="433"/>
      <c r="S194" s="433"/>
      <c r="T194" s="433"/>
      <c r="U194" s="433"/>
      <c r="V194" s="132"/>
      <c r="W194" s="133"/>
      <c r="X194" s="132"/>
      <c r="Y194" s="132"/>
      <c r="Z194" s="132"/>
      <c r="AA194" s="132"/>
    </row>
    <row r="195" spans="1:27" ht="19.5" hidden="1" customHeight="1">
      <c r="A195" s="300">
        <v>30100006</v>
      </c>
      <c r="B195" s="141" t="s">
        <v>198</v>
      </c>
      <c r="C195" s="431" t="s">
        <v>179</v>
      </c>
      <c r="D195" s="108">
        <v>4.8</v>
      </c>
      <c r="E195" s="108"/>
      <c r="F195" s="127"/>
      <c r="G195" s="128"/>
      <c r="H195" s="425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33"/>
      <c r="P195" s="433"/>
      <c r="Q195" s="433"/>
      <c r="R195" s="433"/>
      <c r="S195" s="433"/>
      <c r="T195" s="433"/>
      <c r="U195" s="433"/>
      <c r="V195" s="132"/>
      <c r="W195" s="133"/>
      <c r="X195" s="132"/>
      <c r="Y195" s="132"/>
      <c r="Z195" s="132"/>
      <c r="AA195" s="132"/>
    </row>
    <row r="196" spans="1:27" ht="19.5" hidden="1" customHeight="1">
      <c r="A196" s="300">
        <v>30100005</v>
      </c>
      <c r="B196" s="141" t="s">
        <v>198</v>
      </c>
      <c r="C196" s="431" t="s">
        <v>199</v>
      </c>
      <c r="D196" s="108">
        <v>4.8</v>
      </c>
      <c r="E196" s="108"/>
      <c r="F196" s="127"/>
      <c r="G196" s="128"/>
      <c r="H196" s="425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33"/>
      <c r="P196" s="433"/>
      <c r="Q196" s="433"/>
      <c r="R196" s="433"/>
      <c r="S196" s="433"/>
      <c r="T196" s="433"/>
      <c r="U196" s="433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25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33"/>
      <c r="P197" s="433"/>
      <c r="Q197" s="433"/>
      <c r="R197" s="433"/>
      <c r="S197" s="433"/>
      <c r="T197" s="433"/>
      <c r="U197" s="433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39">
        <v>42738</v>
      </c>
      <c r="G198" s="128">
        <f>14+86</f>
        <v>100</v>
      </c>
      <c r="H198" s="425">
        <f t="shared" si="83"/>
        <v>499</v>
      </c>
      <c r="I198" s="129">
        <v>5</v>
      </c>
      <c r="J198" s="130">
        <f t="array" ref="J198">IF(ISERROR(G198/I198),"",G198/I198)</f>
        <v>20</v>
      </c>
      <c r="K198" s="131">
        <f t="array" ref="K198">IF(ISERROR(G198/L198),"",G198/L198)</f>
        <v>4.2553191489361701</v>
      </c>
      <c r="L198" s="129">
        <v>23.5</v>
      </c>
      <c r="M198" s="109">
        <f t="shared" si="84"/>
        <v>0.74468085106382986</v>
      </c>
      <c r="N198" s="130">
        <f t="shared" si="88"/>
        <v>0</v>
      </c>
      <c r="O198" s="433"/>
      <c r="P198" s="433"/>
      <c r="Q198" s="433"/>
      <c r="R198" s="433"/>
      <c r="S198" s="433"/>
      <c r="T198" s="433"/>
      <c r="U198" s="433"/>
      <c r="V198" s="132">
        <f t="shared" si="89"/>
        <v>0</v>
      </c>
      <c r="W198" s="133">
        <f t="shared" si="90"/>
        <v>0</v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434" t="s">
        <v>202</v>
      </c>
      <c r="D199" s="143"/>
      <c r="E199" s="143"/>
      <c r="F199" s="144"/>
      <c r="G199" s="145">
        <f>SUM(G178:G198)</f>
        <v>1144</v>
      </c>
      <c r="H199" s="146">
        <f>SUM(H178:H198)</f>
        <v>5760.76</v>
      </c>
      <c r="I199" s="146">
        <f>SUM(I178:I198)</f>
        <v>79</v>
      </c>
      <c r="J199" s="130">
        <f t="array" ref="J199">IF(ISERROR(G199/I199),"",G199/I199)</f>
        <v>14.481012658227849</v>
      </c>
      <c r="K199" s="146">
        <f>SUM(K178:K198)</f>
        <v>63.914761873394369</v>
      </c>
      <c r="L199" s="147"/>
      <c r="M199" s="150">
        <f t="shared" ref="M199:AA199" si="91">SUM(M178:M198)</f>
        <v>15.085238126605624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24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108*3+90</f>
        <v>414</v>
      </c>
      <c r="H200" s="425">
        <f t="shared" ref="H200:H256" si="92">D200*G200</f>
        <v>2082.42</v>
      </c>
      <c r="I200" s="129">
        <f>5*2</f>
        <v>10</v>
      </c>
      <c r="J200" s="130">
        <f t="array" ref="J200">IF(ISERROR(G200/I200),"",G200/I200)</f>
        <v>41.4</v>
      </c>
      <c r="K200" s="131">
        <f t="array" ref="K200">IF(ISERROR(G200/L200),"",G200/L200)</f>
        <v>7.9615384615384617</v>
      </c>
      <c r="L200" s="129">
        <v>52</v>
      </c>
      <c r="M200" s="109">
        <f t="shared" ref="M200" si="93">IF(ISERROR(I200-K200),"",I200-K200)</f>
        <v>2.0384615384615383</v>
      </c>
      <c r="N200" s="130">
        <f t="shared" ref="N200" si="94">SUM(O200:U200)</f>
        <v>0</v>
      </c>
      <c r="O200" s="429"/>
      <c r="P200" s="429"/>
      <c r="Q200" s="429"/>
      <c r="R200" s="429"/>
      <c r="S200" s="429"/>
      <c r="T200" s="429"/>
      <c r="U200" s="429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24" t="s">
        <v>425</v>
      </c>
      <c r="C201" s="187" t="s">
        <v>427</v>
      </c>
      <c r="D201" s="108">
        <v>5.03</v>
      </c>
      <c r="E201" s="108"/>
      <c r="F201" s="127"/>
      <c r="G201" s="128"/>
      <c r="H201" s="425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29"/>
      <c r="P201" s="429"/>
      <c r="Q201" s="429"/>
      <c r="R201" s="429"/>
      <c r="S201" s="429"/>
      <c r="T201" s="429"/>
      <c r="U201" s="429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24" t="s">
        <v>206</v>
      </c>
      <c r="C202" s="126" t="s">
        <v>186</v>
      </c>
      <c r="D202" s="108">
        <v>5.03</v>
      </c>
      <c r="E202" s="108"/>
      <c r="F202" s="127"/>
      <c r="G202" s="128"/>
      <c r="H202" s="425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29"/>
      <c r="P202" s="429"/>
      <c r="Q202" s="429"/>
      <c r="R202" s="429"/>
      <c r="S202" s="429"/>
      <c r="T202" s="429"/>
      <c r="U202" s="429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customHeight="1">
      <c r="A203" s="300">
        <v>30100014</v>
      </c>
      <c r="B203" s="424" t="s">
        <v>206</v>
      </c>
      <c r="C203" s="126" t="s">
        <v>203</v>
      </c>
      <c r="D203" s="108">
        <v>5.03</v>
      </c>
      <c r="E203" s="108"/>
      <c r="F203" s="127">
        <v>42739</v>
      </c>
      <c r="G203" s="128">
        <f>108*9+34+108+1</f>
        <v>1115</v>
      </c>
      <c r="H203" s="425">
        <f t="shared" si="92"/>
        <v>5608.4500000000007</v>
      </c>
      <c r="I203" s="129">
        <f>6.5*2</f>
        <v>13</v>
      </c>
      <c r="J203" s="130">
        <f t="array" ref="J203">IF(ISERROR(G203/I203),"",G203/I203)</f>
        <v>85.769230769230774</v>
      </c>
      <c r="K203" s="131">
        <f t="array" ref="K203">IF(ISERROR(G203/L203),"",G203/L203)</f>
        <v>21.442307692307693</v>
      </c>
      <c r="L203" s="129">
        <v>52</v>
      </c>
      <c r="M203" s="109">
        <f>IF(ISERROR(I203-K203),"",I203-K203)</f>
        <v>-8.4423076923076934</v>
      </c>
      <c r="N203" s="130">
        <f t="shared" si="98"/>
        <v>0</v>
      </c>
      <c r="O203" s="429"/>
      <c r="P203" s="429"/>
      <c r="Q203" s="429"/>
      <c r="R203" s="429"/>
      <c r="S203" s="429"/>
      <c r="T203" s="429"/>
      <c r="U203" s="429"/>
      <c r="V203" s="132">
        <f t="shared" si="99"/>
        <v>0</v>
      </c>
      <c r="W203" s="133">
        <f t="shared" si="100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24" t="s">
        <v>206</v>
      </c>
      <c r="C204" s="126" t="s">
        <v>207</v>
      </c>
      <c r="D204" s="108">
        <v>5.03</v>
      </c>
      <c r="E204" s="108"/>
      <c r="F204" s="127"/>
      <c r="G204" s="128"/>
      <c r="H204" s="425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29"/>
      <c r="P204" s="429"/>
      <c r="Q204" s="429"/>
      <c r="R204" s="429"/>
      <c r="S204" s="429"/>
      <c r="T204" s="429"/>
      <c r="U204" s="429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24" t="s">
        <v>414</v>
      </c>
      <c r="C205" s="187" t="s">
        <v>415</v>
      </c>
      <c r="D205" s="108">
        <v>5.03</v>
      </c>
      <c r="E205" s="108"/>
      <c r="F205" s="127"/>
      <c r="G205" s="128"/>
      <c r="H205" s="425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29"/>
      <c r="P205" s="429"/>
      <c r="Q205" s="429"/>
      <c r="R205" s="429"/>
      <c r="S205" s="429"/>
      <c r="T205" s="429"/>
      <c r="U205" s="42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24" t="s">
        <v>414</v>
      </c>
      <c r="C206" s="187" t="s">
        <v>416</v>
      </c>
      <c r="D206" s="108">
        <v>5.03</v>
      </c>
      <c r="E206" s="108"/>
      <c r="F206" s="127"/>
      <c r="G206" s="128"/>
      <c r="H206" s="425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29"/>
      <c r="P206" s="429"/>
      <c r="Q206" s="429"/>
      <c r="R206" s="429"/>
      <c r="S206" s="429"/>
      <c r="T206" s="429"/>
      <c r="U206" s="42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24" t="s">
        <v>414</v>
      </c>
      <c r="C207" s="187" t="s">
        <v>61</v>
      </c>
      <c r="D207" s="108">
        <v>5.03</v>
      </c>
      <c r="E207" s="108"/>
      <c r="F207" s="127"/>
      <c r="G207" s="128"/>
      <c r="H207" s="425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29"/>
      <c r="P207" s="429"/>
      <c r="Q207" s="429"/>
      <c r="R207" s="429"/>
      <c r="S207" s="429"/>
      <c r="T207" s="429"/>
      <c r="U207" s="429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24" t="s">
        <v>208</v>
      </c>
      <c r="C208" s="126" t="s">
        <v>179</v>
      </c>
      <c r="D208" s="108">
        <v>5.08</v>
      </c>
      <c r="E208" s="108"/>
      <c r="F208" s="127"/>
      <c r="G208" s="128"/>
      <c r="H208" s="425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29"/>
      <c r="P208" s="429"/>
      <c r="Q208" s="429"/>
      <c r="R208" s="429"/>
      <c r="S208" s="429"/>
      <c r="T208" s="429"/>
      <c r="U208" s="429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24" t="s">
        <v>208</v>
      </c>
      <c r="C209" s="126" t="s">
        <v>204</v>
      </c>
      <c r="D209" s="108">
        <v>5.08</v>
      </c>
      <c r="E209" s="108"/>
      <c r="F209" s="127"/>
      <c r="G209" s="128"/>
      <c r="H209" s="425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29"/>
      <c r="P209" s="429"/>
      <c r="Q209" s="429"/>
      <c r="R209" s="429"/>
      <c r="S209" s="429"/>
      <c r="T209" s="429"/>
      <c r="U209" s="42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24" t="s">
        <v>208</v>
      </c>
      <c r="C210" s="126" t="s">
        <v>205</v>
      </c>
      <c r="D210" s="108">
        <v>5.08</v>
      </c>
      <c r="E210" s="108"/>
      <c r="F210" s="127"/>
      <c r="G210" s="128"/>
      <c r="H210" s="425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29"/>
      <c r="P210" s="429"/>
      <c r="Q210" s="429"/>
      <c r="R210" s="429"/>
      <c r="S210" s="429"/>
      <c r="T210" s="429"/>
      <c r="U210" s="42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24" t="s">
        <v>208</v>
      </c>
      <c r="C211" s="126" t="s">
        <v>186</v>
      </c>
      <c r="D211" s="108">
        <v>5.08</v>
      </c>
      <c r="E211" s="108"/>
      <c r="F211" s="127"/>
      <c r="G211" s="128"/>
      <c r="H211" s="425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29"/>
      <c r="P211" s="429"/>
      <c r="Q211" s="429"/>
      <c r="R211" s="429"/>
      <c r="S211" s="429"/>
      <c r="T211" s="429"/>
      <c r="U211" s="42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24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108*2+85</f>
        <v>301</v>
      </c>
      <c r="H212" s="425">
        <f t="shared" si="92"/>
        <v>1529.08</v>
      </c>
      <c r="I212" s="129">
        <f>5*3</f>
        <v>15</v>
      </c>
      <c r="J212" s="130">
        <f t="array" ref="J212">IF(ISERROR(G212/I212),"",G212/I212)</f>
        <v>20.066666666666666</v>
      </c>
      <c r="K212" s="131">
        <f t="array" ref="K212">IF(ISERROR(G212/L212),"",G212/L212)</f>
        <v>14.333333333333334</v>
      </c>
      <c r="L212" s="129">
        <v>21</v>
      </c>
      <c r="M212" s="109">
        <f t="shared" si="102"/>
        <v>0.66666666666666607</v>
      </c>
      <c r="N212" s="130">
        <f t="shared" si="103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24" t="s">
        <v>208</v>
      </c>
      <c r="C213" s="126" t="s">
        <v>199</v>
      </c>
      <c r="D213" s="108">
        <v>5.08</v>
      </c>
      <c r="E213" s="108"/>
      <c r="F213" s="127"/>
      <c r="G213" s="128"/>
      <c r="H213" s="425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33"/>
      <c r="P213" s="433"/>
      <c r="Q213" s="433"/>
      <c r="R213" s="433"/>
      <c r="S213" s="433"/>
      <c r="T213" s="433"/>
      <c r="U213" s="433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24" t="s">
        <v>208</v>
      </c>
      <c r="C214" s="126" t="s">
        <v>187</v>
      </c>
      <c r="D214" s="108">
        <v>5.08</v>
      </c>
      <c r="E214" s="108"/>
      <c r="F214" s="127"/>
      <c r="G214" s="128"/>
      <c r="H214" s="425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24" t="s">
        <v>208</v>
      </c>
      <c r="C215" s="126" t="s">
        <v>207</v>
      </c>
      <c r="D215" s="108">
        <v>5.08</v>
      </c>
      <c r="E215" s="108"/>
      <c r="F215" s="127">
        <v>42738</v>
      </c>
      <c r="G215" s="128">
        <f>108*3+88</f>
        <v>412</v>
      </c>
      <c r="H215" s="425">
        <f t="shared" si="92"/>
        <v>2092.96</v>
      </c>
      <c r="I215" s="129">
        <f>6.5*3</f>
        <v>19.5</v>
      </c>
      <c r="J215" s="130">
        <f t="array" ref="J215">IF(ISERROR(G215/I215),"",G215/I215)</f>
        <v>21.128205128205128</v>
      </c>
      <c r="K215" s="131">
        <f t="array" ref="K215">IF(ISERROR(G215/L215),"",G215/L215)</f>
        <v>19.61904761904762</v>
      </c>
      <c r="L215" s="129">
        <v>21</v>
      </c>
      <c r="M215" s="109">
        <f t="shared" si="102"/>
        <v>-0.1190476190476204</v>
      </c>
      <c r="N215" s="130">
        <f t="shared" si="103"/>
        <v>0</v>
      </c>
      <c r="O215" s="433"/>
      <c r="P215" s="433"/>
      <c r="Q215" s="433"/>
      <c r="R215" s="433"/>
      <c r="S215" s="433"/>
      <c r="T215" s="433"/>
      <c r="U215" s="433"/>
      <c r="V215" s="132">
        <f t="shared" si="104"/>
        <v>0</v>
      </c>
      <c r="W215" s="133">
        <f t="shared" si="105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24" t="s">
        <v>209</v>
      </c>
      <c r="C216" s="126" t="s">
        <v>194</v>
      </c>
      <c r="D216" s="108">
        <v>5.03</v>
      </c>
      <c r="E216" s="108"/>
      <c r="F216" s="127"/>
      <c r="G216" s="128"/>
      <c r="H216" s="425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29"/>
      <c r="P216" s="429"/>
      <c r="Q216" s="429"/>
      <c r="R216" s="429"/>
      <c r="S216" s="429"/>
      <c r="T216" s="429"/>
      <c r="U216" s="42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24" t="s">
        <v>209</v>
      </c>
      <c r="C217" s="126" t="s">
        <v>179</v>
      </c>
      <c r="D217" s="108">
        <v>5.03</v>
      </c>
      <c r="E217" s="108"/>
      <c r="F217" s="127"/>
      <c r="G217" s="128"/>
      <c r="H217" s="425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29"/>
      <c r="P217" s="429"/>
      <c r="Q217" s="429"/>
      <c r="R217" s="429"/>
      <c r="S217" s="429"/>
      <c r="T217" s="429"/>
      <c r="U217" s="42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24" t="s">
        <v>209</v>
      </c>
      <c r="C218" s="126" t="s">
        <v>195</v>
      </c>
      <c r="D218" s="108">
        <v>5.03</v>
      </c>
      <c r="E218" s="108"/>
      <c r="F218" s="127"/>
      <c r="G218" s="128"/>
      <c r="H218" s="425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29"/>
      <c r="P218" s="429"/>
      <c r="Q218" s="429"/>
      <c r="R218" s="429"/>
      <c r="S218" s="429"/>
      <c r="T218" s="429"/>
      <c r="U218" s="42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24" t="s">
        <v>209</v>
      </c>
      <c r="C219" s="126" t="s">
        <v>204</v>
      </c>
      <c r="D219" s="108">
        <v>5.03</v>
      </c>
      <c r="E219" s="108"/>
      <c r="F219" s="127"/>
      <c r="G219" s="128"/>
      <c r="H219" s="425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29"/>
      <c r="P219" s="429"/>
      <c r="Q219" s="429"/>
      <c r="R219" s="429"/>
      <c r="S219" s="429"/>
      <c r="T219" s="429"/>
      <c r="U219" s="429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24" t="s">
        <v>382</v>
      </c>
      <c r="C220" s="187" t="s">
        <v>383</v>
      </c>
      <c r="D220" s="108">
        <v>5.03</v>
      </c>
      <c r="E220" s="108"/>
      <c r="F220" s="127"/>
      <c r="G220" s="128"/>
      <c r="H220" s="425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29"/>
      <c r="P220" s="429"/>
      <c r="Q220" s="429"/>
      <c r="R220" s="429"/>
      <c r="S220" s="429"/>
      <c r="T220" s="429"/>
      <c r="U220" s="42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30100020</v>
      </c>
      <c r="B221" s="424" t="s">
        <v>382</v>
      </c>
      <c r="C221" s="187" t="s">
        <v>384</v>
      </c>
      <c r="D221" s="108">
        <v>5.03</v>
      </c>
      <c r="E221" s="108"/>
      <c r="F221" s="127">
        <v>42739</v>
      </c>
      <c r="G221" s="128">
        <f>90*5+77</f>
        <v>527</v>
      </c>
      <c r="H221" s="425">
        <f t="shared" si="92"/>
        <v>2650.81</v>
      </c>
      <c r="I221" s="129">
        <f>9.5*2</f>
        <v>19</v>
      </c>
      <c r="J221" s="130">
        <f t="array" ref="J221">IF(ISERROR(G221/I221),"",G221/I221)</f>
        <v>27.736842105263158</v>
      </c>
      <c r="K221" s="131">
        <f t="array" ref="K221">IF(ISERROR(G221/L221),"",G221/L221)</f>
        <v>9.7592592592592595</v>
      </c>
      <c r="L221" s="129">
        <v>54</v>
      </c>
      <c r="M221" s="109">
        <f t="shared" si="102"/>
        <v>9.2407407407407405</v>
      </c>
      <c r="N221" s="130">
        <f t="shared" si="103"/>
        <v>0</v>
      </c>
      <c r="O221" s="429"/>
      <c r="P221" s="429"/>
      <c r="Q221" s="429"/>
      <c r="R221" s="429"/>
      <c r="S221" s="429"/>
      <c r="T221" s="429"/>
      <c r="U221" s="42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24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v>90</v>
      </c>
      <c r="H222" s="425">
        <f t="shared" si="92"/>
        <v>452.70000000000005</v>
      </c>
      <c r="I222" s="129">
        <f>2*3</f>
        <v>6</v>
      </c>
      <c r="J222" s="130">
        <f t="array" ref="J222">IF(ISERROR(G222/I222),"",G222/I222)</f>
        <v>15</v>
      </c>
      <c r="K222" s="131">
        <f t="array" ref="K222">IF(ISERROR(G222/L222),"",G222/L222)</f>
        <v>1.6666666666666667</v>
      </c>
      <c r="L222" s="129">
        <v>54</v>
      </c>
      <c r="M222" s="109">
        <f t="shared" si="102"/>
        <v>4.333333333333333</v>
      </c>
      <c r="N222" s="130">
        <f t="shared" si="103"/>
        <v>0</v>
      </c>
      <c r="O222" s="429"/>
      <c r="P222" s="429"/>
      <c r="Q222" s="429"/>
      <c r="R222" s="429"/>
      <c r="S222" s="429"/>
      <c r="T222" s="429"/>
      <c r="U222" s="42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24" t="s">
        <v>382</v>
      </c>
      <c r="C223" s="187" t="s">
        <v>391</v>
      </c>
      <c r="D223" s="108">
        <v>5.03</v>
      </c>
      <c r="E223" s="108"/>
      <c r="F223" s="127"/>
      <c r="G223" s="128"/>
      <c r="H223" s="425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29"/>
      <c r="P223" s="429"/>
      <c r="Q223" s="429"/>
      <c r="R223" s="429"/>
      <c r="S223" s="429"/>
      <c r="T223" s="429"/>
      <c r="U223" s="42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24" t="s">
        <v>418</v>
      </c>
      <c r="C224" s="187" t="s">
        <v>364</v>
      </c>
      <c r="D224" s="108">
        <v>5.03</v>
      </c>
      <c r="E224" s="108"/>
      <c r="F224" s="127"/>
      <c r="G224" s="128"/>
      <c r="H224" s="425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29"/>
      <c r="P224" s="429"/>
      <c r="Q224" s="429"/>
      <c r="R224" s="429"/>
      <c r="S224" s="429"/>
      <c r="T224" s="429"/>
      <c r="U224" s="42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24" t="s">
        <v>418</v>
      </c>
      <c r="C225" s="187" t="s">
        <v>365</v>
      </c>
      <c r="D225" s="108">
        <v>5.03</v>
      </c>
      <c r="E225" s="108"/>
      <c r="F225" s="127"/>
      <c r="G225" s="128"/>
      <c r="H225" s="425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29"/>
      <c r="P225" s="429"/>
      <c r="Q225" s="429"/>
      <c r="R225" s="429"/>
      <c r="S225" s="429"/>
      <c r="T225" s="429"/>
      <c r="U225" s="42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24" t="s">
        <v>418</v>
      </c>
      <c r="C226" s="187" t="s">
        <v>366</v>
      </c>
      <c r="D226" s="108">
        <v>5.03</v>
      </c>
      <c r="E226" s="108"/>
      <c r="F226" s="127"/>
      <c r="G226" s="128"/>
      <c r="H226" s="425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29"/>
      <c r="P226" s="429"/>
      <c r="Q226" s="429"/>
      <c r="R226" s="429"/>
      <c r="S226" s="429"/>
      <c r="T226" s="429"/>
      <c r="U226" s="42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24" t="s">
        <v>418</v>
      </c>
      <c r="C227" s="187" t="s">
        <v>367</v>
      </c>
      <c r="D227" s="108">
        <v>5.03</v>
      </c>
      <c r="E227" s="108"/>
      <c r="F227" s="127"/>
      <c r="G227" s="128"/>
      <c r="H227" s="425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29"/>
      <c r="P227" s="429"/>
      <c r="Q227" s="429"/>
      <c r="R227" s="429"/>
      <c r="S227" s="429"/>
      <c r="T227" s="429"/>
      <c r="U227" s="429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25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33"/>
      <c r="P228" s="433"/>
      <c r="Q228" s="433"/>
      <c r="R228" s="433"/>
      <c r="S228" s="433"/>
      <c r="T228" s="433"/>
      <c r="U228" s="433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25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33"/>
      <c r="P229" s="433"/>
      <c r="Q229" s="433"/>
      <c r="R229" s="433"/>
      <c r="S229" s="433"/>
      <c r="T229" s="433"/>
      <c r="U229" s="433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25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33"/>
      <c r="P230" s="433"/>
      <c r="Q230" s="433"/>
      <c r="R230" s="433"/>
      <c r="S230" s="433"/>
      <c r="T230" s="433"/>
      <c r="U230" s="433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25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33"/>
      <c r="P231" s="433"/>
      <c r="Q231" s="433"/>
      <c r="R231" s="433"/>
      <c r="S231" s="433"/>
      <c r="T231" s="433"/>
      <c r="U231" s="433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25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33"/>
      <c r="P232" s="433"/>
      <c r="Q232" s="433"/>
      <c r="R232" s="433"/>
      <c r="S232" s="433"/>
      <c r="T232" s="433"/>
      <c r="U232" s="433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25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33"/>
      <c r="P233" s="433"/>
      <c r="Q233" s="433"/>
      <c r="R233" s="433"/>
      <c r="S233" s="433"/>
      <c r="T233" s="433"/>
      <c r="U233" s="433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25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33"/>
      <c r="P234" s="433"/>
      <c r="Q234" s="433"/>
      <c r="R234" s="433"/>
      <c r="S234" s="433"/>
      <c r="T234" s="433"/>
      <c r="U234" s="433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25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33"/>
      <c r="P235" s="433"/>
      <c r="Q235" s="433"/>
      <c r="R235" s="433"/>
      <c r="S235" s="433"/>
      <c r="T235" s="433"/>
      <c r="U235" s="433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25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33"/>
      <c r="P236" s="433"/>
      <c r="Q236" s="433"/>
      <c r="R236" s="433"/>
      <c r="S236" s="433"/>
      <c r="T236" s="433"/>
      <c r="U236" s="433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25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33"/>
      <c r="P237" s="433"/>
      <c r="Q237" s="433"/>
      <c r="R237" s="433"/>
      <c r="S237" s="433"/>
      <c r="T237" s="433"/>
      <c r="U237" s="433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25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33"/>
      <c r="P238" s="433"/>
      <c r="Q238" s="433"/>
      <c r="R238" s="433"/>
      <c r="S238" s="433"/>
      <c r="T238" s="433"/>
      <c r="U238" s="43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25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33"/>
      <c r="P239" s="433"/>
      <c r="Q239" s="433"/>
      <c r="R239" s="433"/>
      <c r="S239" s="433"/>
      <c r="T239" s="433"/>
      <c r="U239" s="433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25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33"/>
      <c r="P240" s="433"/>
      <c r="Q240" s="433"/>
      <c r="R240" s="433"/>
      <c r="S240" s="433"/>
      <c r="T240" s="433"/>
      <c r="U240" s="433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25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33"/>
      <c r="P241" s="433"/>
      <c r="Q241" s="433"/>
      <c r="R241" s="433"/>
      <c r="S241" s="433"/>
      <c r="T241" s="433"/>
      <c r="U241" s="433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25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33"/>
      <c r="P242" s="433"/>
      <c r="Q242" s="433"/>
      <c r="R242" s="433"/>
      <c r="S242" s="433"/>
      <c r="T242" s="433"/>
      <c r="U242" s="433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25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33"/>
      <c r="P243" s="433"/>
      <c r="Q243" s="433"/>
      <c r="R243" s="433"/>
      <c r="S243" s="433"/>
      <c r="T243" s="433"/>
      <c r="U243" s="433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25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33"/>
      <c r="P244" s="433"/>
      <c r="Q244" s="433"/>
      <c r="R244" s="433"/>
      <c r="S244" s="433"/>
      <c r="T244" s="433"/>
      <c r="U244" s="433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25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33"/>
      <c r="P245" s="433"/>
      <c r="Q245" s="433"/>
      <c r="R245" s="433"/>
      <c r="S245" s="433"/>
      <c r="T245" s="433"/>
      <c r="U245" s="433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25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33"/>
      <c r="P246" s="433"/>
      <c r="Q246" s="433"/>
      <c r="R246" s="433"/>
      <c r="S246" s="433"/>
      <c r="T246" s="433"/>
      <c r="U246" s="433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25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33"/>
      <c r="P247" s="433"/>
      <c r="Q247" s="433"/>
      <c r="R247" s="433"/>
      <c r="S247" s="433"/>
      <c r="T247" s="433"/>
      <c r="U247" s="43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25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33"/>
      <c r="P248" s="433"/>
      <c r="Q248" s="433"/>
      <c r="R248" s="433"/>
      <c r="S248" s="433"/>
      <c r="T248" s="433"/>
      <c r="U248" s="43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25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33"/>
      <c r="P249" s="433"/>
      <c r="Q249" s="433"/>
      <c r="R249" s="433"/>
      <c r="S249" s="433"/>
      <c r="T249" s="433"/>
      <c r="U249" s="43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25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33"/>
      <c r="P250" s="433"/>
      <c r="Q250" s="433"/>
      <c r="R250" s="433"/>
      <c r="S250" s="433"/>
      <c r="T250" s="433"/>
      <c r="U250" s="43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25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33"/>
      <c r="P251" s="433"/>
      <c r="Q251" s="433"/>
      <c r="R251" s="433"/>
      <c r="S251" s="433"/>
      <c r="T251" s="433"/>
      <c r="U251" s="43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25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33"/>
      <c r="P252" s="433"/>
      <c r="Q252" s="433"/>
      <c r="R252" s="433"/>
      <c r="S252" s="433"/>
      <c r="T252" s="433"/>
      <c r="U252" s="43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25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33"/>
      <c r="P253" s="433"/>
      <c r="Q253" s="433"/>
      <c r="R253" s="433"/>
      <c r="S253" s="433"/>
      <c r="T253" s="433"/>
      <c r="U253" s="43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25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33"/>
      <c r="P254" s="433"/>
      <c r="Q254" s="433"/>
      <c r="R254" s="433"/>
      <c r="S254" s="433"/>
      <c r="T254" s="433"/>
      <c r="U254" s="43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25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33"/>
      <c r="P255" s="433"/>
      <c r="Q255" s="433"/>
      <c r="R255" s="433"/>
      <c r="S255" s="433"/>
      <c r="T255" s="433"/>
      <c r="U255" s="433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25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33"/>
      <c r="P256" s="433"/>
      <c r="Q256" s="433"/>
      <c r="R256" s="433"/>
      <c r="S256" s="433"/>
      <c r="T256" s="433"/>
      <c r="U256" s="433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34" t="s">
        <v>202</v>
      </c>
      <c r="D257" s="143"/>
      <c r="E257" s="143"/>
      <c r="F257" s="144"/>
      <c r="G257" s="145">
        <f>SUM(G200:G256)</f>
        <v>2859</v>
      </c>
      <c r="H257" s="146">
        <f>SUM(H200:H256)</f>
        <v>14416.42</v>
      </c>
      <c r="I257" s="146">
        <f>SUM(I200:I256)</f>
        <v>82.5</v>
      </c>
      <c r="J257" s="130">
        <f t="array" ref="J257">IF(ISERROR(G257/I257),"",G257/I257)</f>
        <v>34.654545454545456</v>
      </c>
      <c r="K257" s="146">
        <f>SUM(K200:K256)</f>
        <v>74.782153032153033</v>
      </c>
      <c r="L257" s="147"/>
      <c r="M257" s="150">
        <f t="shared" ref="M257:V257" si="115">SUM(M200:M256)</f>
        <v>7.7178469678469641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24" t="s">
        <v>217</v>
      </c>
      <c r="C258" s="126" t="s">
        <v>179</v>
      </c>
      <c r="D258" s="108">
        <v>5.03</v>
      </c>
      <c r="E258" s="108"/>
      <c r="F258" s="127"/>
      <c r="G258" s="128"/>
      <c r="H258" s="425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33"/>
      <c r="P258" s="433"/>
      <c r="Q258" s="433"/>
      <c r="R258" s="433"/>
      <c r="S258" s="433"/>
      <c r="T258" s="433"/>
      <c r="U258" s="433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24" t="s">
        <v>217</v>
      </c>
      <c r="C259" s="126" t="s">
        <v>186</v>
      </c>
      <c r="D259" s="108">
        <v>5.03</v>
      </c>
      <c r="E259" s="108"/>
      <c r="F259" s="127"/>
      <c r="G259" s="128"/>
      <c r="H259" s="425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33"/>
      <c r="P259" s="433"/>
      <c r="Q259" s="433"/>
      <c r="R259" s="433"/>
      <c r="S259" s="433"/>
      <c r="T259" s="433"/>
      <c r="U259" s="433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24" t="s">
        <v>217</v>
      </c>
      <c r="C260" s="126" t="s">
        <v>204</v>
      </c>
      <c r="D260" s="108">
        <v>5.03</v>
      </c>
      <c r="E260" s="108"/>
      <c r="F260" s="127"/>
      <c r="G260" s="128"/>
      <c r="H260" s="425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33"/>
      <c r="P260" s="433"/>
      <c r="Q260" s="433"/>
      <c r="R260" s="433"/>
      <c r="S260" s="433"/>
      <c r="T260" s="433"/>
      <c r="U260" s="433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25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33"/>
      <c r="P261" s="433"/>
      <c r="Q261" s="433"/>
      <c r="R261" s="433"/>
      <c r="S261" s="433"/>
      <c r="T261" s="433"/>
      <c r="U261" s="433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25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33"/>
      <c r="P262" s="433"/>
      <c r="Q262" s="433"/>
      <c r="R262" s="433"/>
      <c r="S262" s="433"/>
      <c r="T262" s="433"/>
      <c r="U262" s="433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25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33"/>
      <c r="P263" s="433"/>
      <c r="Q263" s="433"/>
      <c r="R263" s="433"/>
      <c r="S263" s="433"/>
      <c r="T263" s="433"/>
      <c r="U263" s="433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>
        <v>42738</v>
      </c>
      <c r="G264" s="128">
        <f>108+102</f>
        <v>210</v>
      </c>
      <c r="H264" s="425">
        <f t="shared" si="117"/>
        <v>1056.3</v>
      </c>
      <c r="I264" s="129">
        <f>11*3</f>
        <v>33</v>
      </c>
      <c r="J264" s="130">
        <f t="array" ref="J264">IF(ISERROR(G264/I264),"",G264/I264)</f>
        <v>6.3636363636363633</v>
      </c>
      <c r="K264" s="131">
        <f t="array" ref="K264">IF(ISERROR(G264/L264),"",G264/L264)</f>
        <v>22.58064516129032</v>
      </c>
      <c r="L264" s="129">
        <v>9.3000000000000007</v>
      </c>
      <c r="M264" s="109">
        <f t="shared" si="118"/>
        <v>10.41935483870968</v>
      </c>
      <c r="N264" s="130">
        <f t="shared" si="119"/>
        <v>0</v>
      </c>
      <c r="O264" s="433"/>
      <c r="P264" s="433"/>
      <c r="Q264" s="433"/>
      <c r="R264" s="433"/>
      <c r="S264" s="433"/>
      <c r="T264" s="433"/>
      <c r="U264" s="433"/>
      <c r="V264" s="132">
        <f t="shared" si="120"/>
        <v>0</v>
      </c>
      <c r="W264" s="133">
        <f t="shared" si="116"/>
        <v>0</v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25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33"/>
      <c r="P265" s="433"/>
      <c r="Q265" s="433"/>
      <c r="R265" s="433"/>
      <c r="S265" s="433"/>
      <c r="T265" s="433"/>
      <c r="U265" s="433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25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3"/>
      <c r="P266" s="433"/>
      <c r="Q266" s="433"/>
      <c r="R266" s="433"/>
      <c r="S266" s="433"/>
      <c r="T266" s="433"/>
      <c r="U266" s="43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25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3"/>
      <c r="P267" s="433"/>
      <c r="Q267" s="433"/>
      <c r="R267" s="433"/>
      <c r="S267" s="433"/>
      <c r="T267" s="433"/>
      <c r="U267" s="43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25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3"/>
      <c r="P268" s="433"/>
      <c r="Q268" s="433"/>
      <c r="R268" s="433"/>
      <c r="S268" s="433"/>
      <c r="T268" s="433"/>
      <c r="U268" s="43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25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33"/>
      <c r="P269" s="433"/>
      <c r="Q269" s="433"/>
      <c r="R269" s="433"/>
      <c r="S269" s="433"/>
      <c r="T269" s="433"/>
      <c r="U269" s="433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25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33"/>
      <c r="P270" s="433"/>
      <c r="Q270" s="433"/>
      <c r="R270" s="433"/>
      <c r="S270" s="433"/>
      <c r="T270" s="433"/>
      <c r="U270" s="433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25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33"/>
      <c r="P271" s="433"/>
      <c r="Q271" s="433"/>
      <c r="R271" s="433"/>
      <c r="S271" s="433"/>
      <c r="T271" s="433"/>
      <c r="U271" s="433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25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33"/>
      <c r="P272" s="433"/>
      <c r="Q272" s="433"/>
      <c r="R272" s="433"/>
      <c r="S272" s="433"/>
      <c r="T272" s="433"/>
      <c r="U272" s="433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25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33"/>
      <c r="P273" s="433"/>
      <c r="Q273" s="433"/>
      <c r="R273" s="433"/>
      <c r="S273" s="433"/>
      <c r="T273" s="433"/>
      <c r="U273" s="433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24" t="s">
        <v>222</v>
      </c>
      <c r="C274" s="126" t="s">
        <v>181</v>
      </c>
      <c r="D274" s="108">
        <v>9.36</v>
      </c>
      <c r="E274" s="108"/>
      <c r="F274" s="127"/>
      <c r="G274" s="128"/>
      <c r="H274" s="425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33"/>
      <c r="P274" s="433"/>
      <c r="Q274" s="433"/>
      <c r="R274" s="433"/>
      <c r="S274" s="433"/>
      <c r="T274" s="433"/>
      <c r="U274" s="433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24" t="s">
        <v>222</v>
      </c>
      <c r="C275" s="126" t="s">
        <v>179</v>
      </c>
      <c r="D275" s="108">
        <v>9.36</v>
      </c>
      <c r="E275" s="108"/>
      <c r="F275" s="127"/>
      <c r="G275" s="128"/>
      <c r="H275" s="425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33"/>
      <c r="P275" s="433"/>
      <c r="Q275" s="433"/>
      <c r="R275" s="433"/>
      <c r="S275" s="433"/>
      <c r="T275" s="433"/>
      <c r="U275" s="433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24" t="s">
        <v>222</v>
      </c>
      <c r="C276" s="126" t="s">
        <v>221</v>
      </c>
      <c r="D276" s="108">
        <v>9.36</v>
      </c>
      <c r="E276" s="108"/>
      <c r="F276" s="127"/>
      <c r="G276" s="128"/>
      <c r="H276" s="425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33"/>
      <c r="P276" s="433"/>
      <c r="Q276" s="433"/>
      <c r="R276" s="433"/>
      <c r="S276" s="433"/>
      <c r="T276" s="433"/>
      <c r="U276" s="433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24" t="s">
        <v>222</v>
      </c>
      <c r="C277" s="126" t="s">
        <v>186</v>
      </c>
      <c r="D277" s="108">
        <v>9.36</v>
      </c>
      <c r="E277" s="108"/>
      <c r="F277" s="127"/>
      <c r="G277" s="128"/>
      <c r="H277" s="425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33"/>
      <c r="P277" s="433"/>
      <c r="Q277" s="433"/>
      <c r="R277" s="433"/>
      <c r="S277" s="433"/>
      <c r="T277" s="433"/>
      <c r="U277" s="433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24" t="s">
        <v>393</v>
      </c>
      <c r="C278" s="187" t="s">
        <v>395</v>
      </c>
      <c r="D278" s="108">
        <v>5</v>
      </c>
      <c r="E278" s="108"/>
      <c r="F278" s="127"/>
      <c r="G278" s="128"/>
      <c r="H278" s="425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33"/>
      <c r="P278" s="433"/>
      <c r="Q278" s="433"/>
      <c r="R278" s="433"/>
      <c r="S278" s="433"/>
      <c r="T278" s="433"/>
      <c r="U278" s="43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24" t="s">
        <v>393</v>
      </c>
      <c r="C279" s="187" t="s">
        <v>402</v>
      </c>
      <c r="D279" s="108">
        <v>5</v>
      </c>
      <c r="E279" s="108"/>
      <c r="F279" s="127"/>
      <c r="G279" s="128"/>
      <c r="H279" s="425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33"/>
      <c r="P279" s="433"/>
      <c r="Q279" s="433"/>
      <c r="R279" s="433"/>
      <c r="S279" s="433"/>
      <c r="T279" s="433"/>
      <c r="U279" s="43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24" t="s">
        <v>404</v>
      </c>
      <c r="C280" s="187" t="s">
        <v>405</v>
      </c>
      <c r="D280" s="108">
        <v>5</v>
      </c>
      <c r="E280" s="108"/>
      <c r="F280" s="127"/>
      <c r="G280" s="128"/>
      <c r="H280" s="425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33"/>
      <c r="P280" s="433"/>
      <c r="Q280" s="433"/>
      <c r="R280" s="433"/>
      <c r="S280" s="433"/>
      <c r="T280" s="433"/>
      <c r="U280" s="43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24" t="s">
        <v>342</v>
      </c>
      <c r="C281" s="187" t="s">
        <v>372</v>
      </c>
      <c r="D281" s="108">
        <v>5</v>
      </c>
      <c r="E281" s="108"/>
      <c r="F281" s="127"/>
      <c r="G281" s="128"/>
      <c r="H281" s="425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33"/>
      <c r="P281" s="433"/>
      <c r="Q281" s="433"/>
      <c r="R281" s="433"/>
      <c r="S281" s="433"/>
      <c r="T281" s="433"/>
      <c r="U281" s="43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24" t="s">
        <v>343</v>
      </c>
      <c r="C282" s="126" t="s">
        <v>345</v>
      </c>
      <c r="D282" s="108">
        <v>5</v>
      </c>
      <c r="E282" s="108"/>
      <c r="F282" s="127"/>
      <c r="G282" s="128"/>
      <c r="H282" s="425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33"/>
      <c r="P282" s="433"/>
      <c r="Q282" s="433"/>
      <c r="R282" s="433"/>
      <c r="S282" s="433"/>
      <c r="T282" s="433"/>
      <c r="U282" s="43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24" t="s">
        <v>343</v>
      </c>
      <c r="C283" s="126" t="s">
        <v>347</v>
      </c>
      <c r="D283" s="108">
        <v>5</v>
      </c>
      <c r="E283" s="108"/>
      <c r="F283" s="127"/>
      <c r="G283" s="128"/>
      <c r="H283" s="425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33"/>
      <c r="P283" s="433"/>
      <c r="Q283" s="433"/>
      <c r="R283" s="433"/>
      <c r="S283" s="433"/>
      <c r="T283" s="433"/>
      <c r="U283" s="433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25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33"/>
      <c r="P284" s="433"/>
      <c r="Q284" s="433"/>
      <c r="R284" s="433"/>
      <c r="S284" s="433"/>
      <c r="T284" s="433"/>
      <c r="U284" s="433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25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33"/>
      <c r="P285" s="433"/>
      <c r="Q285" s="433"/>
      <c r="R285" s="433"/>
      <c r="S285" s="433"/>
      <c r="T285" s="433"/>
      <c r="U285" s="433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25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33"/>
      <c r="P286" s="433"/>
      <c r="Q286" s="433"/>
      <c r="R286" s="433"/>
      <c r="S286" s="433"/>
      <c r="T286" s="433"/>
      <c r="U286" s="43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25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33"/>
      <c r="P287" s="433"/>
      <c r="Q287" s="433"/>
      <c r="R287" s="433"/>
      <c r="S287" s="433"/>
      <c r="T287" s="433"/>
      <c r="U287" s="43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25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33"/>
      <c r="P288" s="433"/>
      <c r="Q288" s="433"/>
      <c r="R288" s="433"/>
      <c r="S288" s="433"/>
      <c r="T288" s="433"/>
      <c r="U288" s="433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25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33"/>
      <c r="P289" s="433"/>
      <c r="Q289" s="433"/>
      <c r="R289" s="433"/>
      <c r="S289" s="433"/>
      <c r="T289" s="433"/>
      <c r="U289" s="433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25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33"/>
      <c r="P290" s="433"/>
      <c r="Q290" s="433"/>
      <c r="R290" s="433"/>
      <c r="S290" s="433"/>
      <c r="T290" s="433"/>
      <c r="U290" s="433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25">
        <f t="shared" si="117"/>
        <v>0</v>
      </c>
      <c r="I291" s="129"/>
      <c r="J291" s="130" t="str">
        <f t="array" ref="J291">IF(ISERROR(G291/I291),"",G291/I291)</f>
        <v/>
      </c>
      <c r="K291" s="425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33"/>
      <c r="P291" s="433"/>
      <c r="Q291" s="433"/>
      <c r="R291" s="433"/>
      <c r="S291" s="433"/>
      <c r="T291" s="433"/>
      <c r="U291" s="433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434" t="s">
        <v>202</v>
      </c>
      <c r="D292" s="143"/>
      <c r="E292" s="143"/>
      <c r="F292" s="144"/>
      <c r="G292" s="145">
        <f>SUM(G258:G291)</f>
        <v>210</v>
      </c>
      <c r="H292" s="146">
        <f>SUM(H258:H291)</f>
        <v>1056.3</v>
      </c>
      <c r="I292" s="146">
        <f>SUM(I258:I291)</f>
        <v>33</v>
      </c>
      <c r="J292" s="130">
        <f t="array" ref="J292">IF(ISERROR(G292/I292),"",G292/I292)</f>
        <v>6.3636363636363633</v>
      </c>
      <c r="K292" s="146">
        <f>SUM(K258:K291)</f>
        <v>22.58064516129032</v>
      </c>
      <c r="L292" s="147"/>
      <c r="M292" s="150">
        <f t="shared" ref="M292:V292" si="132">SUM(M258:M291)</f>
        <v>10.41935483870968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25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33"/>
      <c r="P293" s="433"/>
      <c r="Q293" s="433"/>
      <c r="R293" s="433"/>
      <c r="S293" s="433"/>
      <c r="T293" s="433"/>
      <c r="U293" s="433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25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33"/>
      <c r="P294" s="433"/>
      <c r="Q294" s="433"/>
      <c r="R294" s="433"/>
      <c r="S294" s="433"/>
      <c r="T294" s="433"/>
      <c r="U294" s="433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25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33"/>
      <c r="P295" s="433"/>
      <c r="Q295" s="433"/>
      <c r="R295" s="433"/>
      <c r="S295" s="433"/>
      <c r="T295" s="433"/>
      <c r="U295" s="433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25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33"/>
      <c r="P296" s="433"/>
      <c r="Q296" s="433"/>
      <c r="R296" s="433"/>
      <c r="S296" s="433"/>
      <c r="T296" s="433"/>
      <c r="U296" s="433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30" t="s">
        <v>203</v>
      </c>
      <c r="D297" s="108">
        <v>5.03</v>
      </c>
      <c r="E297" s="108"/>
      <c r="F297" s="127"/>
      <c r="G297" s="128"/>
      <c r="H297" s="425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33"/>
      <c r="P297" s="433"/>
      <c r="Q297" s="433"/>
      <c r="R297" s="433"/>
      <c r="S297" s="433"/>
      <c r="T297" s="433"/>
      <c r="U297" s="433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25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33"/>
      <c r="P298" s="433"/>
      <c r="Q298" s="433"/>
      <c r="R298" s="433"/>
      <c r="S298" s="433"/>
      <c r="T298" s="433"/>
      <c r="U298" s="433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25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33"/>
      <c r="P299" s="433"/>
      <c r="Q299" s="433"/>
      <c r="R299" s="433"/>
      <c r="S299" s="433"/>
      <c r="T299" s="433"/>
      <c r="U299" s="433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30" t="s">
        <v>228</v>
      </c>
      <c r="D300" s="108">
        <v>5.03</v>
      </c>
      <c r="E300" s="108"/>
      <c r="F300" s="127"/>
      <c r="G300" s="128"/>
      <c r="H300" s="425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33"/>
      <c r="P300" s="433"/>
      <c r="Q300" s="433"/>
      <c r="R300" s="433"/>
      <c r="S300" s="433"/>
      <c r="T300" s="433"/>
      <c r="U300" s="433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30" t="s">
        <v>212</v>
      </c>
      <c r="D301" s="108">
        <v>5.03</v>
      </c>
      <c r="E301" s="108"/>
      <c r="F301" s="127"/>
      <c r="G301" s="128"/>
      <c r="H301" s="425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33"/>
      <c r="P301" s="433"/>
      <c r="Q301" s="433"/>
      <c r="R301" s="433"/>
      <c r="S301" s="433"/>
      <c r="T301" s="433"/>
      <c r="U301" s="433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30" t="s">
        <v>203</v>
      </c>
      <c r="D302" s="108">
        <v>5.03</v>
      </c>
      <c r="E302" s="108"/>
      <c r="F302" s="127"/>
      <c r="G302" s="128"/>
      <c r="H302" s="425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33"/>
      <c r="P302" s="433"/>
      <c r="Q302" s="433"/>
      <c r="R302" s="433"/>
      <c r="S302" s="433"/>
      <c r="T302" s="433"/>
      <c r="U302" s="433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30" t="s">
        <v>186</v>
      </c>
      <c r="D303" s="108">
        <v>5.03</v>
      </c>
      <c r="E303" s="108"/>
      <c r="F303" s="127"/>
      <c r="G303" s="128"/>
      <c r="H303" s="425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33"/>
      <c r="P303" s="433"/>
      <c r="Q303" s="433"/>
      <c r="R303" s="433"/>
      <c r="S303" s="433"/>
      <c r="T303" s="433"/>
      <c r="U303" s="433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30" t="s">
        <v>228</v>
      </c>
      <c r="D304" s="108">
        <v>5.03</v>
      </c>
      <c r="E304" s="108"/>
      <c r="F304" s="127"/>
      <c r="G304" s="128"/>
      <c r="H304" s="425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33"/>
      <c r="P304" s="433"/>
      <c r="Q304" s="433"/>
      <c r="R304" s="433"/>
      <c r="S304" s="433"/>
      <c r="T304" s="433"/>
      <c r="U304" s="433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30" t="s">
        <v>199</v>
      </c>
      <c r="D305" s="108">
        <v>5.03</v>
      </c>
      <c r="E305" s="108"/>
      <c r="F305" s="127"/>
      <c r="G305" s="128"/>
      <c r="H305" s="425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33"/>
      <c r="P305" s="433"/>
      <c r="Q305" s="433"/>
      <c r="R305" s="433"/>
      <c r="S305" s="433"/>
      <c r="T305" s="433"/>
      <c r="U305" s="433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25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33"/>
      <c r="P306" s="433"/>
      <c r="Q306" s="433"/>
      <c r="R306" s="433"/>
      <c r="S306" s="433"/>
      <c r="T306" s="433"/>
      <c r="U306" s="433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90*4</f>
        <v>360</v>
      </c>
      <c r="H307" s="425">
        <f t="shared" si="133"/>
        <v>1821.6</v>
      </c>
      <c r="I307" s="129">
        <f>6*3</f>
        <v>18</v>
      </c>
      <c r="J307" s="130">
        <f t="array" ref="J307">IF(ISERROR(G307/I307),"",G307/I307)</f>
        <v>20</v>
      </c>
      <c r="K307" s="131">
        <f t="array" ref="K307">IF(ISERROR(G307/L307),"",G307/L307)</f>
        <v>14.4</v>
      </c>
      <c r="L307" s="129">
        <v>25</v>
      </c>
      <c r="M307" s="109">
        <f t="shared" si="134"/>
        <v>3.5999999999999996</v>
      </c>
      <c r="N307" s="130">
        <f t="shared" si="135"/>
        <v>0</v>
      </c>
      <c r="O307" s="433"/>
      <c r="P307" s="433"/>
      <c r="Q307" s="433"/>
      <c r="R307" s="433"/>
      <c r="S307" s="433"/>
      <c r="T307" s="433"/>
      <c r="U307" s="433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434" t="s">
        <v>202</v>
      </c>
      <c r="D308" s="143"/>
      <c r="E308" s="143"/>
      <c r="F308" s="144"/>
      <c r="G308" s="145">
        <f>SUM(G293:G307)</f>
        <v>360</v>
      </c>
      <c r="H308" s="146">
        <f>SUM(H293:H307)</f>
        <v>1821.6</v>
      </c>
      <c r="I308" s="146">
        <f>SUM(I293:I307)</f>
        <v>18</v>
      </c>
      <c r="J308" s="130">
        <f t="array" ref="J308">IF(ISERROR(G308/I308),"",G308/I308)</f>
        <v>20</v>
      </c>
      <c r="K308" s="146">
        <f>SUM(K293:K307)</f>
        <v>14.4</v>
      </c>
      <c r="L308" s="146"/>
      <c r="M308" s="150">
        <f>SUM(M293:M307)</f>
        <v>3.5999999999999996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25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33"/>
      <c r="P309" s="433"/>
      <c r="Q309" s="433"/>
      <c r="R309" s="433"/>
      <c r="S309" s="433"/>
      <c r="T309" s="433"/>
      <c r="U309" s="433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25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33"/>
      <c r="P310" s="433"/>
      <c r="Q310" s="433"/>
      <c r="R310" s="433"/>
      <c r="S310" s="433"/>
      <c r="T310" s="433"/>
      <c r="U310" s="433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25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33"/>
      <c r="P311" s="433"/>
      <c r="Q311" s="433"/>
      <c r="R311" s="433"/>
      <c r="S311" s="433"/>
      <c r="T311" s="433"/>
      <c r="U311" s="433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25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33"/>
      <c r="P312" s="433"/>
      <c r="Q312" s="433"/>
      <c r="R312" s="433"/>
      <c r="S312" s="433"/>
      <c r="T312" s="433"/>
      <c r="U312" s="433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25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33"/>
      <c r="P313" s="433"/>
      <c r="Q313" s="433"/>
      <c r="R313" s="433"/>
      <c r="S313" s="433"/>
      <c r="T313" s="433"/>
      <c r="U313" s="433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25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33"/>
      <c r="P314" s="433"/>
      <c r="Q314" s="433"/>
      <c r="R314" s="433"/>
      <c r="S314" s="433"/>
      <c r="T314" s="433"/>
      <c r="U314" s="433"/>
      <c r="V314" s="132"/>
      <c r="W314" s="133"/>
      <c r="X314" s="132"/>
      <c r="Y314" s="132"/>
      <c r="Z314" s="132"/>
      <c r="AA314" s="132"/>
    </row>
    <row r="315" spans="1:27" ht="19.5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>
        <v>42737</v>
      </c>
      <c r="G315" s="128">
        <f>90*6+30</f>
        <v>570</v>
      </c>
      <c r="H315" s="425">
        <f t="shared" si="137"/>
        <v>2867.1000000000004</v>
      </c>
      <c r="I315" s="129">
        <f>11.5*4</f>
        <v>46</v>
      </c>
      <c r="J315" s="130">
        <f t="array" ref="J315">IF(ISERROR(G315/I315),"",G315/I315)</f>
        <v>12.391304347826088</v>
      </c>
      <c r="K315" s="131">
        <f t="array" ref="K315">IF(ISERROR(G315/L315),"",G315/L315)</f>
        <v>42.222222222222221</v>
      </c>
      <c r="L315" s="129">
        <v>13.5</v>
      </c>
      <c r="M315" s="109">
        <f t="shared" ref="M315" si="141">IF(ISERROR(I315-K315),"",I315-K315)</f>
        <v>3.7777777777777786</v>
      </c>
      <c r="N315" s="130"/>
      <c r="O315" s="433"/>
      <c r="P315" s="433"/>
      <c r="Q315" s="433"/>
      <c r="R315" s="433"/>
      <c r="S315" s="433"/>
      <c r="T315" s="433"/>
      <c r="U315" s="433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25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33"/>
      <c r="P316" s="433"/>
      <c r="Q316" s="433"/>
      <c r="R316" s="433"/>
      <c r="S316" s="433"/>
      <c r="T316" s="433"/>
      <c r="U316" s="433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38">
        <f t="shared" si="137"/>
        <v>0</v>
      </c>
      <c r="I317" s="129"/>
      <c r="J317" s="130"/>
      <c r="K317" s="131"/>
      <c r="L317" s="129"/>
      <c r="M317" s="109"/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25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33"/>
      <c r="P318" s="433"/>
      <c r="Q318" s="433"/>
      <c r="R318" s="433"/>
      <c r="S318" s="433"/>
      <c r="T318" s="433"/>
      <c r="U318" s="433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434" t="s">
        <v>202</v>
      </c>
      <c r="D319" s="143"/>
      <c r="E319" s="143"/>
      <c r="F319" s="144"/>
      <c r="G319" s="145">
        <f>SUM(G309:G318)</f>
        <v>570</v>
      </c>
      <c r="H319" s="146">
        <f>SUM(H309:H318)</f>
        <v>2867.1000000000004</v>
      </c>
      <c r="I319" s="146">
        <f>SUM(I309:I318)</f>
        <v>46</v>
      </c>
      <c r="J319" s="130">
        <f t="array" ref="J319">IF(ISERROR(G319/I319),"",G319/I319)</f>
        <v>12.391304347826088</v>
      </c>
      <c r="K319" s="146">
        <f>SUM(K309:K318)</f>
        <v>42.222222222222221</v>
      </c>
      <c r="L319" s="147"/>
      <c r="M319" s="150">
        <f>SUM(M309:M318)</f>
        <v>3.7777777777777786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31"/>
      <c r="D320" s="108">
        <v>3.65</v>
      </c>
      <c r="E320" s="108"/>
      <c r="F320" s="153"/>
      <c r="G320" s="128"/>
      <c r="H320" s="425">
        <f t="shared" ref="H320:H333" si="146">D320*G320</f>
        <v>0</v>
      </c>
      <c r="I320" s="129"/>
      <c r="J320" s="130" t="str">
        <f t="array" ref="J320">IF(ISERROR(G320/I320),"",G320/I320)</f>
        <v/>
      </c>
      <c r="K320" s="425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33"/>
      <c r="P320" s="433"/>
      <c r="Q320" s="433"/>
      <c r="R320" s="433"/>
      <c r="S320" s="433"/>
      <c r="T320" s="433"/>
      <c r="U320" s="433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31"/>
      <c r="D321" s="108">
        <v>6.58</v>
      </c>
      <c r="E321" s="108"/>
      <c r="F321" s="127"/>
      <c r="G321" s="128"/>
      <c r="H321" s="425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33"/>
      <c r="P321" s="433"/>
      <c r="Q321" s="433"/>
      <c r="R321" s="433"/>
      <c r="S321" s="433"/>
      <c r="T321" s="433"/>
      <c r="U321" s="433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31"/>
      <c r="D322" s="108">
        <v>7.8</v>
      </c>
      <c r="E322" s="108"/>
      <c r="F322" s="127">
        <v>42737</v>
      </c>
      <c r="G322" s="128">
        <f>32*3</f>
        <v>96</v>
      </c>
      <c r="H322" s="425">
        <f t="shared" si="146"/>
        <v>748.8</v>
      </c>
      <c r="I322" s="129">
        <v>21</v>
      </c>
      <c r="J322" s="130">
        <f t="array" ref="J322">IF(ISERROR(G322/I322),"",G322/I322)</f>
        <v>4.5714285714285712</v>
      </c>
      <c r="K322" s="131">
        <f t="array" ref="K322">IF(ISERROR(G322/L322),"",G322/L322)</f>
        <v>20.869565217391305</v>
      </c>
      <c r="L322" s="129">
        <v>4.5999999999999996</v>
      </c>
      <c r="M322" s="109">
        <f t="shared" si="147"/>
        <v>0.13043478260869534</v>
      </c>
      <c r="N322" s="130">
        <f t="shared" si="148"/>
        <v>0</v>
      </c>
      <c r="O322" s="433"/>
      <c r="P322" s="433"/>
      <c r="Q322" s="433"/>
      <c r="R322" s="433"/>
      <c r="S322" s="433"/>
      <c r="T322" s="433"/>
      <c r="U322" s="433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31"/>
      <c r="D323" s="108">
        <v>4.4000000000000004</v>
      </c>
      <c r="E323" s="108"/>
      <c r="F323" s="127"/>
      <c r="G323" s="128"/>
      <c r="H323" s="425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33"/>
      <c r="P323" s="433"/>
      <c r="Q323" s="433"/>
      <c r="R323" s="433"/>
      <c r="S323" s="433"/>
      <c r="T323" s="433"/>
      <c r="U323" s="433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31"/>
      <c r="D324" s="108"/>
      <c r="E324" s="108"/>
      <c r="F324" s="127"/>
      <c r="G324" s="128"/>
      <c r="H324" s="425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33"/>
      <c r="P324" s="433"/>
      <c r="Q324" s="433"/>
      <c r="R324" s="433"/>
      <c r="S324" s="433"/>
      <c r="T324" s="433"/>
      <c r="U324" s="433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31" t="s">
        <v>239</v>
      </c>
      <c r="C325" s="431" t="s">
        <v>179</v>
      </c>
      <c r="D325" s="108">
        <v>6.04</v>
      </c>
      <c r="E325" s="108"/>
      <c r="F325" s="127"/>
      <c r="G325" s="128"/>
      <c r="H325" s="425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33"/>
      <c r="P325" s="433"/>
      <c r="Q325" s="433"/>
      <c r="R325" s="433"/>
      <c r="S325" s="433"/>
      <c r="T325" s="433"/>
      <c r="U325" s="433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31" t="s">
        <v>239</v>
      </c>
      <c r="C326" s="431" t="s">
        <v>186</v>
      </c>
      <c r="D326" s="108">
        <v>6.04</v>
      </c>
      <c r="E326" s="108"/>
      <c r="F326" s="127"/>
      <c r="G326" s="128"/>
      <c r="H326" s="425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33"/>
      <c r="P326" s="433"/>
      <c r="Q326" s="433"/>
      <c r="R326" s="433"/>
      <c r="S326" s="433"/>
      <c r="T326" s="433"/>
      <c r="U326" s="433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31" t="s">
        <v>443</v>
      </c>
      <c r="C327" s="431" t="s">
        <v>179</v>
      </c>
      <c r="D327" s="108">
        <v>6</v>
      </c>
      <c r="E327" s="108"/>
      <c r="F327" s="127"/>
      <c r="G327" s="128"/>
      <c r="H327" s="425">
        <f t="shared" si="146"/>
        <v>0</v>
      </c>
      <c r="I327" s="129"/>
      <c r="J327" s="130"/>
      <c r="K327" s="131"/>
      <c r="L327" s="129"/>
      <c r="M327" s="109"/>
      <c r="N327" s="130"/>
      <c r="O327" s="433"/>
      <c r="P327" s="433"/>
      <c r="Q327" s="433"/>
      <c r="R327" s="433"/>
      <c r="S327" s="433"/>
      <c r="T327" s="433"/>
      <c r="U327" s="43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31" t="s">
        <v>443</v>
      </c>
      <c r="C328" s="431" t="s">
        <v>60</v>
      </c>
      <c r="D328" s="108">
        <v>6</v>
      </c>
      <c r="E328" s="108"/>
      <c r="F328" s="127"/>
      <c r="G328" s="128"/>
      <c r="H328" s="425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33"/>
      <c r="P328" s="433"/>
      <c r="Q328" s="433"/>
      <c r="R328" s="433"/>
      <c r="S328" s="433"/>
      <c r="T328" s="433"/>
      <c r="U328" s="433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24" t="s">
        <v>240</v>
      </c>
      <c r="C329" s="126"/>
      <c r="D329" s="108">
        <v>7.3</v>
      </c>
      <c r="E329" s="108"/>
      <c r="F329" s="127"/>
      <c r="G329" s="128"/>
      <c r="H329" s="425">
        <f t="shared" si="146"/>
        <v>0</v>
      </c>
      <c r="I329" s="129"/>
      <c r="J329" s="130"/>
      <c r="K329" s="131"/>
      <c r="L329" s="129"/>
      <c r="M329" s="109"/>
      <c r="N329" s="130"/>
      <c r="O329" s="433"/>
      <c r="P329" s="433"/>
      <c r="Q329" s="433"/>
      <c r="R329" s="433"/>
      <c r="S329" s="433"/>
      <c r="T329" s="433"/>
      <c r="U329" s="43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24" t="s">
        <v>241</v>
      </c>
      <c r="C330" s="126"/>
      <c r="D330" s="108">
        <f>78*120/1000</f>
        <v>9.36</v>
      </c>
      <c r="E330" s="108"/>
      <c r="F330" s="127"/>
      <c r="G330" s="128"/>
      <c r="H330" s="425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33"/>
      <c r="P330" s="433"/>
      <c r="Q330" s="433"/>
      <c r="R330" s="433"/>
      <c r="S330" s="433"/>
      <c r="T330" s="433"/>
      <c r="U330" s="433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24" t="s">
        <v>242</v>
      </c>
      <c r="C331" s="126"/>
      <c r="D331" s="108">
        <v>4.5</v>
      </c>
      <c r="E331" s="108"/>
      <c r="F331" s="127"/>
      <c r="G331" s="128"/>
      <c r="H331" s="425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3"/>
      <c r="P331" s="433"/>
      <c r="Q331" s="433"/>
      <c r="R331" s="433"/>
      <c r="S331" s="433"/>
      <c r="T331" s="433"/>
      <c r="U331" s="43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24" t="s">
        <v>243</v>
      </c>
      <c r="C332" s="126"/>
      <c r="D332" s="108">
        <v>4.5</v>
      </c>
      <c r="E332" s="108"/>
      <c r="F332" s="127"/>
      <c r="G332" s="128"/>
      <c r="H332" s="425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33"/>
      <c r="P332" s="433"/>
      <c r="Q332" s="433"/>
      <c r="R332" s="433"/>
      <c r="S332" s="433"/>
      <c r="T332" s="433"/>
      <c r="U332" s="433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25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33"/>
      <c r="P333" s="433"/>
      <c r="Q333" s="433"/>
      <c r="R333" s="433"/>
      <c r="S333" s="433"/>
      <c r="T333" s="433"/>
      <c r="U333" s="433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434" t="s">
        <v>202</v>
      </c>
      <c r="D334" s="143"/>
      <c r="E334" s="143"/>
      <c r="F334" s="144"/>
      <c r="G334" s="145">
        <f>SUM(G320:G333)</f>
        <v>96</v>
      </c>
      <c r="H334" s="146">
        <f>SUM(H320:H330)</f>
        <v>748.8</v>
      </c>
      <c r="I334" s="146">
        <f>SUM(I320:I333)</f>
        <v>21</v>
      </c>
      <c r="J334" s="130">
        <f t="array" ref="J334">IF(ISERROR(G334/I334),"",G334/I334)</f>
        <v>4.5714285714285712</v>
      </c>
      <c r="K334" s="146">
        <f>SUM(K320:K330)</f>
        <v>20.869565217391305</v>
      </c>
      <c r="L334" s="147"/>
      <c r="M334" s="150">
        <f t="shared" ref="M334:AA334" si="157">SUM(M320:M330)</f>
        <v>0.13043478260869534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5239</v>
      </c>
      <c r="H335" s="154">
        <f>SUM(H199,H257,H292,H308,H319,H334)</f>
        <v>26670.98</v>
      </c>
      <c r="I335" s="154">
        <f>SUM(I199,I257,I292,I308,I319,I334)</f>
        <v>279.5</v>
      </c>
      <c r="J335" s="155">
        <f t="array" ref="J335">IF(ISERROR(G335/I335),"",G335/I335)</f>
        <v>18.744186046511629</v>
      </c>
      <c r="K335" s="154">
        <f>SUM(K199,K257,K292,K308,K319,K334)</f>
        <v>238.76934750645128</v>
      </c>
      <c r="L335" s="155">
        <f>IF(ISERROR(G335/K335),"",G335/K335)</f>
        <v>21.941677416773306</v>
      </c>
      <c r="M335" s="154">
        <f t="shared" ref="M335:AA335" si="158">SUM(M199,M257,M292,M308,M319,M334)</f>
        <v>40.730652493548739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3" t="s">
        <v>476</v>
      </c>
      <c r="B336" s="427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427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427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427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427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427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427">
        <f>G335</f>
        <v>5239</v>
      </c>
      <c r="C342" s="638" t="s">
        <v>269</v>
      </c>
      <c r="D342" s="639"/>
      <c r="E342" s="631">
        <f>H335</f>
        <v>26670.98</v>
      </c>
      <c r="F342" s="631"/>
      <c r="G342" s="631" t="s">
        <v>270</v>
      </c>
      <c r="H342" s="631"/>
      <c r="I342" s="640">
        <f>L335</f>
        <v>21.941677416773306</v>
      </c>
      <c r="J342" s="640"/>
      <c r="K342" s="628" t="s">
        <v>271</v>
      </c>
      <c r="L342" s="628"/>
      <c r="M342" s="640">
        <f>J335</f>
        <v>18.744186046511629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427">
        <f>I335+C341</f>
        <v>281.5</v>
      </c>
      <c r="C343" s="641" t="s">
        <v>251</v>
      </c>
      <c r="D343" s="642"/>
      <c r="E343" s="643">
        <f>K335+I341</f>
        <v>268.76934750645125</v>
      </c>
      <c r="F343" s="643"/>
      <c r="G343" s="631" t="s">
        <v>274</v>
      </c>
      <c r="H343" s="631"/>
      <c r="I343" s="640">
        <f>B343-E343</f>
        <v>12.730652493548746</v>
      </c>
      <c r="J343" s="640"/>
      <c r="K343" s="628" t="s">
        <v>275</v>
      </c>
      <c r="L343" s="628"/>
      <c r="M343" s="632">
        <f>IF(ISERROR(I343/E343),"",I343/E343)</f>
        <v>4.7366459797812968E-2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427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539</v>
      </c>
      <c r="H348" s="431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424" t="s">
        <v>178</v>
      </c>
      <c r="C349" s="126" t="s">
        <v>179</v>
      </c>
      <c r="D349" s="108">
        <v>5.03</v>
      </c>
      <c r="E349" s="108"/>
      <c r="F349" s="127"/>
      <c r="G349" s="128"/>
      <c r="H349" s="425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33"/>
      <c r="P349" s="433"/>
      <c r="Q349" s="433"/>
      <c r="R349" s="433"/>
      <c r="S349" s="433"/>
      <c r="T349" s="433"/>
      <c r="U349" s="433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25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3"/>
      <c r="P350" s="433"/>
      <c r="Q350" s="433"/>
      <c r="R350" s="433"/>
      <c r="S350" s="433"/>
      <c r="T350" s="433"/>
      <c r="U350" s="433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25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33"/>
      <c r="P351" s="433"/>
      <c r="Q351" s="433"/>
      <c r="R351" s="433"/>
      <c r="S351" s="433"/>
      <c r="T351" s="433"/>
      <c r="U351" s="433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25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3"/>
      <c r="P352" s="433"/>
      <c r="Q352" s="433"/>
      <c r="R352" s="433"/>
      <c r="S352" s="433"/>
      <c r="T352" s="433"/>
      <c r="U352" s="433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25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33"/>
      <c r="P353" s="433"/>
      <c r="Q353" s="433"/>
      <c r="R353" s="433"/>
      <c r="S353" s="433"/>
      <c r="T353" s="433"/>
      <c r="U353" s="433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25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33"/>
      <c r="P354" s="433"/>
      <c r="Q354" s="433"/>
      <c r="R354" s="433"/>
      <c r="S354" s="433"/>
      <c r="T354" s="433"/>
      <c r="U354" s="433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25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33"/>
      <c r="P355" s="433"/>
      <c r="Q355" s="433"/>
      <c r="R355" s="433"/>
      <c r="S355" s="433"/>
      <c r="T355" s="433"/>
      <c r="U355" s="433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25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33"/>
      <c r="P356" s="433"/>
      <c r="Q356" s="433"/>
      <c r="R356" s="433"/>
      <c r="S356" s="433"/>
      <c r="T356" s="433"/>
      <c r="U356" s="433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25">
        <f t="shared" si="159"/>
        <v>0</v>
      </c>
      <c r="I357" s="425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33"/>
      <c r="P357" s="433"/>
      <c r="Q357" s="433"/>
      <c r="R357" s="433"/>
      <c r="S357" s="433"/>
      <c r="T357" s="433"/>
      <c r="U357" s="433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25">
        <f t="shared" si="159"/>
        <v>0</v>
      </c>
      <c r="I358" s="425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33"/>
      <c r="P358" s="433"/>
      <c r="Q358" s="433"/>
      <c r="R358" s="433"/>
      <c r="S358" s="433"/>
      <c r="T358" s="433"/>
      <c r="U358" s="433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25">
        <f t="shared" si="159"/>
        <v>0</v>
      </c>
      <c r="I359" s="425"/>
      <c r="J359" s="130"/>
      <c r="K359" s="131"/>
      <c r="L359" s="129"/>
      <c r="M359" s="109"/>
      <c r="N359" s="130"/>
      <c r="O359" s="433"/>
      <c r="P359" s="433"/>
      <c r="Q359" s="433"/>
      <c r="R359" s="433"/>
      <c r="S359" s="433"/>
      <c r="T359" s="433"/>
      <c r="U359" s="433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25">
        <f t="shared" si="159"/>
        <v>0</v>
      </c>
      <c r="I360" s="425"/>
      <c r="J360" s="130"/>
      <c r="K360" s="131"/>
      <c r="L360" s="129"/>
      <c r="M360" s="109"/>
      <c r="N360" s="130"/>
      <c r="O360" s="433"/>
      <c r="P360" s="433"/>
      <c r="Q360" s="433"/>
      <c r="R360" s="433"/>
      <c r="S360" s="433"/>
      <c r="T360" s="433"/>
      <c r="U360" s="433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25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33"/>
      <c r="P361" s="433"/>
      <c r="Q361" s="433"/>
      <c r="R361" s="433"/>
      <c r="S361" s="433"/>
      <c r="T361" s="433"/>
      <c r="U361" s="433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25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33"/>
      <c r="P362" s="433"/>
      <c r="Q362" s="433"/>
      <c r="R362" s="433"/>
      <c r="S362" s="433"/>
      <c r="T362" s="433"/>
      <c r="U362" s="433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25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33"/>
      <c r="P363" s="433"/>
      <c r="Q363" s="433"/>
      <c r="R363" s="433"/>
      <c r="S363" s="433"/>
      <c r="T363" s="433"/>
      <c r="U363" s="433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31" t="s">
        <v>190</v>
      </c>
      <c r="D364" s="108">
        <v>4.8</v>
      </c>
      <c r="E364" s="108"/>
      <c r="F364" s="127"/>
      <c r="G364" s="128"/>
      <c r="H364" s="425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3"/>
      <c r="P364" s="433"/>
      <c r="Q364" s="433"/>
      <c r="R364" s="433"/>
      <c r="S364" s="433"/>
      <c r="T364" s="433"/>
      <c r="U364" s="43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31" t="s">
        <v>187</v>
      </c>
      <c r="D365" s="108">
        <v>4.8</v>
      </c>
      <c r="E365" s="108"/>
      <c r="F365" s="127"/>
      <c r="G365" s="128"/>
      <c r="H365" s="425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3"/>
      <c r="P365" s="433"/>
      <c r="Q365" s="433"/>
      <c r="R365" s="433"/>
      <c r="S365" s="433"/>
      <c r="T365" s="433"/>
      <c r="U365" s="43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31" t="s">
        <v>179</v>
      </c>
      <c r="D366" s="108">
        <v>4.8</v>
      </c>
      <c r="E366" s="108"/>
      <c r="F366" s="127"/>
      <c r="G366" s="128"/>
      <c r="H366" s="425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33"/>
      <c r="P366" s="433"/>
      <c r="Q366" s="433"/>
      <c r="R366" s="433"/>
      <c r="S366" s="433"/>
      <c r="T366" s="433"/>
      <c r="U366" s="433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31" t="s">
        <v>199</v>
      </c>
      <c r="D367" s="108">
        <v>4.8</v>
      </c>
      <c r="E367" s="108"/>
      <c r="F367" s="127"/>
      <c r="G367" s="128"/>
      <c r="H367" s="425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33"/>
      <c r="P367" s="433"/>
      <c r="Q367" s="433"/>
      <c r="R367" s="433"/>
      <c r="S367" s="433"/>
      <c r="T367" s="433"/>
      <c r="U367" s="433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25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33"/>
      <c r="P368" s="433"/>
      <c r="Q368" s="433"/>
      <c r="R368" s="433"/>
      <c r="S368" s="433"/>
      <c r="T368" s="433"/>
      <c r="U368" s="433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25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33"/>
      <c r="P369" s="433"/>
      <c r="Q369" s="433"/>
      <c r="R369" s="433"/>
      <c r="S369" s="433"/>
      <c r="T369" s="433"/>
      <c r="U369" s="433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434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24" t="s">
        <v>206</v>
      </c>
      <c r="C371" s="126" t="s">
        <v>199</v>
      </c>
      <c r="D371" s="108">
        <v>5.03</v>
      </c>
      <c r="E371" s="108"/>
      <c r="F371" s="127"/>
      <c r="G371" s="128"/>
      <c r="H371" s="425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29"/>
      <c r="P371" s="429"/>
      <c r="Q371" s="429"/>
      <c r="R371" s="429"/>
      <c r="S371" s="429"/>
      <c r="T371" s="429"/>
      <c r="U371" s="429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24" t="s">
        <v>425</v>
      </c>
      <c r="C372" s="187" t="s">
        <v>427</v>
      </c>
      <c r="D372" s="108">
        <v>5.03</v>
      </c>
      <c r="E372" s="108"/>
      <c r="F372" s="127"/>
      <c r="G372" s="128"/>
      <c r="H372" s="425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29"/>
      <c r="P372" s="429"/>
      <c r="Q372" s="429"/>
      <c r="R372" s="429"/>
      <c r="S372" s="429"/>
      <c r="T372" s="429"/>
      <c r="U372" s="429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24" t="s">
        <v>206</v>
      </c>
      <c r="C373" s="126" t="s">
        <v>186</v>
      </c>
      <c r="D373" s="108">
        <v>5.03</v>
      </c>
      <c r="E373" s="108"/>
      <c r="F373" s="127"/>
      <c r="G373" s="128"/>
      <c r="H373" s="425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29"/>
      <c r="P373" s="429"/>
      <c r="Q373" s="429"/>
      <c r="R373" s="429"/>
      <c r="S373" s="429"/>
      <c r="T373" s="429"/>
      <c r="U373" s="429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24" t="s">
        <v>206</v>
      </c>
      <c r="C374" s="126" t="s">
        <v>203</v>
      </c>
      <c r="D374" s="108">
        <v>5.03</v>
      </c>
      <c r="E374" s="108"/>
      <c r="F374" s="127"/>
      <c r="G374" s="128"/>
      <c r="H374" s="425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29"/>
      <c r="P374" s="429"/>
      <c r="Q374" s="429"/>
      <c r="R374" s="429"/>
      <c r="S374" s="429"/>
      <c r="T374" s="429"/>
      <c r="U374" s="429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24" t="s">
        <v>206</v>
      </c>
      <c r="C375" s="126" t="s">
        <v>207</v>
      </c>
      <c r="D375" s="108">
        <v>5.03</v>
      </c>
      <c r="E375" s="108"/>
      <c r="F375" s="127"/>
      <c r="G375" s="128"/>
      <c r="H375" s="425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29"/>
      <c r="P375" s="429"/>
      <c r="Q375" s="429"/>
      <c r="R375" s="429"/>
      <c r="S375" s="429"/>
      <c r="T375" s="429"/>
      <c r="U375" s="429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24" t="s">
        <v>414</v>
      </c>
      <c r="C376" s="187" t="s">
        <v>415</v>
      </c>
      <c r="D376" s="108"/>
      <c r="E376" s="108"/>
      <c r="F376" s="127"/>
      <c r="G376" s="128"/>
      <c r="H376" s="425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29"/>
      <c r="P376" s="429"/>
      <c r="Q376" s="429"/>
      <c r="R376" s="429"/>
      <c r="S376" s="429"/>
      <c r="T376" s="429"/>
      <c r="U376" s="42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24" t="s">
        <v>414</v>
      </c>
      <c r="C377" s="187" t="s">
        <v>416</v>
      </c>
      <c r="D377" s="108"/>
      <c r="E377" s="108"/>
      <c r="F377" s="127"/>
      <c r="G377" s="128"/>
      <c r="H377" s="425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29"/>
      <c r="P377" s="429"/>
      <c r="Q377" s="429"/>
      <c r="R377" s="429"/>
      <c r="S377" s="429"/>
      <c r="T377" s="429"/>
      <c r="U377" s="429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24" t="s">
        <v>414</v>
      </c>
      <c r="C378" s="187" t="s">
        <v>61</v>
      </c>
      <c r="D378" s="108"/>
      <c r="E378" s="108"/>
      <c r="F378" s="127"/>
      <c r="G378" s="128"/>
      <c r="H378" s="425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29"/>
      <c r="P378" s="429"/>
      <c r="Q378" s="429"/>
      <c r="R378" s="429"/>
      <c r="S378" s="429"/>
      <c r="T378" s="429"/>
      <c r="U378" s="429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24" t="s">
        <v>208</v>
      </c>
      <c r="C379" s="126" t="s">
        <v>179</v>
      </c>
      <c r="D379" s="108">
        <v>5.08</v>
      </c>
      <c r="E379" s="108"/>
      <c r="F379" s="127"/>
      <c r="G379" s="128"/>
      <c r="H379" s="425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29"/>
      <c r="P379" s="429"/>
      <c r="Q379" s="429"/>
      <c r="R379" s="429"/>
      <c r="S379" s="429"/>
      <c r="T379" s="429"/>
      <c r="U379" s="429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24" t="s">
        <v>208</v>
      </c>
      <c r="C380" s="126" t="s">
        <v>204</v>
      </c>
      <c r="D380" s="108">
        <v>5.08</v>
      </c>
      <c r="E380" s="108"/>
      <c r="F380" s="127"/>
      <c r="G380" s="128"/>
      <c r="H380" s="425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29"/>
      <c r="P380" s="429"/>
      <c r="Q380" s="429"/>
      <c r="R380" s="429"/>
      <c r="S380" s="429"/>
      <c r="T380" s="429"/>
      <c r="U380" s="429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24" t="s">
        <v>208</v>
      </c>
      <c r="C381" s="126" t="s">
        <v>205</v>
      </c>
      <c r="D381" s="108">
        <v>5.08</v>
      </c>
      <c r="E381" s="108"/>
      <c r="F381" s="127"/>
      <c r="G381" s="128"/>
      <c r="H381" s="425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29"/>
      <c r="P381" s="429"/>
      <c r="Q381" s="429"/>
      <c r="R381" s="429"/>
      <c r="S381" s="429"/>
      <c r="T381" s="429"/>
      <c r="U381" s="429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24" t="s">
        <v>208</v>
      </c>
      <c r="C382" s="126" t="s">
        <v>186</v>
      </c>
      <c r="D382" s="108">
        <v>5.08</v>
      </c>
      <c r="E382" s="108"/>
      <c r="F382" s="127"/>
      <c r="G382" s="128"/>
      <c r="H382" s="425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24" t="s">
        <v>208</v>
      </c>
      <c r="C383" s="126" t="s">
        <v>203</v>
      </c>
      <c r="D383" s="108">
        <v>5.08</v>
      </c>
      <c r="E383" s="108"/>
      <c r="F383" s="127"/>
      <c r="G383" s="128"/>
      <c r="H383" s="425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29"/>
      <c r="P383" s="429"/>
      <c r="Q383" s="429"/>
      <c r="R383" s="429"/>
      <c r="S383" s="429"/>
      <c r="T383" s="429"/>
      <c r="U383" s="429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24" t="s">
        <v>208</v>
      </c>
      <c r="C384" s="126" t="s">
        <v>199</v>
      </c>
      <c r="D384" s="108">
        <v>5.08</v>
      </c>
      <c r="E384" s="108"/>
      <c r="F384" s="127"/>
      <c r="G384" s="128"/>
      <c r="H384" s="425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3"/>
      <c r="P384" s="433"/>
      <c r="Q384" s="433"/>
      <c r="R384" s="433"/>
      <c r="S384" s="433"/>
      <c r="T384" s="433"/>
      <c r="U384" s="433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24" t="s">
        <v>208</v>
      </c>
      <c r="C385" s="126" t="s">
        <v>187</v>
      </c>
      <c r="D385" s="108">
        <v>5.08</v>
      </c>
      <c r="E385" s="108"/>
      <c r="F385" s="127"/>
      <c r="G385" s="128"/>
      <c r="H385" s="425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29"/>
      <c r="P385" s="429"/>
      <c r="Q385" s="429"/>
      <c r="R385" s="429"/>
      <c r="S385" s="429"/>
      <c r="T385" s="429"/>
      <c r="U385" s="429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24" t="s">
        <v>208</v>
      </c>
      <c r="C386" s="126" t="s">
        <v>207</v>
      </c>
      <c r="D386" s="108">
        <v>5.08</v>
      </c>
      <c r="E386" s="108"/>
      <c r="F386" s="127"/>
      <c r="G386" s="128"/>
      <c r="H386" s="425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33"/>
      <c r="P386" s="433"/>
      <c r="Q386" s="433"/>
      <c r="R386" s="433"/>
      <c r="S386" s="433"/>
      <c r="T386" s="433"/>
      <c r="U386" s="433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24" t="s">
        <v>209</v>
      </c>
      <c r="C387" s="126" t="s">
        <v>194</v>
      </c>
      <c r="D387" s="108">
        <v>5.03</v>
      </c>
      <c r="E387" s="108"/>
      <c r="F387" s="127"/>
      <c r="G387" s="128"/>
      <c r="H387" s="425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29"/>
      <c r="P387" s="429"/>
      <c r="Q387" s="429"/>
      <c r="R387" s="429"/>
      <c r="S387" s="429"/>
      <c r="T387" s="429"/>
      <c r="U387" s="429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24" t="s">
        <v>209</v>
      </c>
      <c r="C388" s="126" t="s">
        <v>179</v>
      </c>
      <c r="D388" s="108">
        <v>5.03</v>
      </c>
      <c r="E388" s="108"/>
      <c r="F388" s="127"/>
      <c r="G388" s="128"/>
      <c r="H388" s="425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29"/>
      <c r="P388" s="429"/>
      <c r="Q388" s="429"/>
      <c r="R388" s="429"/>
      <c r="S388" s="429"/>
      <c r="T388" s="429"/>
      <c r="U388" s="429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24" t="s">
        <v>209</v>
      </c>
      <c r="C389" s="126" t="s">
        <v>195</v>
      </c>
      <c r="D389" s="108">
        <v>5.03</v>
      </c>
      <c r="E389" s="108"/>
      <c r="F389" s="127"/>
      <c r="G389" s="128"/>
      <c r="H389" s="425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29"/>
      <c r="P389" s="429"/>
      <c r="Q389" s="429"/>
      <c r="R389" s="429"/>
      <c r="S389" s="429"/>
      <c r="T389" s="429"/>
      <c r="U389" s="429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24" t="s">
        <v>209</v>
      </c>
      <c r="C390" s="126" t="s">
        <v>204</v>
      </c>
      <c r="D390" s="108">
        <v>5.03</v>
      </c>
      <c r="E390" s="108"/>
      <c r="F390" s="127"/>
      <c r="G390" s="128"/>
      <c r="H390" s="425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29"/>
      <c r="P390" s="429"/>
      <c r="Q390" s="429"/>
      <c r="R390" s="429"/>
      <c r="S390" s="429"/>
      <c r="T390" s="429"/>
      <c r="U390" s="429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24" t="s">
        <v>382</v>
      </c>
      <c r="C391" s="187" t="s">
        <v>383</v>
      </c>
      <c r="D391" s="108">
        <v>5.03</v>
      </c>
      <c r="E391" s="108"/>
      <c r="F391" s="127"/>
      <c r="G391" s="128"/>
      <c r="H391" s="425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29"/>
      <c r="P391" s="429"/>
      <c r="Q391" s="429"/>
      <c r="R391" s="429"/>
      <c r="S391" s="429"/>
      <c r="T391" s="429"/>
      <c r="U391" s="42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24" t="s">
        <v>382</v>
      </c>
      <c r="C392" s="187" t="s">
        <v>384</v>
      </c>
      <c r="D392" s="108">
        <v>5.03</v>
      </c>
      <c r="E392" s="108"/>
      <c r="F392" s="127"/>
      <c r="G392" s="128"/>
      <c r="H392" s="425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29"/>
      <c r="P392" s="429"/>
      <c r="Q392" s="429"/>
      <c r="R392" s="429"/>
      <c r="S392" s="429"/>
      <c r="T392" s="429"/>
      <c r="U392" s="42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24" t="s">
        <v>382</v>
      </c>
      <c r="C393" s="187" t="s">
        <v>389</v>
      </c>
      <c r="D393" s="108">
        <v>5.03</v>
      </c>
      <c r="E393" s="108"/>
      <c r="F393" s="127"/>
      <c r="G393" s="128"/>
      <c r="H393" s="425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29"/>
      <c r="P393" s="429"/>
      <c r="Q393" s="429"/>
      <c r="R393" s="429"/>
      <c r="S393" s="429"/>
      <c r="T393" s="429"/>
      <c r="U393" s="42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24" t="s">
        <v>382</v>
      </c>
      <c r="C394" s="187" t="s">
        <v>391</v>
      </c>
      <c r="D394" s="108">
        <v>5.03</v>
      </c>
      <c r="E394" s="108"/>
      <c r="F394" s="127"/>
      <c r="G394" s="128"/>
      <c r="H394" s="425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29"/>
      <c r="P394" s="429"/>
      <c r="Q394" s="429"/>
      <c r="R394" s="429"/>
      <c r="S394" s="429"/>
      <c r="T394" s="429"/>
      <c r="U394" s="42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24" t="s">
        <v>418</v>
      </c>
      <c r="C395" s="187" t="s">
        <v>364</v>
      </c>
      <c r="D395" s="108">
        <v>5.03</v>
      </c>
      <c r="E395" s="108"/>
      <c r="F395" s="127"/>
      <c r="G395" s="128"/>
      <c r="H395" s="425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29"/>
      <c r="P395" s="429"/>
      <c r="Q395" s="429"/>
      <c r="R395" s="429"/>
      <c r="S395" s="429"/>
      <c r="T395" s="429"/>
      <c r="U395" s="42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24" t="s">
        <v>418</v>
      </c>
      <c r="C396" s="187" t="s">
        <v>365</v>
      </c>
      <c r="D396" s="108">
        <v>5.03</v>
      </c>
      <c r="E396" s="108"/>
      <c r="F396" s="127"/>
      <c r="G396" s="128"/>
      <c r="H396" s="425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29"/>
      <c r="P396" s="429"/>
      <c r="Q396" s="429"/>
      <c r="R396" s="429"/>
      <c r="S396" s="429"/>
      <c r="T396" s="429"/>
      <c r="U396" s="42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24" t="s">
        <v>418</v>
      </c>
      <c r="C397" s="187" t="s">
        <v>366</v>
      </c>
      <c r="D397" s="108">
        <v>5.03</v>
      </c>
      <c r="E397" s="108"/>
      <c r="F397" s="127"/>
      <c r="G397" s="128"/>
      <c r="H397" s="425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29"/>
      <c r="P397" s="429"/>
      <c r="Q397" s="429"/>
      <c r="R397" s="429"/>
      <c r="S397" s="429"/>
      <c r="T397" s="429"/>
      <c r="U397" s="429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24" t="s">
        <v>418</v>
      </c>
      <c r="C398" s="187" t="s">
        <v>367</v>
      </c>
      <c r="D398" s="108">
        <v>5.03</v>
      </c>
      <c r="E398" s="108"/>
      <c r="F398" s="127"/>
      <c r="G398" s="128"/>
      <c r="H398" s="425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29"/>
      <c r="P398" s="429"/>
      <c r="Q398" s="429"/>
      <c r="R398" s="429"/>
      <c r="S398" s="429"/>
      <c r="T398" s="429"/>
      <c r="U398" s="429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25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33"/>
      <c r="P399" s="433"/>
      <c r="Q399" s="433"/>
      <c r="R399" s="433"/>
      <c r="S399" s="433"/>
      <c r="T399" s="433"/>
      <c r="U399" s="433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25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33"/>
      <c r="P400" s="433"/>
      <c r="Q400" s="433"/>
      <c r="R400" s="433"/>
      <c r="S400" s="433"/>
      <c r="T400" s="433"/>
      <c r="U400" s="433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25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33"/>
      <c r="P401" s="433"/>
      <c r="Q401" s="433"/>
      <c r="R401" s="433"/>
      <c r="S401" s="433"/>
      <c r="T401" s="433"/>
      <c r="U401" s="433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25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3"/>
      <c r="P402" s="433"/>
      <c r="Q402" s="433"/>
      <c r="R402" s="433"/>
      <c r="S402" s="433"/>
      <c r="T402" s="433"/>
      <c r="U402" s="433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25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3"/>
      <c r="P403" s="433"/>
      <c r="Q403" s="433"/>
      <c r="R403" s="433"/>
      <c r="S403" s="433"/>
      <c r="T403" s="433"/>
      <c r="U403" s="433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25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3"/>
      <c r="P404" s="433"/>
      <c r="Q404" s="433"/>
      <c r="R404" s="433"/>
      <c r="S404" s="433"/>
      <c r="T404" s="433"/>
      <c r="U404" s="433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25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3"/>
      <c r="P405" s="433"/>
      <c r="Q405" s="433"/>
      <c r="R405" s="433"/>
      <c r="S405" s="433"/>
      <c r="T405" s="433"/>
      <c r="U405" s="433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25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3"/>
      <c r="P406" s="433"/>
      <c r="Q406" s="433"/>
      <c r="R406" s="433"/>
      <c r="S406" s="433"/>
      <c r="T406" s="433"/>
      <c r="U406" s="433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25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33"/>
      <c r="P407" s="433"/>
      <c r="Q407" s="433"/>
      <c r="R407" s="433"/>
      <c r="S407" s="433"/>
      <c r="T407" s="433"/>
      <c r="U407" s="433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25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33"/>
      <c r="P408" s="433"/>
      <c r="Q408" s="433"/>
      <c r="R408" s="433"/>
      <c r="S408" s="433"/>
      <c r="T408" s="433"/>
      <c r="U408" s="433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25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33"/>
      <c r="P409" s="433"/>
      <c r="Q409" s="433"/>
      <c r="R409" s="433"/>
      <c r="S409" s="433"/>
      <c r="T409" s="433"/>
      <c r="U409" s="433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25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33"/>
      <c r="P410" s="433"/>
      <c r="Q410" s="433"/>
      <c r="R410" s="433"/>
      <c r="S410" s="433"/>
      <c r="T410" s="433"/>
      <c r="U410" s="433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25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33"/>
      <c r="P411" s="433"/>
      <c r="Q411" s="433"/>
      <c r="R411" s="433"/>
      <c r="S411" s="433"/>
      <c r="T411" s="433"/>
      <c r="U411" s="433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25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33"/>
      <c r="P412" s="433"/>
      <c r="Q412" s="433"/>
      <c r="R412" s="433"/>
      <c r="S412" s="433"/>
      <c r="T412" s="433"/>
      <c r="U412" s="433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25">
        <f t="shared" si="172"/>
        <v>0</v>
      </c>
      <c r="I413" s="129"/>
      <c r="J413" s="130"/>
      <c r="K413" s="131"/>
      <c r="L413" s="129"/>
      <c r="M413" s="109"/>
      <c r="N413" s="130"/>
      <c r="O413" s="433"/>
      <c r="P413" s="433"/>
      <c r="Q413" s="433"/>
      <c r="R413" s="433"/>
      <c r="S413" s="433"/>
      <c r="T413" s="433"/>
      <c r="U413" s="433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25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33"/>
      <c r="P414" s="433"/>
      <c r="Q414" s="433"/>
      <c r="R414" s="433"/>
      <c r="S414" s="433"/>
      <c r="T414" s="433"/>
      <c r="U414" s="433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25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3"/>
      <c r="P415" s="433"/>
      <c r="Q415" s="433"/>
      <c r="R415" s="433"/>
      <c r="S415" s="433"/>
      <c r="T415" s="433"/>
      <c r="U415" s="433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25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33"/>
      <c r="P416" s="433"/>
      <c r="Q416" s="433"/>
      <c r="R416" s="433"/>
      <c r="S416" s="433"/>
      <c r="T416" s="433"/>
      <c r="U416" s="433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25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33"/>
      <c r="P417" s="433"/>
      <c r="Q417" s="433"/>
      <c r="R417" s="433"/>
      <c r="S417" s="433"/>
      <c r="T417" s="433"/>
      <c r="U417" s="433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25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3"/>
      <c r="P418" s="433"/>
      <c r="Q418" s="433"/>
      <c r="R418" s="433"/>
      <c r="S418" s="433"/>
      <c r="T418" s="433"/>
      <c r="U418" s="43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25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3"/>
      <c r="P419" s="433"/>
      <c r="Q419" s="433"/>
      <c r="R419" s="433"/>
      <c r="S419" s="433"/>
      <c r="T419" s="433"/>
      <c r="U419" s="43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25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33"/>
      <c r="P420" s="433"/>
      <c r="Q420" s="433"/>
      <c r="R420" s="433"/>
      <c r="S420" s="433"/>
      <c r="T420" s="433"/>
      <c r="U420" s="43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25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33"/>
      <c r="P421" s="433"/>
      <c r="Q421" s="433"/>
      <c r="R421" s="433"/>
      <c r="S421" s="433"/>
      <c r="T421" s="433"/>
      <c r="U421" s="43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25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3"/>
      <c r="P422" s="433"/>
      <c r="Q422" s="433"/>
      <c r="R422" s="433"/>
      <c r="S422" s="433"/>
      <c r="T422" s="433"/>
      <c r="U422" s="43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25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3"/>
      <c r="P423" s="433"/>
      <c r="Q423" s="433"/>
      <c r="R423" s="433"/>
      <c r="S423" s="433"/>
      <c r="T423" s="433"/>
      <c r="U423" s="43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25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3"/>
      <c r="P424" s="433"/>
      <c r="Q424" s="433"/>
      <c r="R424" s="433"/>
      <c r="S424" s="433"/>
      <c r="T424" s="433"/>
      <c r="U424" s="43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25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3"/>
      <c r="P425" s="433"/>
      <c r="Q425" s="433"/>
      <c r="R425" s="433"/>
      <c r="S425" s="433"/>
      <c r="T425" s="433"/>
      <c r="U425" s="43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25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33"/>
      <c r="P426" s="433"/>
      <c r="Q426" s="433"/>
      <c r="R426" s="433"/>
      <c r="S426" s="433"/>
      <c r="T426" s="433"/>
      <c r="U426" s="433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25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33"/>
      <c r="P427" s="433"/>
      <c r="Q427" s="433"/>
      <c r="R427" s="433"/>
      <c r="S427" s="433"/>
      <c r="T427" s="433"/>
      <c r="U427" s="433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34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24" t="s">
        <v>217</v>
      </c>
      <c r="C429" s="126" t="s">
        <v>179</v>
      </c>
      <c r="D429" s="108">
        <v>5.03</v>
      </c>
      <c r="E429" s="108"/>
      <c r="F429" s="127"/>
      <c r="G429" s="128"/>
      <c r="H429" s="425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33"/>
      <c r="P429" s="433"/>
      <c r="Q429" s="433"/>
      <c r="R429" s="433"/>
      <c r="S429" s="433"/>
      <c r="T429" s="433"/>
      <c r="U429" s="433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24" t="s">
        <v>217</v>
      </c>
      <c r="C430" s="126" t="s">
        <v>186</v>
      </c>
      <c r="D430" s="108">
        <v>5.03</v>
      </c>
      <c r="E430" s="108"/>
      <c r="F430" s="127"/>
      <c r="G430" s="128"/>
      <c r="H430" s="425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33"/>
      <c r="P430" s="433"/>
      <c r="Q430" s="433"/>
      <c r="R430" s="433"/>
      <c r="S430" s="433"/>
      <c r="T430" s="433"/>
      <c r="U430" s="433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24" t="s">
        <v>217</v>
      </c>
      <c r="C431" s="126" t="s">
        <v>204</v>
      </c>
      <c r="D431" s="108">
        <v>5.03</v>
      </c>
      <c r="E431" s="108"/>
      <c r="F431" s="127"/>
      <c r="G431" s="128"/>
      <c r="H431" s="425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33"/>
      <c r="P431" s="433"/>
      <c r="Q431" s="433"/>
      <c r="R431" s="433"/>
      <c r="S431" s="433"/>
      <c r="T431" s="433"/>
      <c r="U431" s="433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25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33"/>
      <c r="P432" s="433"/>
      <c r="Q432" s="433"/>
      <c r="R432" s="433"/>
      <c r="S432" s="433"/>
      <c r="T432" s="433"/>
      <c r="U432" s="433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25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3"/>
      <c r="P433" s="433"/>
      <c r="Q433" s="433"/>
      <c r="R433" s="433"/>
      <c r="S433" s="433"/>
      <c r="T433" s="433"/>
      <c r="U433" s="433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25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3"/>
      <c r="P434" s="433"/>
      <c r="Q434" s="433"/>
      <c r="R434" s="433"/>
      <c r="S434" s="433"/>
      <c r="T434" s="433"/>
      <c r="U434" s="433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>
        <v>42738</v>
      </c>
      <c r="G435" s="128">
        <f>108*7+53+85+94</f>
        <v>988</v>
      </c>
      <c r="H435" s="425">
        <f t="shared" si="197"/>
        <v>4969.6400000000003</v>
      </c>
      <c r="I435" s="129">
        <f>10*2+9.5*2+8.5+9+10+10.5+10.5</f>
        <v>87.5</v>
      </c>
      <c r="J435" s="130">
        <f t="array" ref="J435">IF(ISERROR(G435/I435),"",G435/I435)</f>
        <v>11.291428571428572</v>
      </c>
      <c r="K435" s="131">
        <f t="array" ref="K435">IF(ISERROR(G435/L435),"",G435/L435)</f>
        <v>106.23655913978494</v>
      </c>
      <c r="L435" s="129">
        <v>9.3000000000000007</v>
      </c>
      <c r="M435" s="109">
        <f t="shared" si="198"/>
        <v>-18.736559139784944</v>
      </c>
      <c r="N435" s="130">
        <f t="shared" si="199"/>
        <v>0</v>
      </c>
      <c r="O435" s="433"/>
      <c r="P435" s="433"/>
      <c r="Q435" s="433"/>
      <c r="R435" s="433"/>
      <c r="S435" s="433"/>
      <c r="T435" s="433"/>
      <c r="U435" s="433"/>
      <c r="V435" s="132">
        <f t="shared" si="200"/>
        <v>0</v>
      </c>
      <c r="W435" s="133">
        <f t="shared" si="196"/>
        <v>0</v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25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33"/>
      <c r="P436" s="433"/>
      <c r="Q436" s="433"/>
      <c r="R436" s="433"/>
      <c r="S436" s="433"/>
      <c r="T436" s="433"/>
      <c r="U436" s="433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25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3"/>
      <c r="P437" s="433"/>
      <c r="Q437" s="433"/>
      <c r="R437" s="433"/>
      <c r="S437" s="433"/>
      <c r="T437" s="433"/>
      <c r="U437" s="43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25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3"/>
      <c r="P438" s="433"/>
      <c r="Q438" s="433"/>
      <c r="R438" s="433"/>
      <c r="S438" s="433"/>
      <c r="T438" s="433"/>
      <c r="U438" s="43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25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33"/>
      <c r="P439" s="433"/>
      <c r="Q439" s="433"/>
      <c r="R439" s="433"/>
      <c r="S439" s="433"/>
      <c r="T439" s="433"/>
      <c r="U439" s="433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25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33"/>
      <c r="P440" s="433"/>
      <c r="Q440" s="433"/>
      <c r="R440" s="433"/>
      <c r="S440" s="433"/>
      <c r="T440" s="433"/>
      <c r="U440" s="433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25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33"/>
      <c r="P441" s="433"/>
      <c r="Q441" s="433"/>
      <c r="R441" s="433"/>
      <c r="S441" s="433"/>
      <c r="T441" s="433"/>
      <c r="U441" s="433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25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3"/>
      <c r="P442" s="433"/>
      <c r="Q442" s="433"/>
      <c r="R442" s="433"/>
      <c r="S442" s="433"/>
      <c r="T442" s="433"/>
      <c r="U442" s="433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25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33"/>
      <c r="P443" s="433"/>
      <c r="Q443" s="433"/>
      <c r="R443" s="433"/>
      <c r="S443" s="433"/>
      <c r="T443" s="433"/>
      <c r="U443" s="433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25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33"/>
      <c r="P444" s="433"/>
      <c r="Q444" s="433"/>
      <c r="R444" s="433"/>
      <c r="S444" s="433"/>
      <c r="T444" s="433"/>
      <c r="U444" s="433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24" t="s">
        <v>222</v>
      </c>
      <c r="C445" s="126" t="s">
        <v>181</v>
      </c>
      <c r="D445" s="108">
        <v>9.36</v>
      </c>
      <c r="E445" s="108"/>
      <c r="F445" s="127"/>
      <c r="G445" s="128"/>
      <c r="H445" s="425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3"/>
      <c r="P445" s="433"/>
      <c r="Q445" s="433"/>
      <c r="R445" s="433"/>
      <c r="S445" s="433"/>
      <c r="T445" s="433"/>
      <c r="U445" s="433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24" t="s">
        <v>222</v>
      </c>
      <c r="C446" s="126" t="s">
        <v>179</v>
      </c>
      <c r="D446" s="108">
        <v>9.36</v>
      </c>
      <c r="E446" s="108"/>
      <c r="F446" s="127"/>
      <c r="G446" s="128"/>
      <c r="H446" s="425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3"/>
      <c r="P446" s="433"/>
      <c r="Q446" s="433"/>
      <c r="R446" s="433"/>
      <c r="S446" s="433"/>
      <c r="T446" s="433"/>
      <c r="U446" s="433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24" t="s">
        <v>222</v>
      </c>
      <c r="C447" s="126" t="s">
        <v>221</v>
      </c>
      <c r="D447" s="108">
        <v>9.36</v>
      </c>
      <c r="E447" s="108"/>
      <c r="F447" s="127"/>
      <c r="G447" s="128"/>
      <c r="H447" s="425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33"/>
      <c r="P447" s="433"/>
      <c r="Q447" s="433"/>
      <c r="R447" s="433"/>
      <c r="S447" s="433"/>
      <c r="T447" s="433"/>
      <c r="U447" s="433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24" t="s">
        <v>222</v>
      </c>
      <c r="C448" s="126" t="s">
        <v>186</v>
      </c>
      <c r="D448" s="108">
        <v>9.36</v>
      </c>
      <c r="E448" s="108"/>
      <c r="F448" s="127"/>
      <c r="G448" s="128"/>
      <c r="H448" s="425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33"/>
      <c r="P448" s="433"/>
      <c r="Q448" s="433"/>
      <c r="R448" s="433"/>
      <c r="S448" s="433"/>
      <c r="T448" s="433"/>
      <c r="U448" s="433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24" t="s">
        <v>393</v>
      </c>
      <c r="C449" s="187" t="s">
        <v>395</v>
      </c>
      <c r="D449" s="108">
        <v>5</v>
      </c>
      <c r="E449" s="108"/>
      <c r="F449" s="127"/>
      <c r="G449" s="128"/>
      <c r="H449" s="425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3"/>
      <c r="P449" s="433"/>
      <c r="Q449" s="433"/>
      <c r="R449" s="433"/>
      <c r="S449" s="433"/>
      <c r="T449" s="433"/>
      <c r="U449" s="43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24" t="s">
        <v>393</v>
      </c>
      <c r="C450" s="187" t="s">
        <v>402</v>
      </c>
      <c r="D450" s="108">
        <v>5</v>
      </c>
      <c r="E450" s="108"/>
      <c r="F450" s="127"/>
      <c r="G450" s="128"/>
      <c r="H450" s="425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3"/>
      <c r="P450" s="433"/>
      <c r="Q450" s="433"/>
      <c r="R450" s="433"/>
      <c r="S450" s="433"/>
      <c r="T450" s="433"/>
      <c r="U450" s="43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24" t="s">
        <v>404</v>
      </c>
      <c r="C451" s="187" t="s">
        <v>405</v>
      </c>
      <c r="D451" s="108">
        <v>5</v>
      </c>
      <c r="E451" s="108"/>
      <c r="F451" s="127"/>
      <c r="G451" s="128"/>
      <c r="H451" s="425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3"/>
      <c r="P451" s="433"/>
      <c r="Q451" s="433"/>
      <c r="R451" s="433"/>
      <c r="S451" s="433"/>
      <c r="T451" s="433"/>
      <c r="U451" s="43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24" t="s">
        <v>342</v>
      </c>
      <c r="C452" s="187" t="s">
        <v>372</v>
      </c>
      <c r="D452" s="108">
        <v>5</v>
      </c>
      <c r="E452" s="108"/>
      <c r="F452" s="127"/>
      <c r="G452" s="128"/>
      <c r="H452" s="425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3"/>
      <c r="P452" s="433"/>
      <c r="Q452" s="433"/>
      <c r="R452" s="433"/>
      <c r="S452" s="433"/>
      <c r="T452" s="433"/>
      <c r="U452" s="43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24" t="s">
        <v>343</v>
      </c>
      <c r="C453" s="126" t="s">
        <v>345</v>
      </c>
      <c r="D453" s="108">
        <v>5</v>
      </c>
      <c r="E453" s="108"/>
      <c r="F453" s="127"/>
      <c r="G453" s="128"/>
      <c r="H453" s="425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33"/>
      <c r="P453" s="433"/>
      <c r="Q453" s="433"/>
      <c r="R453" s="433"/>
      <c r="S453" s="433"/>
      <c r="T453" s="433"/>
      <c r="U453" s="433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24" t="s">
        <v>343</v>
      </c>
      <c r="C454" s="126" t="s">
        <v>347</v>
      </c>
      <c r="D454" s="108">
        <v>5</v>
      </c>
      <c r="E454" s="108"/>
      <c r="F454" s="127"/>
      <c r="G454" s="128"/>
      <c r="H454" s="425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33"/>
      <c r="P454" s="433"/>
      <c r="Q454" s="433"/>
      <c r="R454" s="433"/>
      <c r="S454" s="433"/>
      <c r="T454" s="433"/>
      <c r="U454" s="433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25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33"/>
      <c r="P455" s="433"/>
      <c r="Q455" s="433"/>
      <c r="R455" s="433"/>
      <c r="S455" s="433"/>
      <c r="T455" s="433"/>
      <c r="U455" s="433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25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33"/>
      <c r="P456" s="433"/>
      <c r="Q456" s="433"/>
      <c r="R456" s="433"/>
      <c r="S456" s="433"/>
      <c r="T456" s="433"/>
      <c r="U456" s="433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25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3"/>
      <c r="P457" s="433"/>
      <c r="Q457" s="433"/>
      <c r="R457" s="433"/>
      <c r="S457" s="433"/>
      <c r="T457" s="433"/>
      <c r="U457" s="43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25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33"/>
      <c r="P458" s="433"/>
      <c r="Q458" s="433"/>
      <c r="R458" s="433"/>
      <c r="S458" s="433"/>
      <c r="T458" s="433"/>
      <c r="U458" s="433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25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33"/>
      <c r="P459" s="433"/>
      <c r="Q459" s="433"/>
      <c r="R459" s="433"/>
      <c r="S459" s="433"/>
      <c r="T459" s="433"/>
      <c r="U459" s="433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25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33"/>
      <c r="P460" s="433"/>
      <c r="Q460" s="433"/>
      <c r="R460" s="433"/>
      <c r="S460" s="433"/>
      <c r="T460" s="433"/>
      <c r="U460" s="433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25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33"/>
      <c r="P461" s="433"/>
      <c r="Q461" s="433"/>
      <c r="R461" s="433"/>
      <c r="S461" s="433"/>
      <c r="T461" s="433"/>
      <c r="U461" s="433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25">
        <f t="shared" si="197"/>
        <v>0</v>
      </c>
      <c r="I462" s="129"/>
      <c r="J462" s="130" t="str">
        <f t="array" ref="J462">IF(ISERROR(G462/I462),"",G462/I462)</f>
        <v/>
      </c>
      <c r="K462" s="425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33"/>
      <c r="P462" s="433"/>
      <c r="Q462" s="433"/>
      <c r="R462" s="433"/>
      <c r="S462" s="433"/>
      <c r="T462" s="433"/>
      <c r="U462" s="433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434" t="s">
        <v>202</v>
      </c>
      <c r="D463" s="143"/>
      <c r="E463" s="143"/>
      <c r="F463" s="144"/>
      <c r="G463" s="145">
        <f>SUM(G429:G462)</f>
        <v>988</v>
      </c>
      <c r="H463" s="146">
        <f>SUM(H429:H462)</f>
        <v>4969.6400000000003</v>
      </c>
      <c r="I463" s="146">
        <f>SUM(I429:I462)</f>
        <v>87.5</v>
      </c>
      <c r="J463" s="130">
        <f t="array" ref="J463">IF(ISERROR(G463/I463),"",G463/I463)</f>
        <v>11.291428571428572</v>
      </c>
      <c r="K463" s="146">
        <f>SUM(K429:K462)</f>
        <v>106.23655913978494</v>
      </c>
      <c r="L463" s="147"/>
      <c r="M463" s="150">
        <f t="shared" ref="M463:V463" si="211">SUM(M429:M462)</f>
        <v>-18.736559139784944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25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33"/>
      <c r="P464" s="433"/>
      <c r="Q464" s="433"/>
      <c r="R464" s="433"/>
      <c r="S464" s="433"/>
      <c r="T464" s="433"/>
      <c r="U464" s="433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25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33"/>
      <c r="P465" s="433"/>
      <c r="Q465" s="433"/>
      <c r="R465" s="433"/>
      <c r="S465" s="433"/>
      <c r="T465" s="433"/>
      <c r="U465" s="433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25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33"/>
      <c r="P466" s="433"/>
      <c r="Q466" s="433"/>
      <c r="R466" s="433"/>
      <c r="S466" s="433"/>
      <c r="T466" s="433"/>
      <c r="U466" s="433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25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3"/>
      <c r="P467" s="433"/>
      <c r="Q467" s="433"/>
      <c r="R467" s="433"/>
      <c r="S467" s="433"/>
      <c r="T467" s="433"/>
      <c r="U467" s="433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30" t="s">
        <v>203</v>
      </c>
      <c r="D468" s="108">
        <v>5.03</v>
      </c>
      <c r="E468" s="108"/>
      <c r="F468" s="127"/>
      <c r="G468" s="128"/>
      <c r="H468" s="425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3"/>
      <c r="P468" s="433"/>
      <c r="Q468" s="433"/>
      <c r="R468" s="433"/>
      <c r="S468" s="433"/>
      <c r="T468" s="433"/>
      <c r="U468" s="433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25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3"/>
      <c r="P469" s="433"/>
      <c r="Q469" s="433"/>
      <c r="R469" s="433"/>
      <c r="S469" s="433"/>
      <c r="T469" s="433"/>
      <c r="U469" s="433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25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33"/>
      <c r="P470" s="433"/>
      <c r="Q470" s="433"/>
      <c r="R470" s="433"/>
      <c r="S470" s="433"/>
      <c r="T470" s="433"/>
      <c r="U470" s="433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30" t="s">
        <v>228</v>
      </c>
      <c r="D471" s="108">
        <v>5.03</v>
      </c>
      <c r="E471" s="108"/>
      <c r="F471" s="127"/>
      <c r="G471" s="128"/>
      <c r="H471" s="425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33"/>
      <c r="P471" s="433"/>
      <c r="Q471" s="433"/>
      <c r="R471" s="433"/>
      <c r="S471" s="433"/>
      <c r="T471" s="433"/>
      <c r="U471" s="433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30" t="s">
        <v>212</v>
      </c>
      <c r="D472" s="108">
        <v>5.03</v>
      </c>
      <c r="E472" s="108"/>
      <c r="F472" s="127"/>
      <c r="G472" s="128"/>
      <c r="H472" s="425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3"/>
      <c r="P472" s="433"/>
      <c r="Q472" s="433"/>
      <c r="R472" s="433"/>
      <c r="S472" s="433"/>
      <c r="T472" s="433"/>
      <c r="U472" s="433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30" t="s">
        <v>203</v>
      </c>
      <c r="D473" s="108">
        <v>5.03</v>
      </c>
      <c r="E473" s="108"/>
      <c r="F473" s="127"/>
      <c r="G473" s="128"/>
      <c r="H473" s="425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3"/>
      <c r="P473" s="433"/>
      <c r="Q473" s="433"/>
      <c r="R473" s="433"/>
      <c r="S473" s="433"/>
      <c r="T473" s="433"/>
      <c r="U473" s="433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30" t="s">
        <v>186</v>
      </c>
      <c r="D474" s="108">
        <v>5.03</v>
      </c>
      <c r="E474" s="108"/>
      <c r="F474" s="127"/>
      <c r="G474" s="128"/>
      <c r="H474" s="425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3"/>
      <c r="P474" s="433"/>
      <c r="Q474" s="433"/>
      <c r="R474" s="433"/>
      <c r="S474" s="433"/>
      <c r="T474" s="433"/>
      <c r="U474" s="433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30" t="s">
        <v>228</v>
      </c>
      <c r="D475" s="108">
        <v>5.03</v>
      </c>
      <c r="E475" s="108"/>
      <c r="F475" s="127"/>
      <c r="G475" s="128"/>
      <c r="H475" s="425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33"/>
      <c r="P475" s="433"/>
      <c r="Q475" s="433"/>
      <c r="R475" s="433"/>
      <c r="S475" s="433"/>
      <c r="T475" s="433"/>
      <c r="U475" s="433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30" t="s">
        <v>199</v>
      </c>
      <c r="D476" s="108">
        <v>5.03</v>
      </c>
      <c r="E476" s="108"/>
      <c r="F476" s="127"/>
      <c r="G476" s="128"/>
      <c r="H476" s="425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33"/>
      <c r="P476" s="433"/>
      <c r="Q476" s="433"/>
      <c r="R476" s="433"/>
      <c r="S476" s="433"/>
      <c r="T476" s="433"/>
      <c r="U476" s="433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25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33"/>
      <c r="P477" s="433"/>
      <c r="Q477" s="433"/>
      <c r="R477" s="433"/>
      <c r="S477" s="433"/>
      <c r="T477" s="433"/>
      <c r="U477" s="433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25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33"/>
      <c r="P478" s="433"/>
      <c r="Q478" s="433"/>
      <c r="R478" s="433"/>
      <c r="S478" s="433"/>
      <c r="T478" s="433"/>
      <c r="U478" s="433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434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25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33"/>
      <c r="P480" s="433"/>
      <c r="Q480" s="433"/>
      <c r="R480" s="433"/>
      <c r="S480" s="433"/>
      <c r="T480" s="433"/>
      <c r="U480" s="433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25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3"/>
      <c r="P481" s="433"/>
      <c r="Q481" s="433"/>
      <c r="R481" s="433"/>
      <c r="S481" s="433"/>
      <c r="T481" s="433"/>
      <c r="U481" s="433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25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3"/>
      <c r="P482" s="433"/>
      <c r="Q482" s="433"/>
      <c r="R482" s="433"/>
      <c r="S482" s="433"/>
      <c r="T482" s="433"/>
      <c r="U482" s="433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25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33"/>
      <c r="P483" s="433"/>
      <c r="Q483" s="433"/>
      <c r="R483" s="433"/>
      <c r="S483" s="433"/>
      <c r="T483" s="433"/>
      <c r="U483" s="433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25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33"/>
      <c r="P484" s="433"/>
      <c r="Q484" s="433"/>
      <c r="R484" s="433"/>
      <c r="S484" s="433"/>
      <c r="T484" s="433"/>
      <c r="U484" s="433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25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33"/>
      <c r="P485" s="433"/>
      <c r="Q485" s="433"/>
      <c r="R485" s="433"/>
      <c r="S485" s="433"/>
      <c r="T485" s="433"/>
      <c r="U485" s="433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25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33"/>
      <c r="P486" s="433"/>
      <c r="Q486" s="433"/>
      <c r="R486" s="433"/>
      <c r="S486" s="433"/>
      <c r="T486" s="433"/>
      <c r="U486" s="433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25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33"/>
      <c r="P487" s="433"/>
      <c r="Q487" s="433"/>
      <c r="R487" s="433"/>
      <c r="S487" s="433"/>
      <c r="T487" s="433"/>
      <c r="U487" s="433"/>
      <c r="V487" s="132"/>
      <c r="W487" s="133"/>
      <c r="X487" s="132"/>
      <c r="Y487" s="132"/>
      <c r="Z487" s="132"/>
      <c r="AA487" s="132"/>
    </row>
    <row r="488" spans="1:27" ht="20.10000000000000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25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33"/>
      <c r="P489" s="433"/>
      <c r="Q489" s="433"/>
      <c r="R489" s="433"/>
      <c r="S489" s="433"/>
      <c r="T489" s="433"/>
      <c r="U489" s="433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434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31"/>
      <c r="D491" s="108">
        <v>3.65</v>
      </c>
      <c r="E491" s="108"/>
      <c r="F491" s="153"/>
      <c r="G491" s="128"/>
      <c r="H491" s="425">
        <f t="shared" ref="H491:H505" si="224">D491*G491</f>
        <v>0</v>
      </c>
      <c r="I491" s="129"/>
      <c r="J491" s="130" t="str">
        <f t="array" ref="J491">IF(ISERROR(G491/I491),"",G491/I491)</f>
        <v/>
      </c>
      <c r="K491" s="425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33"/>
      <c r="P491" s="433"/>
      <c r="Q491" s="433"/>
      <c r="R491" s="433"/>
      <c r="S491" s="433"/>
      <c r="T491" s="433"/>
      <c r="U491" s="433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31"/>
      <c r="D492" s="108">
        <v>6.58</v>
      </c>
      <c r="E492" s="108"/>
      <c r="F492" s="127"/>
      <c r="G492" s="128"/>
      <c r="H492" s="425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33"/>
      <c r="P492" s="433"/>
      <c r="Q492" s="433"/>
      <c r="R492" s="433"/>
      <c r="S492" s="433"/>
      <c r="T492" s="433"/>
      <c r="U492" s="433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31"/>
      <c r="D493" s="108">
        <v>7.8</v>
      </c>
      <c r="E493" s="108"/>
      <c r="F493" s="127"/>
      <c r="G493" s="128"/>
      <c r="H493" s="425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33"/>
      <c r="P493" s="433"/>
      <c r="Q493" s="433"/>
      <c r="R493" s="433"/>
      <c r="S493" s="433"/>
      <c r="T493" s="433"/>
      <c r="U493" s="433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31"/>
      <c r="D494" s="108">
        <v>4.4000000000000004</v>
      </c>
      <c r="E494" s="108"/>
      <c r="F494" s="127"/>
      <c r="G494" s="128"/>
      <c r="H494" s="425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33"/>
      <c r="P494" s="433"/>
      <c r="Q494" s="433"/>
      <c r="R494" s="433"/>
      <c r="S494" s="433"/>
      <c r="T494" s="433"/>
      <c r="U494" s="433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25">
        <f t="shared" si="224"/>
        <v>0</v>
      </c>
      <c r="I495" s="129"/>
      <c r="J495" s="130"/>
      <c r="K495" s="131"/>
      <c r="L495" s="129"/>
      <c r="M495" s="109"/>
      <c r="N495" s="130"/>
      <c r="O495" s="433"/>
      <c r="P495" s="433"/>
      <c r="Q495" s="433"/>
      <c r="R495" s="433"/>
      <c r="S495" s="433"/>
      <c r="T495" s="433"/>
      <c r="U495" s="433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31"/>
      <c r="D496" s="108"/>
      <c r="E496" s="108"/>
      <c r="F496" s="127"/>
      <c r="G496" s="128"/>
      <c r="H496" s="425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33"/>
      <c r="P496" s="433"/>
      <c r="Q496" s="433"/>
      <c r="R496" s="433"/>
      <c r="S496" s="433"/>
      <c r="T496" s="433"/>
      <c r="U496" s="43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31" t="s">
        <v>239</v>
      </c>
      <c r="C497" s="431" t="s">
        <v>179</v>
      </c>
      <c r="D497" s="108">
        <v>6.04</v>
      </c>
      <c r="E497" s="108"/>
      <c r="F497" s="127"/>
      <c r="G497" s="128"/>
      <c r="H497" s="425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33"/>
      <c r="P497" s="433"/>
      <c r="Q497" s="433"/>
      <c r="R497" s="433"/>
      <c r="S497" s="433"/>
      <c r="T497" s="433"/>
      <c r="U497" s="433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31" t="s">
        <v>239</v>
      </c>
      <c r="C498" s="431" t="s">
        <v>186</v>
      </c>
      <c r="D498" s="108">
        <v>6.04</v>
      </c>
      <c r="E498" s="108"/>
      <c r="F498" s="127"/>
      <c r="G498" s="128"/>
      <c r="H498" s="425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33"/>
      <c r="P498" s="433"/>
      <c r="Q498" s="433"/>
      <c r="R498" s="433"/>
      <c r="S498" s="433"/>
      <c r="T498" s="433"/>
      <c r="U498" s="433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31" t="s">
        <v>443</v>
      </c>
      <c r="C499" s="431" t="s">
        <v>179</v>
      </c>
      <c r="D499" s="108"/>
      <c r="E499" s="108"/>
      <c r="F499" s="127"/>
      <c r="G499" s="128"/>
      <c r="H499" s="425">
        <f t="shared" si="224"/>
        <v>0</v>
      </c>
      <c r="I499" s="129"/>
      <c r="J499" s="130"/>
      <c r="K499" s="131"/>
      <c r="L499" s="129"/>
      <c r="M499" s="109"/>
      <c r="N499" s="130"/>
      <c r="O499" s="433"/>
      <c r="P499" s="433"/>
      <c r="Q499" s="433"/>
      <c r="R499" s="433"/>
      <c r="S499" s="433"/>
      <c r="T499" s="433"/>
      <c r="U499" s="43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31" t="s">
        <v>443</v>
      </c>
      <c r="C500" s="431" t="s">
        <v>186</v>
      </c>
      <c r="D500" s="108"/>
      <c r="E500" s="108"/>
      <c r="F500" s="127"/>
      <c r="G500" s="128"/>
      <c r="H500" s="425">
        <f t="shared" si="224"/>
        <v>0</v>
      </c>
      <c r="I500" s="129"/>
      <c r="J500" s="130"/>
      <c r="K500" s="131"/>
      <c r="L500" s="129"/>
      <c r="M500" s="109"/>
      <c r="N500" s="130"/>
      <c r="O500" s="433"/>
      <c r="P500" s="433"/>
      <c r="Q500" s="433"/>
      <c r="R500" s="433"/>
      <c r="S500" s="433"/>
      <c r="T500" s="433"/>
      <c r="U500" s="43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24" t="s">
        <v>240</v>
      </c>
      <c r="C501" s="126"/>
      <c r="D501" s="108">
        <v>7.3</v>
      </c>
      <c r="E501" s="108"/>
      <c r="F501" s="127"/>
      <c r="G501" s="128"/>
      <c r="H501" s="425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33"/>
      <c r="P501" s="433"/>
      <c r="Q501" s="433"/>
      <c r="R501" s="433"/>
      <c r="S501" s="433"/>
      <c r="T501" s="433"/>
      <c r="U501" s="433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24" t="s">
        <v>241</v>
      </c>
      <c r="C502" s="126"/>
      <c r="D502" s="108">
        <f>78*120/1000</f>
        <v>9.36</v>
      </c>
      <c r="E502" s="108"/>
      <c r="F502" s="127"/>
      <c r="G502" s="128"/>
      <c r="H502" s="425">
        <f t="shared" si="224"/>
        <v>0</v>
      </c>
      <c r="I502" s="129"/>
      <c r="J502" s="130"/>
      <c r="K502" s="131"/>
      <c r="L502" s="129"/>
      <c r="M502" s="109"/>
      <c r="N502" s="130"/>
      <c r="O502" s="433"/>
      <c r="P502" s="433"/>
      <c r="Q502" s="433"/>
      <c r="R502" s="433"/>
      <c r="S502" s="433"/>
      <c r="T502" s="433"/>
      <c r="U502" s="43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24" t="s">
        <v>242</v>
      </c>
      <c r="C503" s="126"/>
      <c r="D503" s="108">
        <v>4.5</v>
      </c>
      <c r="E503" s="108"/>
      <c r="F503" s="127"/>
      <c r="G503" s="128"/>
      <c r="H503" s="425">
        <f t="shared" si="224"/>
        <v>0</v>
      </c>
      <c r="I503" s="129"/>
      <c r="J503" s="130"/>
      <c r="K503" s="131"/>
      <c r="L503" s="129"/>
      <c r="M503" s="109"/>
      <c r="N503" s="130"/>
      <c r="O503" s="433"/>
      <c r="P503" s="433"/>
      <c r="Q503" s="433"/>
      <c r="R503" s="433"/>
      <c r="S503" s="433"/>
      <c r="T503" s="433"/>
      <c r="U503" s="433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24" t="s">
        <v>243</v>
      </c>
      <c r="C504" s="126"/>
      <c r="D504" s="108">
        <v>4.5</v>
      </c>
      <c r="E504" s="108"/>
      <c r="F504" s="127"/>
      <c r="G504" s="128"/>
      <c r="H504" s="425">
        <f t="shared" si="224"/>
        <v>0</v>
      </c>
      <c r="I504" s="129"/>
      <c r="J504" s="130"/>
      <c r="K504" s="131"/>
      <c r="L504" s="129"/>
      <c r="M504" s="109"/>
      <c r="N504" s="130"/>
      <c r="O504" s="433"/>
      <c r="P504" s="433"/>
      <c r="Q504" s="433"/>
      <c r="R504" s="433"/>
      <c r="S504" s="433"/>
      <c r="T504" s="433"/>
      <c r="U504" s="433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24"/>
      <c r="C505" s="126"/>
      <c r="D505" s="108"/>
      <c r="E505" s="108"/>
      <c r="F505" s="127"/>
      <c r="G505" s="128"/>
      <c r="H505" s="425">
        <f t="shared" si="224"/>
        <v>0</v>
      </c>
      <c r="I505" s="129"/>
      <c r="J505" s="130"/>
      <c r="K505" s="131"/>
      <c r="L505" s="129"/>
      <c r="M505" s="109"/>
      <c r="N505" s="130"/>
      <c r="O505" s="433"/>
      <c r="P505" s="433"/>
      <c r="Q505" s="433"/>
      <c r="R505" s="433"/>
      <c r="S505" s="433"/>
      <c r="T505" s="433"/>
      <c r="U505" s="433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434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988</v>
      </c>
      <c r="H507" s="154">
        <f>SUM(H370,H428,H463,H479,H490,H506)</f>
        <v>4969.6400000000003</v>
      </c>
      <c r="I507" s="154">
        <f>SUM(I370,I428,I463,I479,I490,I506)</f>
        <v>87.5</v>
      </c>
      <c r="J507" s="155">
        <f t="array" ref="J507">IF(ISERROR(G507/I507),"",G507/I507)</f>
        <v>11.291428571428572</v>
      </c>
      <c r="K507" s="154">
        <f>SUM(K370,K428,K463,K479,K490,K506)</f>
        <v>106.23655913978494</v>
      </c>
      <c r="L507" s="155">
        <f>IF(ISERROR(G507/K507),"",G507/K507)</f>
        <v>9.3000000000000007</v>
      </c>
      <c r="M507" s="154">
        <f t="shared" ref="M507:V507" si="237">SUM(M370,M428,M463,M479,M490,M506)</f>
        <v>-18.736559139784944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427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427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427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427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427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427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427">
        <f>G507</f>
        <v>988</v>
      </c>
      <c r="C514" s="638" t="s">
        <v>269</v>
      </c>
      <c r="D514" s="639"/>
      <c r="E514" s="631">
        <f>H507</f>
        <v>4969.6400000000003</v>
      </c>
      <c r="F514" s="631"/>
      <c r="G514" s="631" t="s">
        <v>270</v>
      </c>
      <c r="H514" s="631"/>
      <c r="I514" s="640">
        <f>L507</f>
        <v>9.3000000000000007</v>
      </c>
      <c r="J514" s="640"/>
      <c r="K514" s="628" t="s">
        <v>271</v>
      </c>
      <c r="L514" s="628"/>
      <c r="M514" s="640">
        <f>J507</f>
        <v>11.291428571428572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427">
        <f>I507+C513</f>
        <v>88.5</v>
      </c>
      <c r="C515" s="641" t="s">
        <v>251</v>
      </c>
      <c r="D515" s="642"/>
      <c r="E515" s="643">
        <f>K507+I513</f>
        <v>117.23655913978494</v>
      </c>
      <c r="F515" s="643"/>
      <c r="G515" s="631" t="s">
        <v>274</v>
      </c>
      <c r="H515" s="631"/>
      <c r="I515" s="640">
        <f>B515-E515</f>
        <v>-28.736559139784944</v>
      </c>
      <c r="J515" s="640"/>
      <c r="K515" s="628" t="s">
        <v>275</v>
      </c>
      <c r="L515" s="628"/>
      <c r="M515" s="632">
        <f>IF(ISERROR(I515/E515),"",I515/E515)</f>
        <v>-0.2451160231129047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427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428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11562</v>
      </c>
      <c r="D519" s="627"/>
      <c r="E519" s="673" t="s">
        <v>269</v>
      </c>
      <c r="F519" s="673"/>
      <c r="G519" s="643">
        <f>SUM(E171,E342,E514)</f>
        <v>58575.159999999996</v>
      </c>
      <c r="H519" s="643"/>
      <c r="I519" s="631" t="s">
        <v>270</v>
      </c>
      <c r="J519" s="673"/>
      <c r="K519" s="626">
        <f>IF(ISERROR(C519/G520),"",C519/G520)</f>
        <v>17.144116106701439</v>
      </c>
      <c r="L519" s="627"/>
      <c r="M519" s="631" t="s">
        <v>271</v>
      </c>
      <c r="N519" s="631"/>
      <c r="O519" s="668">
        <f t="array" ref="O519">IF(ISERROR(C519/C520),"",C519/C520)</f>
        <v>17.774019984627209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650.5</v>
      </c>
      <c r="D520" s="627"/>
      <c r="E520" s="631" t="s">
        <v>251</v>
      </c>
      <c r="F520" s="631"/>
      <c r="G520" s="643">
        <f>SUM(E172,E343,E515)</f>
        <v>674.40047232767779</v>
      </c>
      <c r="H520" s="643"/>
      <c r="I520" s="641" t="s">
        <v>274</v>
      </c>
      <c r="J520" s="642"/>
      <c r="K520" s="638">
        <f>C520-G520</f>
        <v>-23.90047232767779</v>
      </c>
      <c r="L520" s="639"/>
      <c r="M520" s="638" t="s">
        <v>275</v>
      </c>
      <c r="N520" s="639"/>
      <c r="O520" s="671">
        <f>IF(ISERROR(K520/C520),"",K520/C520)</f>
        <v>-3.6741694585207978E-2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28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2443</v>
      </c>
      <c r="D524" s="642"/>
      <c r="E524" s="681">
        <f>IF(ISERROR(C524/C530),"",C524/C530)</f>
        <v>0.21129562359453383</v>
      </c>
      <c r="F524" s="682"/>
      <c r="G524" s="676"/>
      <c r="H524" s="677"/>
      <c r="I524" s="683" t="s">
        <v>301</v>
      </c>
      <c r="J524" s="684"/>
      <c r="K524" s="638">
        <f t="shared" ref="K524:K529" si="239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40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5903</v>
      </c>
      <c r="D525" s="642"/>
      <c r="E525" s="681">
        <f>IF(ISERROR(C525/C530),"",C525/C530)</f>
        <v>0.51055180764573604</v>
      </c>
      <c r="F525" s="682"/>
      <c r="G525" s="676"/>
      <c r="H525" s="677"/>
      <c r="I525" s="683" t="s">
        <v>302</v>
      </c>
      <c r="J525" s="684"/>
      <c r="K525" s="638">
        <f t="shared" si="239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40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1593</v>
      </c>
      <c r="D526" s="642"/>
      <c r="E526" s="681">
        <f>IF(ISERROR(C526/C530),"",C526/C530)</f>
        <v>0.13777893098079916</v>
      </c>
      <c r="F526" s="682"/>
      <c r="G526" s="676"/>
      <c r="H526" s="677"/>
      <c r="I526" s="683" t="s">
        <v>303</v>
      </c>
      <c r="J526" s="684"/>
      <c r="K526" s="638">
        <f t="shared" si="239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40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360</v>
      </c>
      <c r="D527" s="642"/>
      <c r="E527" s="681">
        <f>IF(ISERROR(C527/C530),"",C527/C530)</f>
        <v>3.1136481577581733E-2</v>
      </c>
      <c r="F527" s="682"/>
      <c r="G527" s="676"/>
      <c r="H527" s="677"/>
      <c r="I527" s="683" t="s">
        <v>304</v>
      </c>
      <c r="J527" s="684"/>
      <c r="K527" s="638">
        <f t="shared" si="239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40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1078</v>
      </c>
      <c r="D528" s="642"/>
      <c r="E528" s="681">
        <f>IF(ISERROR(C528/C530),"",C528/C530)</f>
        <v>9.3236464279536413E-2</v>
      </c>
      <c r="F528" s="682"/>
      <c r="G528" s="676"/>
      <c r="H528" s="677"/>
      <c r="I528" s="683" t="s">
        <v>306</v>
      </c>
      <c r="J528" s="684"/>
      <c r="K528" s="638">
        <f t="shared" si="239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40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185</v>
      </c>
      <c r="D529" s="642"/>
      <c r="E529" s="681">
        <f>IF(ISERROR(C529/C530),"",C529/C530)</f>
        <v>1.6000691921812835E-2</v>
      </c>
      <c r="F529" s="682"/>
      <c r="G529" s="676"/>
      <c r="H529" s="677"/>
      <c r="I529" s="683" t="s">
        <v>307</v>
      </c>
      <c r="J529" s="684"/>
      <c r="K529" s="638">
        <f t="shared" si="239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40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11562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431" t="s">
        <v>309</v>
      </c>
      <c r="D532" s="431" t="s">
        <v>310</v>
      </c>
      <c r="E532" s="431" t="s">
        <v>311</v>
      </c>
      <c r="F532" s="431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33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25" t="s">
        <v>322</v>
      </c>
      <c r="Q532" s="129" t="s">
        <v>323</v>
      </c>
      <c r="R532" s="109" t="s">
        <v>324</v>
      </c>
      <c r="S532" s="431" t="s">
        <v>325</v>
      </c>
      <c r="T532" s="431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+'3'!C533</f>
        <v>42</v>
      </c>
      <c r="E533" s="106">
        <v>4</v>
      </c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32">
        <f t="array" ref="S533">IF(ISERROR(Q533/J533),"",Q533/J533)</f>
        <v>1</v>
      </c>
      <c r="T533" s="432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45</v>
      </c>
      <c r="D534" s="106">
        <f>+'3'!C534</f>
        <v>45</v>
      </c>
      <c r="E534" s="110"/>
      <c r="F534" s="110"/>
      <c r="G534" s="107"/>
      <c r="H534" s="106"/>
      <c r="I534" s="106"/>
      <c r="J534" s="106">
        <f>C534-H534-I534</f>
        <v>45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32">
        <f t="array" ref="S534">IF(ISERROR(Q534/J534),"",Q534/J534)</f>
        <v>0.9555555555555556</v>
      </c>
      <c r="T534" s="432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+'3'!C535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32">
        <f t="array" ref="S535">IF(ISERROR(Q535/J535),"",Q535/J535)</f>
        <v>1</v>
      </c>
      <c r="T535" s="432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101</v>
      </c>
      <c r="D536" s="112">
        <f t="shared" ref="D536:N536" si="241">SUM(D533:D535)</f>
        <v>97</v>
      </c>
      <c r="E536" s="112">
        <f t="shared" si="241"/>
        <v>4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101</v>
      </c>
      <c r="K536" s="112">
        <f t="shared" si="241"/>
        <v>2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0.98019801980198018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15" activePane="bottomRight" state="frozen"/>
      <selection activeCell="F484" sqref="F484"/>
      <selection pane="topRight" activeCell="F484" sqref="F484"/>
      <selection pane="bottomLeft" activeCell="F484" sqref="F484"/>
      <selection pane="bottomRight" activeCell="G212" sqref="G212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10" width="12.125" style="121" customWidth="1"/>
    <col min="11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448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customHeight="1">
      <c r="A7" s="299">
        <v>30100030</v>
      </c>
      <c r="B7" s="437" t="s">
        <v>178</v>
      </c>
      <c r="C7" s="126" t="s">
        <v>179</v>
      </c>
      <c r="D7" s="108">
        <v>5.03</v>
      </c>
      <c r="E7" s="108"/>
      <c r="F7" s="127">
        <v>42740</v>
      </c>
      <c r="G7" s="128">
        <f>108+108+87</f>
        <v>303</v>
      </c>
      <c r="H7" s="438">
        <f t="shared" ref="H7:H27" si="0">D7*G7</f>
        <v>1524.0900000000001</v>
      </c>
      <c r="I7" s="129">
        <v>9</v>
      </c>
      <c r="J7" s="130">
        <f t="array" ref="J7">IF(ISERROR(G7/I7),"",G7/I7)</f>
        <v>33.666666666666664</v>
      </c>
      <c r="K7" s="131">
        <f t="array" ref="K7">IF(ISERROR(G7/L7),"",G7/L7)</f>
        <v>18.9375</v>
      </c>
      <c r="L7" s="129">
        <v>16</v>
      </c>
      <c r="M7" s="109">
        <f t="shared" ref="M7:M27" si="1">IF(ISERROR(I7-K7),"",I7-K7)</f>
        <v>-9.9375</v>
      </c>
      <c r="N7" s="130">
        <f>SUM(O7:U7)</f>
        <v>0</v>
      </c>
      <c r="O7" s="446"/>
      <c r="P7" s="446"/>
      <c r="Q7" s="446"/>
      <c r="R7" s="446"/>
      <c r="S7" s="446"/>
      <c r="T7" s="446"/>
      <c r="U7" s="446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3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46"/>
      <c r="Q8" s="446"/>
      <c r="R8" s="446"/>
      <c r="S8" s="446"/>
      <c r="T8" s="446"/>
      <c r="U8" s="446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3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46"/>
      <c r="P9" s="446"/>
      <c r="Q9" s="446"/>
      <c r="R9" s="446"/>
      <c r="S9" s="446"/>
      <c r="T9" s="446"/>
      <c r="U9" s="446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3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46"/>
      <c r="P10" s="446"/>
      <c r="Q10" s="446"/>
      <c r="R10" s="446"/>
      <c r="S10" s="446"/>
      <c r="T10" s="446"/>
      <c r="U10" s="446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3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46"/>
      <c r="P11" s="446"/>
      <c r="Q11" s="446"/>
      <c r="R11" s="446"/>
      <c r="S11" s="446"/>
      <c r="T11" s="446"/>
      <c r="U11" s="446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38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46"/>
      <c r="P12" s="446"/>
      <c r="Q12" s="446"/>
      <c r="R12" s="446"/>
      <c r="S12" s="446"/>
      <c r="T12" s="446"/>
      <c r="U12" s="446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3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46"/>
      <c r="P13" s="446"/>
      <c r="Q13" s="446"/>
      <c r="R13" s="446"/>
      <c r="S13" s="446"/>
      <c r="T13" s="446"/>
      <c r="U13" s="446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3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46"/>
      <c r="P14" s="446"/>
      <c r="Q14" s="446"/>
      <c r="R14" s="446"/>
      <c r="S14" s="446"/>
      <c r="T14" s="446"/>
      <c r="U14" s="446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42739</v>
      </c>
      <c r="G15" s="128">
        <f>25+100*8</f>
        <v>825</v>
      </c>
      <c r="H15" s="438">
        <f t="shared" si="0"/>
        <v>4158</v>
      </c>
      <c r="I15" s="438">
        <f>11*5</f>
        <v>55</v>
      </c>
      <c r="J15" s="130">
        <f t="array" ref="J15">IF(ISERROR(G15/I15),"",G15/I15)</f>
        <v>15</v>
      </c>
      <c r="K15" s="131">
        <f t="array" ref="K15">IF(ISERROR(G15/L15),"",G15/L15)</f>
        <v>48.529411764705884</v>
      </c>
      <c r="L15" s="129">
        <v>17</v>
      </c>
      <c r="M15" s="109">
        <f t="shared" si="1"/>
        <v>6.470588235294116</v>
      </c>
      <c r="N15" s="130">
        <f t="shared" si="4"/>
        <v>0</v>
      </c>
      <c r="O15" s="446"/>
      <c r="P15" s="446"/>
      <c r="Q15" s="446"/>
      <c r="R15" s="446"/>
      <c r="S15" s="446"/>
      <c r="T15" s="446"/>
      <c r="U15" s="446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38">
        <f t="shared" si="0"/>
        <v>0</v>
      </c>
      <c r="I16" s="43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46"/>
      <c r="P16" s="446"/>
      <c r="Q16" s="446"/>
      <c r="R16" s="446"/>
      <c r="S16" s="446"/>
      <c r="T16" s="446"/>
      <c r="U16" s="446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3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46"/>
      <c r="P17" s="446"/>
      <c r="Q17" s="446"/>
      <c r="R17" s="446"/>
      <c r="S17" s="446"/>
      <c r="T17" s="446"/>
      <c r="U17" s="446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38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46"/>
      <c r="P18" s="446"/>
      <c r="Q18" s="446"/>
      <c r="R18" s="446"/>
      <c r="S18" s="446"/>
      <c r="T18" s="446"/>
      <c r="U18" s="446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38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46"/>
      <c r="P19" s="446"/>
      <c r="Q19" s="446"/>
      <c r="R19" s="446"/>
      <c r="S19" s="446"/>
      <c r="T19" s="446"/>
      <c r="U19" s="446"/>
      <c r="V19" s="132">
        <f t="shared" ref="V19:V21" si="5">SUM(X19:AA19)</f>
        <v>0</v>
      </c>
      <c r="W19" s="43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3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46"/>
      <c r="P20" s="446"/>
      <c r="Q20" s="446"/>
      <c r="R20" s="446"/>
      <c r="S20" s="446"/>
      <c r="T20" s="446"/>
      <c r="U20" s="446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3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46"/>
      <c r="P21" s="446"/>
      <c r="Q21" s="446"/>
      <c r="R21" s="446"/>
      <c r="S21" s="446"/>
      <c r="T21" s="446"/>
      <c r="U21" s="446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44" t="s">
        <v>190</v>
      </c>
      <c r="D22" s="108">
        <v>4.8</v>
      </c>
      <c r="E22" s="108"/>
      <c r="F22" s="127"/>
      <c r="G22" s="128"/>
      <c r="H22" s="43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46"/>
      <c r="P22" s="446"/>
      <c r="Q22" s="446"/>
      <c r="R22" s="446"/>
      <c r="S22" s="446"/>
      <c r="T22" s="446"/>
      <c r="U22" s="446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44" t="s">
        <v>187</v>
      </c>
      <c r="D23" s="108">
        <v>4.8</v>
      </c>
      <c r="E23" s="108"/>
      <c r="F23" s="127"/>
      <c r="G23" s="128"/>
      <c r="H23" s="43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46"/>
      <c r="P23" s="446"/>
      <c r="Q23" s="446"/>
      <c r="R23" s="446"/>
      <c r="S23" s="446"/>
      <c r="T23" s="446"/>
      <c r="U23" s="446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44" t="s">
        <v>179</v>
      </c>
      <c r="D24" s="108">
        <v>4.8</v>
      </c>
      <c r="E24" s="108"/>
      <c r="F24" s="127"/>
      <c r="G24" s="128"/>
      <c r="H24" s="43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46"/>
      <c r="P24" s="446"/>
      <c r="Q24" s="446"/>
      <c r="R24" s="446"/>
      <c r="S24" s="446"/>
      <c r="T24" s="446"/>
      <c r="U24" s="446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44" t="s">
        <v>199</v>
      </c>
      <c r="D25" s="108">
        <v>4.8</v>
      </c>
      <c r="E25" s="108"/>
      <c r="F25" s="127"/>
      <c r="G25" s="128"/>
      <c r="H25" s="43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46"/>
      <c r="P25" s="446"/>
      <c r="Q25" s="446"/>
      <c r="R25" s="446"/>
      <c r="S25" s="446"/>
      <c r="T25" s="446"/>
      <c r="U25" s="446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3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46"/>
      <c r="P26" s="446"/>
      <c r="Q26" s="446"/>
      <c r="R26" s="446"/>
      <c r="S26" s="446"/>
      <c r="T26" s="446"/>
      <c r="U26" s="446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3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46"/>
      <c r="P27" s="446"/>
      <c r="Q27" s="446"/>
      <c r="R27" s="446"/>
      <c r="S27" s="446"/>
      <c r="T27" s="446"/>
      <c r="U27" s="446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447" t="s">
        <v>202</v>
      </c>
      <c r="D28" s="143"/>
      <c r="E28" s="143"/>
      <c r="F28" s="144"/>
      <c r="G28" s="145">
        <f>SUM(G7:G27)</f>
        <v>1128</v>
      </c>
      <c r="H28" s="146">
        <f>SUM(H7:H27)</f>
        <v>5682.09</v>
      </c>
      <c r="I28" s="146">
        <f>SUM(I7:I27)</f>
        <v>64</v>
      </c>
      <c r="J28" s="130">
        <f t="array" ref="J28">IF(ISERROR(G28/I28),"",G28/I28)</f>
        <v>17.625</v>
      </c>
      <c r="K28" s="146">
        <f>SUM(K7:K27)</f>
        <v>67.466911764705884</v>
      </c>
      <c r="L28" s="147"/>
      <c r="M28" s="146">
        <f t="shared" ref="M28:V28" si="10">SUM(M7:M27)</f>
        <v>-3.466911764705884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37" t="s">
        <v>206</v>
      </c>
      <c r="C29" s="126" t="s">
        <v>199</v>
      </c>
      <c r="D29" s="108">
        <v>5.03</v>
      </c>
      <c r="E29" s="108"/>
      <c r="F29" s="127">
        <v>42739</v>
      </c>
      <c r="G29" s="128">
        <f>108*10</f>
        <v>1080</v>
      </c>
      <c r="H29" s="438">
        <f t="shared" ref="H29:H85" si="11">D29*G29</f>
        <v>5432.4000000000005</v>
      </c>
      <c r="I29" s="129">
        <f>9+2</f>
        <v>11</v>
      </c>
      <c r="J29" s="130">
        <f t="array" ref="J29">IF(ISERROR(G29/I29),"",G29/I29)</f>
        <v>98.181818181818187</v>
      </c>
      <c r="K29" s="131">
        <f t="array" ref="K29">IF(ISERROR(G29/L29),"",G29/L29)</f>
        <v>20.76923076923077</v>
      </c>
      <c r="L29" s="129">
        <v>52</v>
      </c>
      <c r="M29" s="109">
        <f t="shared" ref="M29:M30" si="12">IF(ISERROR(I29-K29),"",I29-K29)</f>
        <v>-9.7692307692307701</v>
      </c>
      <c r="N29" s="130">
        <f t="shared" ref="N29" si="13">SUM(O29:U29)</f>
        <v>0</v>
      </c>
      <c r="O29" s="442"/>
      <c r="P29" s="442"/>
      <c r="Q29" s="442"/>
      <c r="R29" s="442"/>
      <c r="S29" s="442"/>
      <c r="T29" s="442"/>
      <c r="U29" s="442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37" t="s">
        <v>425</v>
      </c>
      <c r="C30" s="187" t="s">
        <v>427</v>
      </c>
      <c r="D30" s="108">
        <v>5.03</v>
      </c>
      <c r="E30" s="108"/>
      <c r="F30" s="127">
        <v>42739</v>
      </c>
      <c r="G30" s="452">
        <f>108+108+108</f>
        <v>324</v>
      </c>
      <c r="H30" s="438">
        <f t="shared" si="11"/>
        <v>1629.72</v>
      </c>
      <c r="I30" s="129">
        <v>2</v>
      </c>
      <c r="J30" s="130">
        <f t="array" ref="J30">IF(ISERROR(G30/I30),"",G30/I30)</f>
        <v>162</v>
      </c>
      <c r="K30" s="131">
        <f t="array" ref="K30">IF(ISERROR(G30/L30),"",G30/L30)</f>
        <v>6.2307692307692308</v>
      </c>
      <c r="L30" s="129">
        <v>52</v>
      </c>
      <c r="M30" s="109">
        <f t="shared" si="12"/>
        <v>-4.2307692307692308</v>
      </c>
      <c r="N30" s="130"/>
      <c r="O30" s="442"/>
      <c r="P30" s="442"/>
      <c r="Q30" s="442"/>
      <c r="R30" s="442"/>
      <c r="S30" s="442"/>
      <c r="T30" s="442"/>
      <c r="U30" s="44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7" t="s">
        <v>206</v>
      </c>
      <c r="C31" s="126" t="s">
        <v>186</v>
      </c>
      <c r="D31" s="108">
        <v>5.03</v>
      </c>
      <c r="E31" s="108"/>
      <c r="F31" s="127"/>
      <c r="G31" s="128"/>
      <c r="H31" s="438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2"/>
      <c r="P31" s="442"/>
      <c r="Q31" s="442"/>
      <c r="R31" s="442"/>
      <c r="S31" s="442"/>
      <c r="T31" s="442"/>
      <c r="U31" s="44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7" t="s">
        <v>206</v>
      </c>
      <c r="C32" s="126" t="s">
        <v>203</v>
      </c>
      <c r="D32" s="108">
        <v>5.03</v>
      </c>
      <c r="E32" s="108"/>
      <c r="F32" s="127"/>
      <c r="G32" s="128"/>
      <c r="H32" s="43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2"/>
      <c r="P32" s="442"/>
      <c r="Q32" s="442"/>
      <c r="R32" s="442"/>
      <c r="S32" s="442"/>
      <c r="T32" s="442"/>
      <c r="U32" s="44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7" t="s">
        <v>206</v>
      </c>
      <c r="C33" s="126" t="s">
        <v>207</v>
      </c>
      <c r="D33" s="108">
        <v>5.03</v>
      </c>
      <c r="E33" s="108"/>
      <c r="F33" s="127"/>
      <c r="G33" s="128"/>
      <c r="H33" s="43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2"/>
      <c r="P33" s="442"/>
      <c r="Q33" s="442"/>
      <c r="R33" s="442"/>
      <c r="S33" s="442"/>
      <c r="T33" s="442"/>
      <c r="U33" s="44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7" t="s">
        <v>414</v>
      </c>
      <c r="C34" s="187" t="s">
        <v>415</v>
      </c>
      <c r="D34" s="108">
        <v>5.03</v>
      </c>
      <c r="E34" s="108"/>
      <c r="F34" s="127"/>
      <c r="G34" s="128"/>
      <c r="H34" s="438">
        <f t="shared" si="11"/>
        <v>0</v>
      </c>
      <c r="I34" s="129"/>
      <c r="J34" s="130"/>
      <c r="K34" s="131"/>
      <c r="L34" s="129">
        <v>52</v>
      </c>
      <c r="M34" s="109"/>
      <c r="N34" s="130"/>
      <c r="O34" s="442"/>
      <c r="P34" s="442"/>
      <c r="Q34" s="442"/>
      <c r="R34" s="442"/>
      <c r="S34" s="442"/>
      <c r="T34" s="442"/>
      <c r="U34" s="442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7" t="s">
        <v>414</v>
      </c>
      <c r="C35" s="187" t="s">
        <v>416</v>
      </c>
      <c r="D35" s="108">
        <v>5.03</v>
      </c>
      <c r="E35" s="108"/>
      <c r="F35" s="127"/>
      <c r="G35" s="128"/>
      <c r="H35" s="438">
        <f t="shared" si="11"/>
        <v>0</v>
      </c>
      <c r="I35" s="129"/>
      <c r="J35" s="130"/>
      <c r="K35" s="131"/>
      <c r="L35" s="129">
        <v>52</v>
      </c>
      <c r="M35" s="109"/>
      <c r="N35" s="130"/>
      <c r="O35" s="442"/>
      <c r="P35" s="442"/>
      <c r="Q35" s="442"/>
      <c r="R35" s="442"/>
      <c r="S35" s="442"/>
      <c r="T35" s="442"/>
      <c r="U35" s="44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7" t="s">
        <v>414</v>
      </c>
      <c r="C36" s="187" t="s">
        <v>61</v>
      </c>
      <c r="D36" s="108">
        <v>5.03</v>
      </c>
      <c r="E36" s="108"/>
      <c r="F36" s="127"/>
      <c r="G36" s="128"/>
      <c r="H36" s="438">
        <f t="shared" si="11"/>
        <v>0</v>
      </c>
      <c r="I36" s="129"/>
      <c r="J36" s="130"/>
      <c r="K36" s="131"/>
      <c r="L36" s="129">
        <v>52</v>
      </c>
      <c r="M36" s="109"/>
      <c r="N36" s="130"/>
      <c r="O36" s="442"/>
      <c r="P36" s="442"/>
      <c r="Q36" s="442"/>
      <c r="R36" s="442"/>
      <c r="S36" s="442"/>
      <c r="T36" s="442"/>
      <c r="U36" s="44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7" t="s">
        <v>208</v>
      </c>
      <c r="C37" s="126" t="s">
        <v>179</v>
      </c>
      <c r="D37" s="108">
        <v>5.08</v>
      </c>
      <c r="E37" s="108"/>
      <c r="F37" s="127"/>
      <c r="G37" s="128"/>
      <c r="H37" s="43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2"/>
      <c r="P37" s="442"/>
      <c r="Q37" s="442"/>
      <c r="R37" s="442"/>
      <c r="S37" s="442"/>
      <c r="T37" s="442"/>
      <c r="U37" s="44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7" t="s">
        <v>208</v>
      </c>
      <c r="C38" s="126" t="s">
        <v>204</v>
      </c>
      <c r="D38" s="108">
        <v>5.08</v>
      </c>
      <c r="E38" s="108"/>
      <c r="F38" s="127"/>
      <c r="G38" s="128"/>
      <c r="H38" s="43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2"/>
      <c r="P38" s="442"/>
      <c r="Q38" s="442"/>
      <c r="R38" s="442"/>
      <c r="S38" s="442"/>
      <c r="T38" s="442"/>
      <c r="U38" s="44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7" t="s">
        <v>208</v>
      </c>
      <c r="C39" s="126" t="s">
        <v>205</v>
      </c>
      <c r="D39" s="108">
        <v>5.08</v>
      </c>
      <c r="E39" s="108"/>
      <c r="F39" s="127"/>
      <c r="G39" s="128"/>
      <c r="H39" s="43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2"/>
      <c r="P39" s="442"/>
      <c r="Q39" s="442"/>
      <c r="R39" s="442"/>
      <c r="S39" s="442"/>
      <c r="T39" s="442"/>
      <c r="U39" s="44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7" t="s">
        <v>208</v>
      </c>
      <c r="C40" s="126" t="s">
        <v>186</v>
      </c>
      <c r="D40" s="108">
        <v>5.08</v>
      </c>
      <c r="E40" s="108"/>
      <c r="F40" s="127"/>
      <c r="G40" s="128"/>
      <c r="H40" s="43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2"/>
      <c r="P40" s="442"/>
      <c r="Q40" s="442"/>
      <c r="R40" s="442"/>
      <c r="S40" s="442"/>
      <c r="T40" s="442"/>
      <c r="U40" s="44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37" t="s">
        <v>208</v>
      </c>
      <c r="C41" s="126" t="s">
        <v>203</v>
      </c>
      <c r="D41" s="108">
        <v>5.08</v>
      </c>
      <c r="E41" s="108"/>
      <c r="F41" s="127">
        <v>42740</v>
      </c>
      <c r="G41" s="128">
        <f>101+108+108+108*4</f>
        <v>749</v>
      </c>
      <c r="H41" s="438">
        <f t="shared" si="11"/>
        <v>3804.92</v>
      </c>
      <c r="I41" s="129">
        <f>11*3</f>
        <v>33</v>
      </c>
      <c r="J41" s="130">
        <f t="array" ref="J41">IF(ISERROR(G41/I41),"",G41/I41)</f>
        <v>22.696969696969695</v>
      </c>
      <c r="K41" s="131">
        <f t="array" ref="K41">IF(ISERROR(G41/L41),"",G41/L41)</f>
        <v>35.666666666666664</v>
      </c>
      <c r="L41" s="129">
        <v>21</v>
      </c>
      <c r="M41" s="109">
        <f t="shared" si="19"/>
        <v>-2.6666666666666643</v>
      </c>
      <c r="N41" s="130">
        <f t="shared" si="20"/>
        <v>0</v>
      </c>
      <c r="O41" s="442"/>
      <c r="P41" s="442"/>
      <c r="Q41" s="442"/>
      <c r="R41" s="442"/>
      <c r="S41" s="442"/>
      <c r="T41" s="442"/>
      <c r="U41" s="442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7" t="s">
        <v>208</v>
      </c>
      <c r="C42" s="126" t="s">
        <v>199</v>
      </c>
      <c r="D42" s="108">
        <v>5.08</v>
      </c>
      <c r="E42" s="108"/>
      <c r="F42" s="127"/>
      <c r="G42" s="128"/>
      <c r="H42" s="43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46"/>
      <c r="P42" s="446"/>
      <c r="Q42" s="446"/>
      <c r="R42" s="446"/>
      <c r="S42" s="446"/>
      <c r="T42" s="446"/>
      <c r="U42" s="446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7" t="s">
        <v>208</v>
      </c>
      <c r="C43" s="126" t="s">
        <v>187</v>
      </c>
      <c r="D43" s="108">
        <v>5.08</v>
      </c>
      <c r="E43" s="108"/>
      <c r="F43" s="127"/>
      <c r="G43" s="128"/>
      <c r="H43" s="43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2"/>
      <c r="P43" s="442"/>
      <c r="Q43" s="442"/>
      <c r="R43" s="442"/>
      <c r="S43" s="442"/>
      <c r="T43" s="442"/>
      <c r="U43" s="44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7" t="s">
        <v>208</v>
      </c>
      <c r="C44" s="126" t="s">
        <v>207</v>
      </c>
      <c r="D44" s="108">
        <v>5.08</v>
      </c>
      <c r="E44" s="108"/>
      <c r="F44" s="127"/>
      <c r="G44" s="128"/>
      <c r="H44" s="438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46"/>
      <c r="P44" s="446"/>
      <c r="Q44" s="446"/>
      <c r="R44" s="446"/>
      <c r="S44" s="446"/>
      <c r="T44" s="446"/>
      <c r="U44" s="446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7" t="s">
        <v>209</v>
      </c>
      <c r="C45" s="126" t="s">
        <v>194</v>
      </c>
      <c r="D45" s="108">
        <v>5.03</v>
      </c>
      <c r="E45" s="108"/>
      <c r="F45" s="127"/>
      <c r="G45" s="128"/>
      <c r="H45" s="43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2"/>
      <c r="P45" s="442"/>
      <c r="Q45" s="442"/>
      <c r="R45" s="442"/>
      <c r="S45" s="442"/>
      <c r="T45" s="442"/>
      <c r="U45" s="44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7" t="s">
        <v>209</v>
      </c>
      <c r="C46" s="126" t="s">
        <v>179</v>
      </c>
      <c r="D46" s="108">
        <v>5.03</v>
      </c>
      <c r="E46" s="108"/>
      <c r="F46" s="127"/>
      <c r="G46" s="128"/>
      <c r="H46" s="43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2"/>
      <c r="P46" s="442"/>
      <c r="Q46" s="442"/>
      <c r="R46" s="442"/>
      <c r="S46" s="442"/>
      <c r="T46" s="442"/>
      <c r="U46" s="442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7" t="s">
        <v>209</v>
      </c>
      <c r="C47" s="126" t="s">
        <v>195</v>
      </c>
      <c r="D47" s="108">
        <v>5.03</v>
      </c>
      <c r="E47" s="108"/>
      <c r="F47" s="127"/>
      <c r="G47" s="128"/>
      <c r="H47" s="43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2"/>
      <c r="P47" s="442"/>
      <c r="Q47" s="442"/>
      <c r="R47" s="442"/>
      <c r="S47" s="442"/>
      <c r="T47" s="442"/>
      <c r="U47" s="44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7" t="s">
        <v>209</v>
      </c>
      <c r="C48" s="126" t="s">
        <v>204</v>
      </c>
      <c r="D48" s="108">
        <v>5.03</v>
      </c>
      <c r="E48" s="108"/>
      <c r="F48" s="127"/>
      <c r="G48" s="128"/>
      <c r="H48" s="43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2"/>
      <c r="P48" s="442"/>
      <c r="Q48" s="442"/>
      <c r="R48" s="442"/>
      <c r="S48" s="442"/>
      <c r="T48" s="442"/>
      <c r="U48" s="44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7" t="s">
        <v>382</v>
      </c>
      <c r="C49" s="187" t="s">
        <v>383</v>
      </c>
      <c r="D49" s="108">
        <v>5.03</v>
      </c>
      <c r="E49" s="108"/>
      <c r="F49" s="127"/>
      <c r="G49" s="128"/>
      <c r="H49" s="43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2"/>
      <c r="P49" s="442"/>
      <c r="Q49" s="442"/>
      <c r="R49" s="442"/>
      <c r="S49" s="442"/>
      <c r="T49" s="442"/>
      <c r="U49" s="44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7" t="s">
        <v>382</v>
      </c>
      <c r="C50" s="187" t="s">
        <v>384</v>
      </c>
      <c r="D50" s="108">
        <v>5.03</v>
      </c>
      <c r="E50" s="108"/>
      <c r="F50" s="127"/>
      <c r="G50" s="128"/>
      <c r="H50" s="43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2"/>
      <c r="P50" s="442"/>
      <c r="Q50" s="442"/>
      <c r="R50" s="442"/>
      <c r="S50" s="442"/>
      <c r="T50" s="442"/>
      <c r="U50" s="442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37" t="s">
        <v>382</v>
      </c>
      <c r="C51" s="187" t="s">
        <v>389</v>
      </c>
      <c r="D51" s="108">
        <v>5.03</v>
      </c>
      <c r="E51" s="108"/>
      <c r="F51" s="127">
        <v>42739</v>
      </c>
      <c r="G51" s="128">
        <f>90*2+54+23+90*4</f>
        <v>617</v>
      </c>
      <c r="H51" s="438">
        <f t="shared" si="11"/>
        <v>3103.51</v>
      </c>
      <c r="I51" s="129">
        <v>11</v>
      </c>
      <c r="J51" s="130">
        <f t="array" ref="J51">IF(ISERROR(G51/I51),"",G51/I51)</f>
        <v>56.090909090909093</v>
      </c>
      <c r="K51" s="131">
        <f t="array" ref="K51">IF(ISERROR(G51/L51),"",G51/L51)</f>
        <v>11.425925925925926</v>
      </c>
      <c r="L51" s="129">
        <v>54</v>
      </c>
      <c r="M51" s="109">
        <f t="shared" si="19"/>
        <v>-0.4259259259259256</v>
      </c>
      <c r="N51" s="130">
        <f t="shared" si="20"/>
        <v>0</v>
      </c>
      <c r="O51" s="442"/>
      <c r="P51" s="442"/>
      <c r="Q51" s="442"/>
      <c r="R51" s="442"/>
      <c r="S51" s="442"/>
      <c r="T51" s="442"/>
      <c r="U51" s="44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7" t="s">
        <v>382</v>
      </c>
      <c r="C52" s="187" t="s">
        <v>391</v>
      </c>
      <c r="D52" s="108">
        <v>5.03</v>
      </c>
      <c r="E52" s="108"/>
      <c r="F52" s="127"/>
      <c r="G52" s="128"/>
      <c r="H52" s="43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2"/>
      <c r="P52" s="442"/>
      <c r="Q52" s="442"/>
      <c r="R52" s="442"/>
      <c r="S52" s="442"/>
      <c r="T52" s="442"/>
      <c r="U52" s="44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7" t="s">
        <v>418</v>
      </c>
      <c r="C53" s="187" t="s">
        <v>364</v>
      </c>
      <c r="D53" s="108">
        <v>5.03</v>
      </c>
      <c r="E53" s="108"/>
      <c r="F53" s="127"/>
      <c r="G53" s="128"/>
      <c r="H53" s="43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2"/>
      <c r="P53" s="442"/>
      <c r="Q53" s="442"/>
      <c r="R53" s="442"/>
      <c r="S53" s="442"/>
      <c r="T53" s="442"/>
      <c r="U53" s="44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7" t="s">
        <v>418</v>
      </c>
      <c r="C54" s="187" t="s">
        <v>365</v>
      </c>
      <c r="D54" s="108">
        <v>5.03</v>
      </c>
      <c r="E54" s="108"/>
      <c r="F54" s="127"/>
      <c r="G54" s="128"/>
      <c r="H54" s="43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2"/>
      <c r="P54" s="442"/>
      <c r="Q54" s="442"/>
      <c r="R54" s="442"/>
      <c r="S54" s="442"/>
      <c r="T54" s="442"/>
      <c r="U54" s="44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7" t="s">
        <v>418</v>
      </c>
      <c r="C55" s="187" t="s">
        <v>366</v>
      </c>
      <c r="D55" s="108">
        <v>5.03</v>
      </c>
      <c r="E55" s="108"/>
      <c r="F55" s="127"/>
      <c r="G55" s="128"/>
      <c r="H55" s="43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2"/>
      <c r="P55" s="442"/>
      <c r="Q55" s="442"/>
      <c r="R55" s="442"/>
      <c r="S55" s="442"/>
      <c r="T55" s="442"/>
      <c r="U55" s="44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7" t="s">
        <v>418</v>
      </c>
      <c r="C56" s="187" t="s">
        <v>367</v>
      </c>
      <c r="D56" s="108">
        <v>5.03</v>
      </c>
      <c r="E56" s="108"/>
      <c r="F56" s="127"/>
      <c r="G56" s="128"/>
      <c r="H56" s="43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2"/>
      <c r="P56" s="442"/>
      <c r="Q56" s="442"/>
      <c r="R56" s="442"/>
      <c r="S56" s="442"/>
      <c r="T56" s="442"/>
      <c r="U56" s="442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3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46"/>
      <c r="P57" s="446"/>
      <c r="Q57" s="446"/>
      <c r="R57" s="446"/>
      <c r="S57" s="446"/>
      <c r="T57" s="446"/>
      <c r="U57" s="446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3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46"/>
      <c r="P58" s="446"/>
      <c r="Q58" s="446"/>
      <c r="R58" s="446"/>
      <c r="S58" s="446"/>
      <c r="T58" s="446"/>
      <c r="U58" s="446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3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46"/>
      <c r="P59" s="446"/>
      <c r="Q59" s="446"/>
      <c r="R59" s="446"/>
      <c r="S59" s="446"/>
      <c r="T59" s="446"/>
      <c r="U59" s="446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3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46"/>
      <c r="P60" s="446"/>
      <c r="Q60" s="446"/>
      <c r="R60" s="446"/>
      <c r="S60" s="446"/>
      <c r="T60" s="446"/>
      <c r="U60" s="446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3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46"/>
      <c r="P61" s="446"/>
      <c r="Q61" s="446"/>
      <c r="R61" s="446"/>
      <c r="S61" s="446"/>
      <c r="T61" s="446"/>
      <c r="U61" s="446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3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46"/>
      <c r="P62" s="446"/>
      <c r="Q62" s="446"/>
      <c r="R62" s="446"/>
      <c r="S62" s="446"/>
      <c r="T62" s="446"/>
      <c r="U62" s="446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3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46"/>
      <c r="P63" s="446"/>
      <c r="Q63" s="446"/>
      <c r="R63" s="446"/>
      <c r="S63" s="446"/>
      <c r="T63" s="446"/>
      <c r="U63" s="446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3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46"/>
      <c r="P64" s="446"/>
      <c r="Q64" s="446"/>
      <c r="R64" s="446"/>
      <c r="S64" s="446"/>
      <c r="T64" s="446"/>
      <c r="U64" s="446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3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46"/>
      <c r="P65" s="446"/>
      <c r="Q65" s="446"/>
      <c r="R65" s="446"/>
      <c r="S65" s="446"/>
      <c r="T65" s="446"/>
      <c r="U65" s="446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3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46"/>
      <c r="P66" s="446"/>
      <c r="Q66" s="446"/>
      <c r="R66" s="446"/>
      <c r="S66" s="446"/>
      <c r="T66" s="446"/>
      <c r="U66" s="446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3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46"/>
      <c r="P67" s="446"/>
      <c r="Q67" s="446"/>
      <c r="R67" s="446"/>
      <c r="S67" s="446"/>
      <c r="T67" s="446"/>
      <c r="U67" s="446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3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46"/>
      <c r="P68" s="446"/>
      <c r="Q68" s="446"/>
      <c r="R68" s="446"/>
      <c r="S68" s="446"/>
      <c r="T68" s="446"/>
      <c r="U68" s="446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38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46"/>
      <c r="P69" s="446"/>
      <c r="Q69" s="446"/>
      <c r="R69" s="446"/>
      <c r="S69" s="446"/>
      <c r="T69" s="446"/>
      <c r="U69" s="446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3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46"/>
      <c r="P70" s="446"/>
      <c r="Q70" s="446"/>
      <c r="R70" s="446"/>
      <c r="S70" s="446"/>
      <c r="T70" s="446"/>
      <c r="U70" s="446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38">
        <f t="shared" si="11"/>
        <v>0</v>
      </c>
      <c r="I71" s="129"/>
      <c r="J71" s="130"/>
      <c r="K71" s="131"/>
      <c r="L71" s="129"/>
      <c r="M71" s="109"/>
      <c r="N71" s="130"/>
      <c r="O71" s="446"/>
      <c r="P71" s="446"/>
      <c r="Q71" s="446"/>
      <c r="R71" s="446"/>
      <c r="S71" s="446"/>
      <c r="T71" s="446"/>
      <c r="U71" s="446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3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46"/>
      <c r="P72" s="446"/>
      <c r="Q72" s="446"/>
      <c r="R72" s="446"/>
      <c r="S72" s="446"/>
      <c r="T72" s="446"/>
      <c r="U72" s="446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3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46"/>
      <c r="P73" s="446"/>
      <c r="Q73" s="446"/>
      <c r="R73" s="446"/>
      <c r="S73" s="446"/>
      <c r="T73" s="446"/>
      <c r="U73" s="446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3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46"/>
      <c r="P74" s="446"/>
      <c r="Q74" s="446"/>
      <c r="R74" s="446"/>
      <c r="S74" s="446"/>
      <c r="T74" s="446"/>
      <c r="U74" s="446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3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46"/>
      <c r="P75" s="446"/>
      <c r="Q75" s="446"/>
      <c r="R75" s="446"/>
      <c r="S75" s="446"/>
      <c r="T75" s="446"/>
      <c r="U75" s="446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3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46"/>
      <c r="P76" s="446"/>
      <c r="Q76" s="446"/>
      <c r="R76" s="446"/>
      <c r="S76" s="446"/>
      <c r="T76" s="446"/>
      <c r="U76" s="446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3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46"/>
      <c r="P77" s="446"/>
      <c r="Q77" s="446"/>
      <c r="R77" s="446"/>
      <c r="S77" s="446"/>
      <c r="T77" s="446"/>
      <c r="U77" s="446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3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46"/>
      <c r="P78" s="446"/>
      <c r="Q78" s="446"/>
      <c r="R78" s="446"/>
      <c r="S78" s="446"/>
      <c r="T78" s="446"/>
      <c r="U78" s="446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3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46"/>
      <c r="P79" s="446"/>
      <c r="Q79" s="446"/>
      <c r="R79" s="446"/>
      <c r="S79" s="446"/>
      <c r="T79" s="446"/>
      <c r="U79" s="446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3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46"/>
      <c r="P80" s="446"/>
      <c r="Q80" s="446"/>
      <c r="R80" s="446"/>
      <c r="S80" s="446"/>
      <c r="T80" s="446"/>
      <c r="U80" s="446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3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46"/>
      <c r="P81" s="446"/>
      <c r="Q81" s="446"/>
      <c r="R81" s="446"/>
      <c r="S81" s="446"/>
      <c r="T81" s="446"/>
      <c r="U81" s="446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3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46"/>
      <c r="P82" s="446"/>
      <c r="Q82" s="446"/>
      <c r="R82" s="446"/>
      <c r="S82" s="446"/>
      <c r="T82" s="446"/>
      <c r="U82" s="446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3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46"/>
      <c r="P83" s="446"/>
      <c r="Q83" s="446"/>
      <c r="R83" s="446"/>
      <c r="S83" s="446"/>
      <c r="T83" s="446"/>
      <c r="U83" s="446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3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46"/>
      <c r="P84" s="446"/>
      <c r="Q84" s="446"/>
      <c r="R84" s="446"/>
      <c r="S84" s="446"/>
      <c r="T84" s="446"/>
      <c r="U84" s="446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3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46"/>
      <c r="P85" s="446"/>
      <c r="Q85" s="446"/>
      <c r="R85" s="446"/>
      <c r="S85" s="446"/>
      <c r="T85" s="446"/>
      <c r="U85" s="446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47" t="s">
        <v>202</v>
      </c>
      <c r="D86" s="143"/>
      <c r="E86" s="143"/>
      <c r="F86" s="144"/>
      <c r="G86" s="145">
        <f>SUM(G29:G85)</f>
        <v>2770</v>
      </c>
      <c r="H86" s="146">
        <f>SUM(H29:H85)</f>
        <v>13970.550000000001</v>
      </c>
      <c r="I86" s="146">
        <f>SUM(I29:I85)</f>
        <v>57</v>
      </c>
      <c r="J86" s="130">
        <f t="array" ref="J86">IF(ISERROR(G86/I86),"",G86/I86)</f>
        <v>48.596491228070178</v>
      </c>
      <c r="K86" s="146">
        <f>SUM(K29:K85)</f>
        <v>74.092592592592595</v>
      </c>
      <c r="L86" s="147"/>
      <c r="M86" s="150">
        <f t="shared" ref="M86:V86" si="34">SUM(M29:M85)</f>
        <v>-17.092592592592588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7" t="s">
        <v>217</v>
      </c>
      <c r="C87" s="126" t="s">
        <v>179</v>
      </c>
      <c r="D87" s="108">
        <v>5.03</v>
      </c>
      <c r="E87" s="108"/>
      <c r="F87" s="127"/>
      <c r="G87" s="128"/>
      <c r="H87" s="43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6" si="37">IF(ISERROR(I87-K87),"",I87-K87)</f>
        <v>0</v>
      </c>
      <c r="N87" s="130">
        <f t="shared" ref="N87:N93" si="38">SUM(O87:U87)</f>
        <v>0</v>
      </c>
      <c r="O87" s="446"/>
      <c r="P87" s="446"/>
      <c r="Q87" s="446"/>
      <c r="R87" s="446"/>
      <c r="S87" s="446"/>
      <c r="T87" s="446"/>
      <c r="U87" s="446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7" t="s">
        <v>217</v>
      </c>
      <c r="C88" s="126" t="s">
        <v>186</v>
      </c>
      <c r="D88" s="108">
        <v>5.03</v>
      </c>
      <c r="E88" s="108"/>
      <c r="F88" s="127"/>
      <c r="G88" s="128"/>
      <c r="H88" s="43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46"/>
      <c r="P88" s="446"/>
      <c r="Q88" s="446"/>
      <c r="R88" s="446"/>
      <c r="S88" s="446"/>
      <c r="T88" s="446"/>
      <c r="U88" s="446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7" t="s">
        <v>217</v>
      </c>
      <c r="C89" s="126" t="s">
        <v>204</v>
      </c>
      <c r="D89" s="108">
        <v>5.03</v>
      </c>
      <c r="E89" s="108"/>
      <c r="F89" s="127"/>
      <c r="G89" s="128"/>
      <c r="H89" s="43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46"/>
      <c r="P89" s="446"/>
      <c r="Q89" s="446"/>
      <c r="R89" s="446"/>
      <c r="S89" s="446"/>
      <c r="T89" s="446"/>
      <c r="U89" s="446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3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46"/>
      <c r="P90" s="446"/>
      <c r="Q90" s="446"/>
      <c r="R90" s="446"/>
      <c r="S90" s="446"/>
      <c r="T90" s="446"/>
      <c r="U90" s="446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3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46"/>
      <c r="P91" s="446"/>
      <c r="Q91" s="446"/>
      <c r="R91" s="446"/>
      <c r="S91" s="446"/>
      <c r="T91" s="446"/>
      <c r="U91" s="446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3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46"/>
      <c r="P92" s="446"/>
      <c r="Q92" s="446"/>
      <c r="R92" s="446"/>
      <c r="S92" s="446"/>
      <c r="T92" s="446"/>
      <c r="U92" s="446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3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46"/>
      <c r="P93" s="446"/>
      <c r="Q93" s="446"/>
      <c r="R93" s="446"/>
      <c r="S93" s="446"/>
      <c r="T93" s="446"/>
      <c r="U93" s="446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3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46"/>
      <c r="P94" s="446"/>
      <c r="Q94" s="446"/>
      <c r="R94" s="446"/>
      <c r="S94" s="446"/>
      <c r="T94" s="446"/>
      <c r="U94" s="446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3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46"/>
      <c r="P95" s="446"/>
      <c r="Q95" s="446"/>
      <c r="R95" s="446"/>
      <c r="S95" s="446"/>
      <c r="T95" s="446"/>
      <c r="U95" s="446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3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46"/>
      <c r="P96" s="446"/>
      <c r="Q96" s="446"/>
      <c r="R96" s="446"/>
      <c r="S96" s="446"/>
      <c r="T96" s="446"/>
      <c r="U96" s="446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3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46"/>
      <c r="P97" s="446"/>
      <c r="Q97" s="446"/>
      <c r="R97" s="446"/>
      <c r="S97" s="446"/>
      <c r="T97" s="446"/>
      <c r="U97" s="446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3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46"/>
      <c r="P98" s="446"/>
      <c r="Q98" s="446"/>
      <c r="R98" s="446"/>
      <c r="S98" s="446"/>
      <c r="T98" s="446"/>
      <c r="U98" s="446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3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46"/>
      <c r="P99" s="446"/>
      <c r="Q99" s="446"/>
      <c r="R99" s="446"/>
      <c r="S99" s="446"/>
      <c r="T99" s="446"/>
      <c r="U99" s="446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3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46"/>
      <c r="P100" s="446"/>
      <c r="Q100" s="446"/>
      <c r="R100" s="446"/>
      <c r="S100" s="446"/>
      <c r="T100" s="446"/>
      <c r="U100" s="446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3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46"/>
      <c r="P101" s="446"/>
      <c r="Q101" s="446"/>
      <c r="R101" s="446"/>
      <c r="S101" s="446"/>
      <c r="T101" s="446"/>
      <c r="U101" s="446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3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46"/>
      <c r="P102" s="446"/>
      <c r="Q102" s="446"/>
      <c r="R102" s="446"/>
      <c r="S102" s="446"/>
      <c r="T102" s="446"/>
      <c r="U102" s="446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7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3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46"/>
      <c r="P103" s="446"/>
      <c r="Q103" s="446"/>
      <c r="R103" s="446"/>
      <c r="S103" s="446"/>
      <c r="T103" s="446"/>
      <c r="U103" s="446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7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3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46"/>
      <c r="P104" s="446"/>
      <c r="Q104" s="446"/>
      <c r="R104" s="446"/>
      <c r="S104" s="446"/>
      <c r="T104" s="446"/>
      <c r="U104" s="446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7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3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46"/>
      <c r="P105" s="446"/>
      <c r="Q105" s="446"/>
      <c r="R105" s="446"/>
      <c r="S105" s="446"/>
      <c r="T105" s="446"/>
      <c r="U105" s="446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7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3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46"/>
      <c r="P106" s="446"/>
      <c r="Q106" s="446"/>
      <c r="R106" s="446"/>
      <c r="S106" s="446"/>
      <c r="T106" s="446"/>
      <c r="U106" s="446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7" t="s">
        <v>393</v>
      </c>
      <c r="C107" s="187" t="s">
        <v>395</v>
      </c>
      <c r="D107" s="108">
        <v>5</v>
      </c>
      <c r="E107" s="108"/>
      <c r="F107" s="127"/>
      <c r="G107" s="128"/>
      <c r="H107" s="43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46"/>
      <c r="P107" s="446"/>
      <c r="Q107" s="446"/>
      <c r="R107" s="446"/>
      <c r="S107" s="446"/>
      <c r="T107" s="446"/>
      <c r="U107" s="446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7" t="s">
        <v>393</v>
      </c>
      <c r="C108" s="187" t="s">
        <v>402</v>
      </c>
      <c r="D108" s="108">
        <v>5</v>
      </c>
      <c r="E108" s="108"/>
      <c r="F108" s="127"/>
      <c r="G108" s="128"/>
      <c r="H108" s="43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46"/>
      <c r="P108" s="446"/>
      <c r="Q108" s="446"/>
      <c r="R108" s="446"/>
      <c r="S108" s="446"/>
      <c r="T108" s="446"/>
      <c r="U108" s="446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7" t="s">
        <v>404</v>
      </c>
      <c r="C109" s="187" t="s">
        <v>405</v>
      </c>
      <c r="D109" s="108">
        <v>5</v>
      </c>
      <c r="E109" s="108"/>
      <c r="F109" s="127"/>
      <c r="G109" s="128"/>
      <c r="H109" s="43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46"/>
      <c r="P109" s="446"/>
      <c r="Q109" s="446"/>
      <c r="R109" s="446"/>
      <c r="S109" s="446"/>
      <c r="T109" s="446"/>
      <c r="U109" s="446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7" t="s">
        <v>492</v>
      </c>
      <c r="C110" s="187" t="s">
        <v>372</v>
      </c>
      <c r="D110" s="108">
        <v>5</v>
      </c>
      <c r="E110" s="108"/>
      <c r="F110" s="127"/>
      <c r="G110" s="128"/>
      <c r="H110" s="43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46"/>
      <c r="P110" s="446"/>
      <c r="Q110" s="446"/>
      <c r="R110" s="446"/>
      <c r="S110" s="446"/>
      <c r="T110" s="446"/>
      <c r="U110" s="446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7" t="s">
        <v>343</v>
      </c>
      <c r="C111" s="126" t="s">
        <v>345</v>
      </c>
      <c r="D111" s="108">
        <v>5</v>
      </c>
      <c r="E111" s="108"/>
      <c r="F111" s="127"/>
      <c r="G111" s="128"/>
      <c r="H111" s="43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46"/>
      <c r="P111" s="446"/>
      <c r="Q111" s="446"/>
      <c r="R111" s="446"/>
      <c r="S111" s="446"/>
      <c r="T111" s="446"/>
      <c r="U111" s="446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37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v>64</v>
      </c>
      <c r="H112" s="438">
        <f t="shared" si="36"/>
        <v>320</v>
      </c>
      <c r="I112" s="129">
        <f>3.5*4+3.5*4+3.5*3</f>
        <v>38.5</v>
      </c>
      <c r="J112" s="130">
        <f t="array" ref="J112">IF(ISERROR(G112/I112),"",G112/I112)</f>
        <v>1.6623376623376624</v>
      </c>
      <c r="K112" s="131">
        <f t="array" ref="K112">IF(ISERROR(G112/L112),"",G112/L112)</f>
        <v>12.8</v>
      </c>
      <c r="L112" s="129">
        <v>5</v>
      </c>
      <c r="M112" s="109">
        <f t="shared" si="37"/>
        <v>25.7</v>
      </c>
      <c r="N112" s="130">
        <f t="shared" si="40"/>
        <v>0</v>
      </c>
      <c r="O112" s="446"/>
      <c r="P112" s="446"/>
      <c r="Q112" s="446"/>
      <c r="R112" s="446"/>
      <c r="S112" s="446"/>
      <c r="T112" s="446"/>
      <c r="U112" s="446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3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46"/>
      <c r="P113" s="446"/>
      <c r="Q113" s="446"/>
      <c r="R113" s="446"/>
      <c r="S113" s="446"/>
      <c r="T113" s="446"/>
      <c r="U113" s="446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3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46"/>
      <c r="P114" s="446"/>
      <c r="Q114" s="446"/>
      <c r="R114" s="446"/>
      <c r="S114" s="446"/>
      <c r="T114" s="446"/>
      <c r="U114" s="446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38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446"/>
      <c r="P115" s="446"/>
      <c r="Q115" s="446"/>
      <c r="R115" s="446"/>
      <c r="S115" s="446"/>
      <c r="T115" s="446"/>
      <c r="U115" s="446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42740</v>
      </c>
      <c r="G116" s="128">
        <f>63+68+90*3</f>
        <v>401</v>
      </c>
      <c r="H116" s="438">
        <f t="shared" si="36"/>
        <v>2005</v>
      </c>
      <c r="I116" s="129">
        <f>6.5*4+6.5*4</f>
        <v>52</v>
      </c>
      <c r="J116" s="130">
        <f t="array" ref="J116">IF(ISERROR(G116/I116),"",G116/I116)</f>
        <v>7.7115384615384617</v>
      </c>
      <c r="K116" s="131">
        <f t="array" ref="K116">IF(ISERROR(G116/L116),"",G116/L116)</f>
        <v>16.708333333333332</v>
      </c>
      <c r="L116" s="129">
        <v>24</v>
      </c>
      <c r="M116" s="109">
        <f t="shared" si="37"/>
        <v>35.291666666666671</v>
      </c>
      <c r="N116" s="130"/>
      <c r="O116" s="446"/>
      <c r="P116" s="446"/>
      <c r="Q116" s="446"/>
      <c r="R116" s="446"/>
      <c r="S116" s="446"/>
      <c r="T116" s="446"/>
      <c r="U116" s="446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3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46"/>
      <c r="P117" s="446"/>
      <c r="Q117" s="446"/>
      <c r="R117" s="446"/>
      <c r="S117" s="446"/>
      <c r="T117" s="446"/>
      <c r="U117" s="446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38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46"/>
      <c r="P118" s="446"/>
      <c r="Q118" s="446"/>
      <c r="R118" s="446"/>
      <c r="S118" s="446"/>
      <c r="T118" s="446"/>
      <c r="U118" s="446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3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46"/>
      <c r="P119" s="446"/>
      <c r="Q119" s="446"/>
      <c r="R119" s="446"/>
      <c r="S119" s="446"/>
      <c r="T119" s="446"/>
      <c r="U119" s="446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38">
        <f t="shared" si="36"/>
        <v>0</v>
      </c>
      <c r="I120" s="129"/>
      <c r="J120" s="130" t="str">
        <f t="array" ref="J120">IF(ISERROR(G120/I120),"",G120/I120)</f>
        <v/>
      </c>
      <c r="K120" s="43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46"/>
      <c r="P120" s="446"/>
      <c r="Q120" s="446"/>
      <c r="R120" s="446"/>
      <c r="S120" s="446"/>
      <c r="T120" s="446"/>
      <c r="U120" s="446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447" t="s">
        <v>202</v>
      </c>
      <c r="D121" s="143"/>
      <c r="E121" s="143"/>
      <c r="F121" s="144"/>
      <c r="G121" s="145">
        <f>SUM(G87:G120)</f>
        <v>465</v>
      </c>
      <c r="H121" s="146">
        <f>SUM(H87:H120)</f>
        <v>2325</v>
      </c>
      <c r="I121" s="146">
        <f>SUM(I87:I120)</f>
        <v>90.5</v>
      </c>
      <c r="J121" s="130">
        <f t="array" ref="J121">IF(ISERROR(G121/I121),"",G121/I121)</f>
        <v>5.1381215469613259</v>
      </c>
      <c r="K121" s="146">
        <f>SUM(K87:K120)</f>
        <v>29.508333333333333</v>
      </c>
      <c r="L121" s="147"/>
      <c r="M121" s="150">
        <f t="shared" ref="M121:V121" si="50">SUM(M87:M120)</f>
        <v>60.991666666666674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38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46"/>
      <c r="P122" s="446"/>
      <c r="Q122" s="446"/>
      <c r="R122" s="446"/>
      <c r="S122" s="446"/>
      <c r="T122" s="446"/>
      <c r="U122" s="446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3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46"/>
      <c r="P123" s="446"/>
      <c r="Q123" s="446"/>
      <c r="R123" s="446"/>
      <c r="S123" s="446"/>
      <c r="T123" s="446"/>
      <c r="U123" s="446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3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46"/>
      <c r="P124" s="446"/>
      <c r="Q124" s="446"/>
      <c r="R124" s="446"/>
      <c r="S124" s="446"/>
      <c r="T124" s="446"/>
      <c r="U124" s="446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3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46"/>
      <c r="P125" s="446"/>
      <c r="Q125" s="446"/>
      <c r="R125" s="446"/>
      <c r="S125" s="446"/>
      <c r="T125" s="446"/>
      <c r="U125" s="446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43" t="s">
        <v>203</v>
      </c>
      <c r="D126" s="108">
        <v>5.03</v>
      </c>
      <c r="E126" s="108"/>
      <c r="F126" s="127"/>
      <c r="G126" s="128"/>
      <c r="H126" s="43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46"/>
      <c r="P126" s="446"/>
      <c r="Q126" s="446"/>
      <c r="R126" s="446"/>
      <c r="S126" s="446"/>
      <c r="T126" s="446"/>
      <c r="U126" s="446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3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46"/>
      <c r="P127" s="446"/>
      <c r="Q127" s="446"/>
      <c r="R127" s="446"/>
      <c r="S127" s="446"/>
      <c r="T127" s="446"/>
      <c r="U127" s="446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3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46"/>
      <c r="P128" s="446"/>
      <c r="Q128" s="446"/>
      <c r="R128" s="446"/>
      <c r="S128" s="446"/>
      <c r="T128" s="446"/>
      <c r="U128" s="446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43" t="s">
        <v>228</v>
      </c>
      <c r="D129" s="108">
        <v>5.03</v>
      </c>
      <c r="E129" s="108"/>
      <c r="F129" s="127"/>
      <c r="G129" s="128"/>
      <c r="H129" s="43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46"/>
      <c r="P129" s="446"/>
      <c r="Q129" s="446"/>
      <c r="R129" s="446"/>
      <c r="S129" s="446"/>
      <c r="T129" s="446"/>
      <c r="U129" s="446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43" t="s">
        <v>212</v>
      </c>
      <c r="D130" s="108">
        <v>5.03</v>
      </c>
      <c r="E130" s="108"/>
      <c r="F130" s="127"/>
      <c r="G130" s="128"/>
      <c r="H130" s="43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46"/>
      <c r="P130" s="446"/>
      <c r="Q130" s="446"/>
      <c r="R130" s="446"/>
      <c r="S130" s="446"/>
      <c r="T130" s="446"/>
      <c r="U130" s="446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43" t="s">
        <v>203</v>
      </c>
      <c r="D131" s="108">
        <v>5.03</v>
      </c>
      <c r="E131" s="108"/>
      <c r="F131" s="127"/>
      <c r="G131" s="128"/>
      <c r="H131" s="43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46"/>
      <c r="P131" s="446"/>
      <c r="Q131" s="446"/>
      <c r="R131" s="446"/>
      <c r="S131" s="446"/>
      <c r="T131" s="446"/>
      <c r="U131" s="446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43" t="s">
        <v>186</v>
      </c>
      <c r="D132" s="108">
        <v>5.03</v>
      </c>
      <c r="E132" s="108"/>
      <c r="F132" s="127"/>
      <c r="G132" s="128"/>
      <c r="H132" s="43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46"/>
      <c r="P132" s="446"/>
      <c r="Q132" s="446"/>
      <c r="R132" s="446"/>
      <c r="S132" s="446"/>
      <c r="T132" s="446"/>
      <c r="U132" s="446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43" t="s">
        <v>228</v>
      </c>
      <c r="D133" s="108">
        <v>5.03</v>
      </c>
      <c r="E133" s="108"/>
      <c r="F133" s="127"/>
      <c r="G133" s="128"/>
      <c r="H133" s="43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46"/>
      <c r="P133" s="446"/>
      <c r="Q133" s="446"/>
      <c r="R133" s="446"/>
      <c r="S133" s="446"/>
      <c r="T133" s="446"/>
      <c r="U133" s="446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43" t="s">
        <v>199</v>
      </c>
      <c r="D134" s="108">
        <v>5.03</v>
      </c>
      <c r="E134" s="108"/>
      <c r="F134" s="127"/>
      <c r="G134" s="128"/>
      <c r="H134" s="43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46"/>
      <c r="P134" s="446"/>
      <c r="Q134" s="446"/>
      <c r="R134" s="446"/>
      <c r="S134" s="446"/>
      <c r="T134" s="446"/>
      <c r="U134" s="446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3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46"/>
      <c r="P135" s="446"/>
      <c r="Q135" s="446"/>
      <c r="R135" s="446"/>
      <c r="S135" s="446"/>
      <c r="T135" s="446"/>
      <c r="U135" s="446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42740</v>
      </c>
      <c r="G136" s="128">
        <f>90*9+80</f>
        <v>890</v>
      </c>
      <c r="H136" s="438">
        <f t="shared" si="51"/>
        <v>4503.3999999999996</v>
      </c>
      <c r="I136" s="129">
        <f>11*3</f>
        <v>33</v>
      </c>
      <c r="J136" s="130">
        <f t="array" ref="J136">IF(ISERROR(G136/I136),"",G136/I136)</f>
        <v>26.969696969696969</v>
      </c>
      <c r="K136" s="131">
        <f t="array" ref="K136">IF(ISERROR(G136/L136),"",G136/L136)</f>
        <v>38.695652173913047</v>
      </c>
      <c r="L136" s="129">
        <v>23</v>
      </c>
      <c r="M136" s="109">
        <f t="shared" si="52"/>
        <v>-5.6956521739130466</v>
      </c>
      <c r="N136" s="130">
        <f t="shared" si="53"/>
        <v>0</v>
      </c>
      <c r="O136" s="446"/>
      <c r="P136" s="446"/>
      <c r="Q136" s="446"/>
      <c r="R136" s="446"/>
      <c r="S136" s="446"/>
      <c r="T136" s="446"/>
      <c r="U136" s="446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447" t="s">
        <v>202</v>
      </c>
      <c r="D137" s="143"/>
      <c r="E137" s="143"/>
      <c r="F137" s="144"/>
      <c r="G137" s="145">
        <f>SUM(G122:G136)</f>
        <v>890</v>
      </c>
      <c r="H137" s="146">
        <f>SUM(H122:H136)</f>
        <v>4503.3999999999996</v>
      </c>
      <c r="I137" s="146">
        <f>SUM(I122:I136)</f>
        <v>33</v>
      </c>
      <c r="J137" s="130">
        <f t="array" ref="J137">IF(ISERROR(G137/I137),"",G137/I137)</f>
        <v>26.969696969696969</v>
      </c>
      <c r="K137" s="146">
        <f>SUM(K122:K136)</f>
        <v>38.695652173913047</v>
      </c>
      <c r="L137" s="147"/>
      <c r="M137" s="150">
        <f>SUM(M122:M136)</f>
        <v>-5.6956521739130466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3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46"/>
      <c r="P138" s="446"/>
      <c r="Q138" s="446"/>
      <c r="R138" s="446"/>
      <c r="S138" s="446"/>
      <c r="T138" s="446"/>
      <c r="U138" s="446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3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46"/>
      <c r="P139" s="446"/>
      <c r="Q139" s="446"/>
      <c r="R139" s="446"/>
      <c r="S139" s="446"/>
      <c r="T139" s="446"/>
      <c r="U139" s="446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3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46"/>
      <c r="P140" s="446"/>
      <c r="Q140" s="446"/>
      <c r="R140" s="446"/>
      <c r="S140" s="446"/>
      <c r="T140" s="446"/>
      <c r="U140" s="446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3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46"/>
      <c r="P141" s="446"/>
      <c r="Q141" s="446"/>
      <c r="R141" s="446"/>
      <c r="S141" s="446"/>
      <c r="T141" s="446"/>
      <c r="U141" s="446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3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46"/>
      <c r="P142" s="446"/>
      <c r="Q142" s="446"/>
      <c r="R142" s="446"/>
      <c r="S142" s="446"/>
      <c r="T142" s="446"/>
      <c r="U142" s="446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3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46"/>
      <c r="P143" s="446"/>
      <c r="Q143" s="446"/>
      <c r="R143" s="446"/>
      <c r="S143" s="446"/>
      <c r="T143" s="446"/>
      <c r="U143" s="446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>
        <v>42737</v>
      </c>
      <c r="G144" s="128">
        <v>94</v>
      </c>
      <c r="H144" s="438">
        <f t="shared" si="55"/>
        <v>473.76</v>
      </c>
      <c r="I144" s="129">
        <f>2*4</f>
        <v>8</v>
      </c>
      <c r="J144" s="130">
        <f t="array" ref="J144">IF(ISERROR(G144/I144),"",G144/I144)</f>
        <v>11.75</v>
      </c>
      <c r="K144" s="131">
        <f t="array" ref="K144">IF(ISERROR(G144/L144),"",G144/L144)</f>
        <v>6.9629629629629628</v>
      </c>
      <c r="L144" s="129">
        <v>13.5</v>
      </c>
      <c r="M144" s="109">
        <f t="shared" ref="M144:M146" si="59">IF(ISERROR(I144-K144),"",I144-K144)</f>
        <v>1.0370370370370372</v>
      </c>
      <c r="N144" s="130"/>
      <c r="O144" s="446"/>
      <c r="P144" s="446"/>
      <c r="Q144" s="446"/>
      <c r="R144" s="446"/>
      <c r="S144" s="446"/>
      <c r="T144" s="446"/>
      <c r="U144" s="446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38">
        <f t="shared" si="55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9"/>
        <v>0</v>
      </c>
      <c r="N145" s="130"/>
      <c r="O145" s="446"/>
      <c r="P145" s="446"/>
      <c r="Q145" s="446"/>
      <c r="R145" s="446"/>
      <c r="S145" s="446"/>
      <c r="T145" s="446"/>
      <c r="U145" s="446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f>90+53+89+90*3</f>
        <v>502</v>
      </c>
      <c r="H146" s="438">
        <f t="shared" si="55"/>
        <v>2530.08</v>
      </c>
      <c r="I146" s="129">
        <f>9*4</f>
        <v>36</v>
      </c>
      <c r="J146" s="130">
        <f t="array" ref="J146">IF(ISERROR(G146/I146),"",G146/I146)</f>
        <v>13.944444444444445</v>
      </c>
      <c r="K146" s="131">
        <f t="array" ref="K146">IF(ISERROR(G146/L146),"",G146/L146)</f>
        <v>37.185185185185183</v>
      </c>
      <c r="L146" s="129">
        <v>13.5</v>
      </c>
      <c r="M146" s="109">
        <f t="shared" si="59"/>
        <v>-1.1851851851851833</v>
      </c>
      <c r="N146" s="130"/>
      <c r="O146" s="446"/>
      <c r="P146" s="446"/>
      <c r="Q146" s="446"/>
      <c r="R146" s="446"/>
      <c r="S146" s="446"/>
      <c r="T146" s="446"/>
      <c r="U146" s="446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3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46"/>
      <c r="P147" s="446"/>
      <c r="Q147" s="446"/>
      <c r="R147" s="446"/>
      <c r="S147" s="446"/>
      <c r="T147" s="446"/>
      <c r="U147" s="446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447" t="s">
        <v>202</v>
      </c>
      <c r="D148" s="143"/>
      <c r="E148" s="143"/>
      <c r="F148" s="144"/>
      <c r="G148" s="145">
        <f>SUM(G138:G147)</f>
        <v>596</v>
      </c>
      <c r="H148" s="146">
        <f>SUM(H138:H147)</f>
        <v>3003.84</v>
      </c>
      <c r="I148" s="146">
        <f>SUM(I138:I147)</f>
        <v>44</v>
      </c>
      <c r="J148" s="130">
        <f t="array" ref="J148">IF(ISERROR(G148/I148),"",G148/I148)</f>
        <v>13.545454545454545</v>
      </c>
      <c r="K148" s="146">
        <f>SUM(K138:K147)</f>
        <v>44.148148148148145</v>
      </c>
      <c r="L148" s="147"/>
      <c r="M148" s="150">
        <f>SUM(M138:M147)</f>
        <v>-0.14814814814814614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44"/>
      <c r="D149" s="108">
        <v>3.65</v>
      </c>
      <c r="E149" s="108"/>
      <c r="F149" s="153"/>
      <c r="G149" s="128"/>
      <c r="H149" s="438">
        <f t="shared" ref="H149:H162" si="64">D149*G149</f>
        <v>0</v>
      </c>
      <c r="I149" s="129"/>
      <c r="J149" s="130" t="str">
        <f t="array" ref="J149">IF(ISERROR(G149/I149),"",G149/I149)</f>
        <v/>
      </c>
      <c r="K149" s="438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46"/>
      <c r="P149" s="446"/>
      <c r="Q149" s="446"/>
      <c r="R149" s="446"/>
      <c r="S149" s="446"/>
      <c r="T149" s="446"/>
      <c r="U149" s="446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44"/>
      <c r="D150" s="108">
        <v>6.58</v>
      </c>
      <c r="E150" s="108"/>
      <c r="F150" s="127">
        <v>42738</v>
      </c>
      <c r="G150" s="128">
        <f>36+36</f>
        <v>72</v>
      </c>
      <c r="H150" s="438">
        <f t="shared" si="64"/>
        <v>473.76</v>
      </c>
      <c r="I150" s="129">
        <f>1*3</f>
        <v>3</v>
      </c>
      <c r="J150" s="130">
        <f t="array" ref="J150">IF(ISERROR(G150/I150),"",G150/I150)</f>
        <v>24</v>
      </c>
      <c r="K150" s="131">
        <f t="array" ref="K150">IF(ISERROR(G150/L150),"",G150/L150)</f>
        <v>14.4</v>
      </c>
      <c r="L150" s="129">
        <v>5</v>
      </c>
      <c r="M150" s="109">
        <f t="shared" si="65"/>
        <v>-11.4</v>
      </c>
      <c r="N150" s="130">
        <f t="shared" si="66"/>
        <v>0</v>
      </c>
      <c r="O150" s="446"/>
      <c r="P150" s="446"/>
      <c r="Q150" s="446"/>
      <c r="R150" s="446"/>
      <c r="S150" s="446"/>
      <c r="T150" s="446"/>
      <c r="U150" s="446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44"/>
      <c r="D151" s="108">
        <v>7.8</v>
      </c>
      <c r="E151" s="108"/>
      <c r="F151" s="127">
        <v>42737</v>
      </c>
      <c r="G151" s="128">
        <f>22+32</f>
        <v>54</v>
      </c>
      <c r="H151" s="438">
        <f t="shared" si="64"/>
        <v>421.2</v>
      </c>
      <c r="I151" s="129">
        <v>3</v>
      </c>
      <c r="J151" s="130">
        <f t="array" ref="J151">IF(ISERROR(G151/I151),"",G151/I151)</f>
        <v>18</v>
      </c>
      <c r="K151" s="131">
        <f t="array" ref="K151">IF(ISERROR(G151/L151),"",G151/L151)</f>
        <v>11.739130434782609</v>
      </c>
      <c r="L151" s="129">
        <v>4.5999999999999996</v>
      </c>
      <c r="M151" s="109">
        <f t="shared" si="65"/>
        <v>-8.7391304347826093</v>
      </c>
      <c r="N151" s="130">
        <f t="shared" si="66"/>
        <v>0</v>
      </c>
      <c r="O151" s="446"/>
      <c r="P151" s="446"/>
      <c r="Q151" s="446"/>
      <c r="R151" s="446"/>
      <c r="S151" s="446"/>
      <c r="T151" s="446"/>
      <c r="U151" s="446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44"/>
      <c r="D152" s="108">
        <v>4.4000000000000004</v>
      </c>
      <c r="E152" s="108"/>
      <c r="F152" s="127"/>
      <c r="G152" s="128"/>
      <c r="H152" s="438">
        <f t="shared" si="64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5"/>
        <v>0</v>
      </c>
      <c r="N152" s="130">
        <f t="shared" si="66"/>
        <v>0</v>
      </c>
      <c r="O152" s="446"/>
      <c r="P152" s="446"/>
      <c r="Q152" s="446"/>
      <c r="R152" s="446"/>
      <c r="S152" s="446"/>
      <c r="T152" s="446"/>
      <c r="U152" s="446"/>
      <c r="V152" s="132">
        <f t="shared" si="67"/>
        <v>0</v>
      </c>
      <c r="W152" s="133" t="str">
        <f t="shared" si="63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38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46"/>
      <c r="P153" s="446"/>
      <c r="Q153" s="446"/>
      <c r="R153" s="446"/>
      <c r="S153" s="446"/>
      <c r="T153" s="446"/>
      <c r="U153" s="446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44" t="s">
        <v>239</v>
      </c>
      <c r="C154" s="444" t="s">
        <v>179</v>
      </c>
      <c r="D154" s="108">
        <v>6.04</v>
      </c>
      <c r="E154" s="108"/>
      <c r="F154" s="127"/>
      <c r="G154" s="128"/>
      <c r="H154" s="438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46"/>
      <c r="P154" s="446"/>
      <c r="Q154" s="446"/>
      <c r="R154" s="446"/>
      <c r="S154" s="446"/>
      <c r="T154" s="446"/>
      <c r="U154" s="446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44" t="s">
        <v>239</v>
      </c>
      <c r="C155" s="444" t="s">
        <v>186</v>
      </c>
      <c r="D155" s="108">
        <v>6.04</v>
      </c>
      <c r="E155" s="108"/>
      <c r="F155" s="127"/>
      <c r="G155" s="128"/>
      <c r="H155" s="438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46"/>
      <c r="P155" s="446"/>
      <c r="Q155" s="446"/>
      <c r="R155" s="446"/>
      <c r="S155" s="446"/>
      <c r="T155" s="446"/>
      <c r="U155" s="446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44" t="s">
        <v>443</v>
      </c>
      <c r="C156" s="444" t="s">
        <v>179</v>
      </c>
      <c r="D156" s="108">
        <v>6</v>
      </c>
      <c r="E156" s="108"/>
      <c r="F156" s="127"/>
      <c r="G156" s="128"/>
      <c r="H156" s="438">
        <f t="shared" si="64"/>
        <v>0</v>
      </c>
      <c r="I156" s="129"/>
      <c r="J156" s="130"/>
      <c r="K156" s="131"/>
      <c r="L156" s="129"/>
      <c r="M156" s="109"/>
      <c r="N156" s="130"/>
      <c r="O156" s="446"/>
      <c r="P156" s="446"/>
      <c r="Q156" s="446"/>
      <c r="R156" s="446"/>
      <c r="S156" s="446"/>
      <c r="T156" s="446"/>
      <c r="U156" s="446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44" t="s">
        <v>443</v>
      </c>
      <c r="C157" s="444" t="s">
        <v>60</v>
      </c>
      <c r="D157" s="108">
        <v>6</v>
      </c>
      <c r="E157" s="108"/>
      <c r="F157" s="127"/>
      <c r="G157" s="128"/>
      <c r="H157" s="438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46"/>
      <c r="P157" s="446"/>
      <c r="Q157" s="446"/>
      <c r="R157" s="446"/>
      <c r="S157" s="446"/>
      <c r="T157" s="446"/>
      <c r="U157" s="446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37" t="s">
        <v>240</v>
      </c>
      <c r="C158" s="126"/>
      <c r="D158" s="108">
        <v>7.3</v>
      </c>
      <c r="E158" s="108"/>
      <c r="F158" s="127"/>
      <c r="G158" s="128"/>
      <c r="H158" s="438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46"/>
      <c r="P158" s="446"/>
      <c r="Q158" s="446"/>
      <c r="R158" s="446"/>
      <c r="S158" s="446"/>
      <c r="T158" s="446"/>
      <c r="U158" s="446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37" t="s">
        <v>241</v>
      </c>
      <c r="C159" s="126"/>
      <c r="D159" s="108">
        <f>78*120/1000</f>
        <v>9.36</v>
      </c>
      <c r="E159" s="108"/>
      <c r="F159" s="127"/>
      <c r="G159" s="128"/>
      <c r="H159" s="438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46"/>
      <c r="P159" s="446"/>
      <c r="Q159" s="446"/>
      <c r="R159" s="446"/>
      <c r="S159" s="446"/>
      <c r="T159" s="446"/>
      <c r="U159" s="446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37" t="s">
        <v>242</v>
      </c>
      <c r="C160" s="126"/>
      <c r="D160" s="108">
        <v>4.5</v>
      </c>
      <c r="E160" s="108"/>
      <c r="F160" s="127"/>
      <c r="G160" s="128"/>
      <c r="H160" s="438">
        <f t="shared" si="64"/>
        <v>0</v>
      </c>
      <c r="I160" s="129"/>
      <c r="J160" s="130"/>
      <c r="K160" s="131"/>
      <c r="L160" s="129"/>
      <c r="M160" s="109"/>
      <c r="N160" s="130"/>
      <c r="O160" s="446"/>
      <c r="P160" s="446"/>
      <c r="Q160" s="446"/>
      <c r="R160" s="446"/>
      <c r="S160" s="446"/>
      <c r="T160" s="446"/>
      <c r="U160" s="446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37" t="s">
        <v>243</v>
      </c>
      <c r="C161" s="126"/>
      <c r="D161" s="108">
        <v>4.5</v>
      </c>
      <c r="E161" s="108"/>
      <c r="F161" s="127"/>
      <c r="G161" s="128"/>
      <c r="H161" s="438">
        <f t="shared" si="64"/>
        <v>0</v>
      </c>
      <c r="I161" s="129"/>
      <c r="J161" s="130"/>
      <c r="K161" s="131"/>
      <c r="L161" s="129"/>
      <c r="M161" s="109"/>
      <c r="N161" s="130"/>
      <c r="O161" s="446"/>
      <c r="P161" s="446"/>
      <c r="Q161" s="446"/>
      <c r="R161" s="446"/>
      <c r="S161" s="446"/>
      <c r="T161" s="446"/>
      <c r="U161" s="446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38">
        <f t="shared" si="64"/>
        <v>0</v>
      </c>
      <c r="I162" s="129"/>
      <c r="J162" s="130"/>
      <c r="K162" s="131"/>
      <c r="L162" s="129"/>
      <c r="M162" s="109"/>
      <c r="N162" s="130"/>
      <c r="O162" s="446"/>
      <c r="P162" s="446"/>
      <c r="Q162" s="446"/>
      <c r="R162" s="446"/>
      <c r="S162" s="446"/>
      <c r="T162" s="446"/>
      <c r="U162" s="446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447" t="s">
        <v>202</v>
      </c>
      <c r="D163" s="143"/>
      <c r="E163" s="143"/>
      <c r="F163" s="144"/>
      <c r="G163" s="145">
        <f>SUM(G149:G161)</f>
        <v>126</v>
      </c>
      <c r="H163" s="146">
        <f>SUM(H149:H159)</f>
        <v>894.96</v>
      </c>
      <c r="I163" s="146">
        <f>SUM(I149:I161)</f>
        <v>6</v>
      </c>
      <c r="J163" s="130">
        <f t="array" ref="J163">IF(ISERROR(G163/I163),"",G163/I163)</f>
        <v>21</v>
      </c>
      <c r="K163" s="146">
        <f>SUM(K149:K159)</f>
        <v>26.139130434782608</v>
      </c>
      <c r="L163" s="147"/>
      <c r="M163" s="150">
        <f t="shared" ref="M163:V163" si="76">SUM(M149:M159)</f>
        <v>-20.139130434782608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5975</v>
      </c>
      <c r="H164" s="154">
        <f>SUM(H28,H86,H121,H137,H148,H163)</f>
        <v>30379.84</v>
      </c>
      <c r="I164" s="154">
        <f>SUM(I28,I86,I121,I137,I148,I163)</f>
        <v>294.5</v>
      </c>
      <c r="J164" s="155">
        <f t="array" ref="J164">IF(ISERROR(G164/I164),"",G164/I164)</f>
        <v>20.288624787775891</v>
      </c>
      <c r="K164" s="154">
        <f>SUM(K28,K86,K121,K137,K148,K163)</f>
        <v>280.0507684474756</v>
      </c>
      <c r="L164" s="155">
        <f>IF(ISERROR(G164/K164),"",G164/K164)</f>
        <v>21.335417264247322</v>
      </c>
      <c r="M164" s="154">
        <f t="shared" ref="M164:AA164" si="77">SUM(M28,M86,M121,M137,M148,M163)</f>
        <v>14.449231552524402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3" t="s">
        <v>476</v>
      </c>
      <c r="B165" s="440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440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440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440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440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440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440">
        <f>G164</f>
        <v>5975</v>
      </c>
      <c r="C171" s="638" t="s">
        <v>269</v>
      </c>
      <c r="D171" s="639"/>
      <c r="E171" s="631">
        <f>H164</f>
        <v>30379.84</v>
      </c>
      <c r="F171" s="631"/>
      <c r="G171" s="631" t="s">
        <v>270</v>
      </c>
      <c r="H171" s="631"/>
      <c r="I171" s="640">
        <f>L164</f>
        <v>21.335417264247322</v>
      </c>
      <c r="J171" s="640"/>
      <c r="K171" s="628" t="s">
        <v>271</v>
      </c>
      <c r="L171" s="628"/>
      <c r="M171" s="640">
        <f>J164</f>
        <v>20.288624787775891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440">
        <f>I164+C170</f>
        <v>298.5</v>
      </c>
      <c r="C172" s="641" t="s">
        <v>251</v>
      </c>
      <c r="D172" s="642"/>
      <c r="E172" s="643">
        <f>K164+I170</f>
        <v>321.0507684474756</v>
      </c>
      <c r="F172" s="643"/>
      <c r="G172" s="631" t="s">
        <v>274</v>
      </c>
      <c r="H172" s="631"/>
      <c r="I172" s="640">
        <f>B172-E172</f>
        <v>-22.550768447475605</v>
      </c>
      <c r="J172" s="640"/>
      <c r="K172" s="628" t="s">
        <v>275</v>
      </c>
      <c r="L172" s="628"/>
      <c r="M172" s="632">
        <f>IF(ISERROR(I172/E172),"",I172/E172)</f>
        <v>-7.0240506062407837E-2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440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542</v>
      </c>
      <c r="H177" s="444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customHeight="1">
      <c r="A178" s="299">
        <v>30100030</v>
      </c>
      <c r="B178" s="437" t="s">
        <v>178</v>
      </c>
      <c r="C178" s="126" t="s">
        <v>179</v>
      </c>
      <c r="D178" s="108">
        <v>5.03</v>
      </c>
      <c r="E178" s="108"/>
      <c r="F178" s="127">
        <v>42740</v>
      </c>
      <c r="G178" s="128">
        <f>108+84+108</f>
        <v>300</v>
      </c>
      <c r="H178" s="438">
        <f t="shared" ref="H178:H187" si="78">D178*G178</f>
        <v>1509</v>
      </c>
      <c r="I178" s="129">
        <v>11.5</v>
      </c>
      <c r="J178" s="130">
        <f t="array" ref="J178">IF(ISERROR(G178/I178),"",G178/I178)</f>
        <v>26.086956521739129</v>
      </c>
      <c r="K178" s="131">
        <f t="array" ref="K178">IF(ISERROR(G178/L178),"",G178/L178)</f>
        <v>18.75</v>
      </c>
      <c r="L178" s="129">
        <v>16</v>
      </c>
      <c r="M178" s="109">
        <f t="shared" ref="M178:M187" si="79">IF(ISERROR(I178-K178),"",I178-K178)</f>
        <v>-7.25</v>
      </c>
      <c r="N178" s="130">
        <f>SUM(O178:U178)</f>
        <v>0</v>
      </c>
      <c r="O178" s="446"/>
      <c r="P178" s="446"/>
      <c r="Q178" s="446"/>
      <c r="R178" s="446"/>
      <c r="S178" s="446"/>
      <c r="T178" s="446"/>
      <c r="U178" s="446"/>
      <c r="V178" s="132">
        <f t="shared" ref="V178:V183" si="80">SUM(X178:AA178)</f>
        <v>0</v>
      </c>
      <c r="W178" s="133">
        <f t="shared" ref="W178:W183" si="81">IF(ISERROR(V178/G178),"",V178/G178)</f>
        <v>0</v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38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46"/>
      <c r="P179" s="446"/>
      <c r="Q179" s="446"/>
      <c r="R179" s="446"/>
      <c r="S179" s="446"/>
      <c r="T179" s="446"/>
      <c r="U179" s="446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38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46"/>
      <c r="P180" s="446"/>
      <c r="Q180" s="446"/>
      <c r="R180" s="446"/>
      <c r="S180" s="446"/>
      <c r="T180" s="446"/>
      <c r="U180" s="446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38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9"/>
        <v>0</v>
      </c>
      <c r="N181" s="130">
        <f t="shared" si="82"/>
        <v>0</v>
      </c>
      <c r="O181" s="446"/>
      <c r="P181" s="446"/>
      <c r="Q181" s="446"/>
      <c r="R181" s="446"/>
      <c r="S181" s="446"/>
      <c r="T181" s="446"/>
      <c r="U181" s="446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38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46"/>
      <c r="P182" s="446"/>
      <c r="Q182" s="446"/>
      <c r="R182" s="446"/>
      <c r="S182" s="446"/>
      <c r="T182" s="446"/>
      <c r="U182" s="446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58"/>
      <c r="G183" s="137"/>
      <c r="H183" s="438">
        <f t="shared" si="78"/>
        <v>0</v>
      </c>
      <c r="I183" s="138"/>
      <c r="J183" s="130" t="str">
        <f t="array" ref="J183">IF(ISERROR(G183/I183),"",G183/I183)</f>
        <v/>
      </c>
      <c r="K183" s="131">
        <f t="array" ref="K183">IF(ISERROR(G183/L183),"",G183/L183)</f>
        <v>0</v>
      </c>
      <c r="L183" s="129">
        <v>19</v>
      </c>
      <c r="M183" s="109">
        <f t="shared" si="79"/>
        <v>0</v>
      </c>
      <c r="N183" s="130">
        <f t="shared" si="82"/>
        <v>0</v>
      </c>
      <c r="O183" s="446"/>
      <c r="P183" s="446"/>
      <c r="Q183" s="446"/>
      <c r="R183" s="446"/>
      <c r="S183" s="446"/>
      <c r="T183" s="446"/>
      <c r="U183" s="446"/>
      <c r="V183" s="132">
        <f t="shared" si="80"/>
        <v>0</v>
      </c>
      <c r="W183" s="133" t="str">
        <f t="shared" si="81"/>
        <v/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38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46"/>
      <c r="P184" s="446"/>
      <c r="Q184" s="446"/>
      <c r="R184" s="446"/>
      <c r="S184" s="446"/>
      <c r="T184" s="446"/>
      <c r="U184" s="446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38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46"/>
      <c r="P185" s="446"/>
      <c r="Q185" s="446"/>
      <c r="R185" s="446"/>
      <c r="S185" s="446"/>
      <c r="T185" s="446"/>
      <c r="U185" s="446"/>
      <c r="V185" s="132"/>
      <c r="W185" s="133"/>
      <c r="X185" s="132"/>
      <c r="Y185" s="132"/>
      <c r="Z185" s="132"/>
      <c r="AA185" s="132"/>
    </row>
    <row r="186" spans="1:27" ht="20.10000000000000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>
        <v>42739</v>
      </c>
      <c r="G186" s="128">
        <f>100*7+68</f>
        <v>768</v>
      </c>
      <c r="H186" s="438">
        <f t="shared" si="78"/>
        <v>3870.7200000000003</v>
      </c>
      <c r="I186" s="438">
        <f>11.5*5</f>
        <v>57.5</v>
      </c>
      <c r="J186" s="130">
        <f t="array" ref="J186">IF(ISERROR(G186/I186),"",G186/I186)</f>
        <v>13.356521739130434</v>
      </c>
      <c r="K186" s="131">
        <f t="array" ref="K186">IF(ISERROR(G186/L186),"",G186/L186)</f>
        <v>45.176470588235297</v>
      </c>
      <c r="L186" s="129">
        <v>17</v>
      </c>
      <c r="M186" s="109">
        <f t="shared" si="79"/>
        <v>12.323529411764703</v>
      </c>
      <c r="N186" s="130">
        <f t="shared" si="82"/>
        <v>0</v>
      </c>
      <c r="O186" s="446"/>
      <c r="P186" s="446"/>
      <c r="Q186" s="446"/>
      <c r="R186" s="446"/>
      <c r="S186" s="446"/>
      <c r="T186" s="446"/>
      <c r="U186" s="446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38">
        <f t="shared" si="78"/>
        <v>0</v>
      </c>
      <c r="I187" s="43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9"/>
        <v>0</v>
      </c>
      <c r="N187" s="130">
        <f t="shared" si="82"/>
        <v>0</v>
      </c>
      <c r="O187" s="446"/>
      <c r="P187" s="446"/>
      <c r="Q187" s="446"/>
      <c r="R187" s="446"/>
      <c r="S187" s="446"/>
      <c r="T187" s="446"/>
      <c r="U187" s="446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3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46"/>
      <c r="P188" s="446"/>
      <c r="Q188" s="446"/>
      <c r="R188" s="446"/>
      <c r="S188" s="446"/>
      <c r="T188" s="446"/>
      <c r="U188" s="446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3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46"/>
      <c r="P189" s="446"/>
      <c r="Q189" s="446"/>
      <c r="R189" s="446"/>
      <c r="S189" s="446"/>
      <c r="T189" s="446"/>
      <c r="U189" s="446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38">
        <f t="shared" ref="H190:H198" si="83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4">IF(ISERROR(I190-K190),"",I190-K190)</f>
        <v>0</v>
      </c>
      <c r="N190" s="130">
        <f t="shared" ref="N190:N192" si="85">SUM(O190:U190)</f>
        <v>0</v>
      </c>
      <c r="O190" s="446"/>
      <c r="P190" s="446"/>
      <c r="Q190" s="446"/>
      <c r="R190" s="446"/>
      <c r="S190" s="446"/>
      <c r="T190" s="446"/>
      <c r="U190" s="446"/>
      <c r="V190" s="132">
        <f t="shared" ref="V190:V192" si="86">SUM(X190:AA190)</f>
        <v>0</v>
      </c>
      <c r="W190" s="133" t="str">
        <f t="shared" ref="W190:W192" si="87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38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46"/>
      <c r="P191" s="446"/>
      <c r="Q191" s="446"/>
      <c r="R191" s="446"/>
      <c r="S191" s="446"/>
      <c r="T191" s="446"/>
      <c r="U191" s="446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38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46"/>
      <c r="P192" s="446"/>
      <c r="Q192" s="446"/>
      <c r="R192" s="446"/>
      <c r="S192" s="446"/>
      <c r="T192" s="446"/>
      <c r="U192" s="446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44" t="s">
        <v>190</v>
      </c>
      <c r="D193" s="108">
        <v>4.8</v>
      </c>
      <c r="E193" s="108"/>
      <c r="F193" s="127"/>
      <c r="G193" s="128"/>
      <c r="H193" s="438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46"/>
      <c r="P193" s="446"/>
      <c r="Q193" s="446"/>
      <c r="R193" s="446"/>
      <c r="S193" s="446"/>
      <c r="T193" s="446"/>
      <c r="U193" s="446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44" t="s">
        <v>187</v>
      </c>
      <c r="D194" s="108">
        <v>4.8</v>
      </c>
      <c r="E194" s="108"/>
      <c r="F194" s="127"/>
      <c r="G194" s="128"/>
      <c r="H194" s="438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46"/>
      <c r="P194" s="446"/>
      <c r="Q194" s="446"/>
      <c r="R194" s="446"/>
      <c r="S194" s="446"/>
      <c r="T194" s="446"/>
      <c r="U194" s="446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44" t="s">
        <v>179</v>
      </c>
      <c r="D195" s="108">
        <v>4.8</v>
      </c>
      <c r="E195" s="108"/>
      <c r="F195" s="127"/>
      <c r="G195" s="128"/>
      <c r="H195" s="438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46"/>
      <c r="P195" s="446"/>
      <c r="Q195" s="446"/>
      <c r="R195" s="446"/>
      <c r="S195" s="446"/>
      <c r="T195" s="446"/>
      <c r="U195" s="446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44" t="s">
        <v>199</v>
      </c>
      <c r="D196" s="108">
        <v>4.8</v>
      </c>
      <c r="E196" s="108"/>
      <c r="F196" s="127"/>
      <c r="G196" s="128"/>
      <c r="H196" s="438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46"/>
      <c r="P196" s="446"/>
      <c r="Q196" s="446"/>
      <c r="R196" s="446"/>
      <c r="S196" s="446"/>
      <c r="T196" s="446"/>
      <c r="U196" s="446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38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46"/>
      <c r="P197" s="446"/>
      <c r="Q197" s="446"/>
      <c r="R197" s="446"/>
      <c r="S197" s="446"/>
      <c r="T197" s="446"/>
      <c r="U197" s="446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38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46"/>
      <c r="P198" s="446"/>
      <c r="Q198" s="446"/>
      <c r="R198" s="446"/>
      <c r="S198" s="446"/>
      <c r="T198" s="446"/>
      <c r="U198" s="446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447" t="s">
        <v>202</v>
      </c>
      <c r="D199" s="143"/>
      <c r="E199" s="143"/>
      <c r="F199" s="144"/>
      <c r="G199" s="145">
        <f>SUM(G178:G198)</f>
        <v>1068</v>
      </c>
      <c r="H199" s="146">
        <f>SUM(H178:H198)</f>
        <v>5379.72</v>
      </c>
      <c r="I199" s="146">
        <f>SUM(I178:I198)</f>
        <v>69</v>
      </c>
      <c r="J199" s="130">
        <f t="array" ref="J199">IF(ISERROR(G199/I199),"",G199/I199)</f>
        <v>15.478260869565217</v>
      </c>
      <c r="K199" s="146">
        <f>SUM(K178:K198)</f>
        <v>63.926470588235297</v>
      </c>
      <c r="L199" s="147"/>
      <c r="M199" s="150">
        <f t="shared" ref="M199:AA199" si="91">SUM(M178:M198)</f>
        <v>5.073529411764703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customHeight="1">
      <c r="A200" s="300">
        <v>30100012</v>
      </c>
      <c r="B200" s="437" t="s">
        <v>206</v>
      </c>
      <c r="C200" s="126" t="s">
        <v>199</v>
      </c>
      <c r="D200" s="108">
        <v>5.03</v>
      </c>
      <c r="E200" s="108"/>
      <c r="F200" s="127">
        <v>42739</v>
      </c>
      <c r="G200" s="128">
        <f>108*4+18+1</f>
        <v>451</v>
      </c>
      <c r="H200" s="438">
        <f t="shared" ref="H200:H256" si="92">D200*G200</f>
        <v>2268.5300000000002</v>
      </c>
      <c r="I200" s="129">
        <f>5*2</f>
        <v>10</v>
      </c>
      <c r="J200" s="130">
        <f t="array" ref="J200">IF(ISERROR(G200/I200),"",G200/I200)</f>
        <v>45.1</v>
      </c>
      <c r="K200" s="131">
        <f t="array" ref="K200">IF(ISERROR(G200/L200),"",G200/L200)</f>
        <v>8.6730769230769234</v>
      </c>
      <c r="L200" s="129">
        <v>52</v>
      </c>
      <c r="M200" s="109">
        <f t="shared" ref="M200:M201" si="93">IF(ISERROR(I200-K200),"",I200-K200)</f>
        <v>1.3269230769230766</v>
      </c>
      <c r="N200" s="130">
        <f t="shared" ref="N200" si="94">SUM(O200:U200)</f>
        <v>0</v>
      </c>
      <c r="O200" s="442"/>
      <c r="P200" s="442"/>
      <c r="Q200" s="442"/>
      <c r="R200" s="442"/>
      <c r="S200" s="442"/>
      <c r="T200" s="442"/>
      <c r="U200" s="442"/>
      <c r="V200" s="132">
        <f t="shared" ref="V200" si="95">SUM(X200:AA200)</f>
        <v>0</v>
      </c>
      <c r="W200" s="133">
        <f t="shared" ref="W200" si="96">IF(ISERROR(V200/G200),"",V200/G200)</f>
        <v>0</v>
      </c>
      <c r="X200" s="132"/>
      <c r="Y200" s="132"/>
      <c r="Z200" s="132"/>
      <c r="AA200" s="132"/>
    </row>
    <row r="201" spans="1:27" ht="20.100000000000001" customHeight="1">
      <c r="A201" s="300">
        <v>30100011</v>
      </c>
      <c r="B201" s="437" t="s">
        <v>425</v>
      </c>
      <c r="C201" s="187" t="s">
        <v>427</v>
      </c>
      <c r="D201" s="108">
        <v>5.03</v>
      </c>
      <c r="E201" s="108"/>
      <c r="F201" s="127">
        <v>42739</v>
      </c>
      <c r="G201" s="452">
        <f>80+2</f>
        <v>82</v>
      </c>
      <c r="H201" s="438">
        <f t="shared" si="92"/>
        <v>412.46000000000004</v>
      </c>
      <c r="I201" s="129">
        <v>1</v>
      </c>
      <c r="J201" s="130">
        <f t="array" ref="J201">IF(ISERROR(G201/I201),"",G201/I201)</f>
        <v>82</v>
      </c>
      <c r="K201" s="131">
        <f t="array" ref="K201">IF(ISERROR(G201/L201),"",G201/L201)</f>
        <v>1.5769230769230769</v>
      </c>
      <c r="L201" s="129">
        <v>52</v>
      </c>
      <c r="M201" s="109">
        <f t="shared" si="93"/>
        <v>-0.57692307692307687</v>
      </c>
      <c r="N201" s="130"/>
      <c r="O201" s="442"/>
      <c r="P201" s="442"/>
      <c r="Q201" s="442"/>
      <c r="R201" s="442"/>
      <c r="S201" s="442"/>
      <c r="T201" s="442"/>
      <c r="U201" s="442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37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108*5+48</f>
        <v>588</v>
      </c>
      <c r="H202" s="438">
        <f t="shared" si="92"/>
        <v>2957.6400000000003</v>
      </c>
      <c r="I202" s="129">
        <f>6.5*2</f>
        <v>13</v>
      </c>
      <c r="J202" s="130">
        <f t="array" ref="J202">IF(ISERROR(G202/I202),"",G202/I202)</f>
        <v>45.230769230769234</v>
      </c>
      <c r="K202" s="131">
        <f t="array" ref="K202">IF(ISERROR(G202/L202),"",G202/L202)</f>
        <v>11.307692307692308</v>
      </c>
      <c r="L202" s="129">
        <v>52</v>
      </c>
      <c r="M202" s="109">
        <f t="shared" ref="M202" si="97">IF(ISERROR(I202-K202),"",I202-K202)</f>
        <v>1.6923076923076916</v>
      </c>
      <c r="N202" s="130">
        <f t="shared" ref="N202:N204" si="98">SUM(O202:U202)</f>
        <v>0</v>
      </c>
      <c r="O202" s="442"/>
      <c r="P202" s="442"/>
      <c r="Q202" s="442"/>
      <c r="R202" s="442"/>
      <c r="S202" s="442"/>
      <c r="T202" s="442"/>
      <c r="U202" s="442"/>
      <c r="V202" s="132">
        <f t="shared" ref="V202:V204" si="99">SUM(X202:AA202)</f>
        <v>0</v>
      </c>
      <c r="W202" s="133">
        <f t="shared" ref="W202:W204" si="100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37" t="s">
        <v>206</v>
      </c>
      <c r="C203" s="126" t="s">
        <v>203</v>
      </c>
      <c r="D203" s="108">
        <v>5.03</v>
      </c>
      <c r="E203" s="108"/>
      <c r="F203" s="127"/>
      <c r="G203" s="128"/>
      <c r="H203" s="438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42"/>
      <c r="P203" s="442"/>
      <c r="Q203" s="442"/>
      <c r="R203" s="442"/>
      <c r="S203" s="442"/>
      <c r="T203" s="442"/>
      <c r="U203" s="442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37" t="s">
        <v>206</v>
      </c>
      <c r="C204" s="126" t="s">
        <v>207</v>
      </c>
      <c r="D204" s="108">
        <v>5.03</v>
      </c>
      <c r="E204" s="108"/>
      <c r="F204" s="127"/>
      <c r="G204" s="128"/>
      <c r="H204" s="438">
        <f t="shared" si="92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1">IF(ISERROR(I204-K204),"",I204-K204)</f>
        <v>0</v>
      </c>
      <c r="N204" s="130">
        <f t="shared" si="98"/>
        <v>0</v>
      </c>
      <c r="O204" s="442"/>
      <c r="P204" s="442"/>
      <c r="Q204" s="442"/>
      <c r="R204" s="442"/>
      <c r="S204" s="442"/>
      <c r="T204" s="442"/>
      <c r="U204" s="442"/>
      <c r="V204" s="132">
        <f t="shared" si="99"/>
        <v>0</v>
      </c>
      <c r="W204" s="133" t="str">
        <f t="shared" si="100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37" t="s">
        <v>414</v>
      </c>
      <c r="C205" s="187" t="s">
        <v>415</v>
      </c>
      <c r="D205" s="108">
        <v>5.03</v>
      </c>
      <c r="E205" s="108"/>
      <c r="F205" s="127"/>
      <c r="G205" s="128"/>
      <c r="H205" s="438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42"/>
      <c r="P205" s="442"/>
      <c r="Q205" s="442"/>
      <c r="R205" s="442"/>
      <c r="S205" s="442"/>
      <c r="T205" s="442"/>
      <c r="U205" s="442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37" t="s">
        <v>414</v>
      </c>
      <c r="C206" s="187" t="s">
        <v>416</v>
      </c>
      <c r="D206" s="108">
        <v>5.03</v>
      </c>
      <c r="E206" s="108"/>
      <c r="F206" s="127"/>
      <c r="G206" s="128"/>
      <c r="H206" s="438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42"/>
      <c r="P206" s="442"/>
      <c r="Q206" s="442"/>
      <c r="R206" s="442"/>
      <c r="S206" s="442"/>
      <c r="T206" s="442"/>
      <c r="U206" s="44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37" t="s">
        <v>414</v>
      </c>
      <c r="C207" s="187" t="s">
        <v>61</v>
      </c>
      <c r="D207" s="108">
        <v>5.03</v>
      </c>
      <c r="E207" s="108"/>
      <c r="F207" s="127"/>
      <c r="G207" s="128"/>
      <c r="H207" s="438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42"/>
      <c r="P207" s="442"/>
      <c r="Q207" s="442"/>
      <c r="R207" s="442"/>
      <c r="S207" s="442"/>
      <c r="T207" s="442"/>
      <c r="U207" s="442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37" t="s">
        <v>208</v>
      </c>
      <c r="C208" s="126" t="s">
        <v>179</v>
      </c>
      <c r="D208" s="108">
        <v>5.08</v>
      </c>
      <c r="E208" s="108"/>
      <c r="F208" s="127"/>
      <c r="G208" s="128"/>
      <c r="H208" s="438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2">IF(ISERROR(I208-K208),"",I208-K208)</f>
        <v>0</v>
      </c>
      <c r="N208" s="130">
        <f t="shared" ref="N208:N237" si="103">SUM(O208:U208)</f>
        <v>0</v>
      </c>
      <c r="O208" s="442"/>
      <c r="P208" s="442"/>
      <c r="Q208" s="442"/>
      <c r="R208" s="442"/>
      <c r="S208" s="442"/>
      <c r="T208" s="442"/>
      <c r="U208" s="442"/>
      <c r="V208" s="132">
        <f t="shared" ref="V208:V219" si="104">SUM(X208:AA208)</f>
        <v>0</v>
      </c>
      <c r="W208" s="133" t="str">
        <f t="shared" ref="W208:W219" si="105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37" t="s">
        <v>208</v>
      </c>
      <c r="C209" s="126" t="s">
        <v>204</v>
      </c>
      <c r="D209" s="108">
        <v>5.08</v>
      </c>
      <c r="E209" s="108"/>
      <c r="F209" s="127"/>
      <c r="G209" s="128"/>
      <c r="H209" s="438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42"/>
      <c r="P209" s="442"/>
      <c r="Q209" s="442"/>
      <c r="R209" s="442"/>
      <c r="S209" s="442"/>
      <c r="T209" s="442"/>
      <c r="U209" s="442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37" t="s">
        <v>208</v>
      </c>
      <c r="C210" s="126" t="s">
        <v>205</v>
      </c>
      <c r="D210" s="108">
        <v>5.08</v>
      </c>
      <c r="E210" s="108"/>
      <c r="F210" s="127"/>
      <c r="G210" s="128"/>
      <c r="H210" s="438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42"/>
      <c r="P210" s="442"/>
      <c r="Q210" s="442"/>
      <c r="R210" s="442"/>
      <c r="S210" s="442"/>
      <c r="T210" s="442"/>
      <c r="U210" s="442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37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108*3+63</f>
        <v>387</v>
      </c>
      <c r="H211" s="438">
        <f t="shared" si="92"/>
        <v>1965.96</v>
      </c>
      <c r="I211" s="129">
        <f>6.5*3</f>
        <v>19.5</v>
      </c>
      <c r="J211" s="130">
        <f t="array" ref="J211">IF(ISERROR(G211/I211),"",G211/I211)</f>
        <v>19.846153846153847</v>
      </c>
      <c r="K211" s="131">
        <f t="array" ref="K211">IF(ISERROR(G211/L211),"",G211/L211)</f>
        <v>18.428571428571427</v>
      </c>
      <c r="L211" s="129">
        <v>21</v>
      </c>
      <c r="M211" s="109">
        <f t="shared" si="102"/>
        <v>1.071428571428573</v>
      </c>
      <c r="N211" s="130">
        <f t="shared" si="103"/>
        <v>0</v>
      </c>
      <c r="O211" s="442"/>
      <c r="P211" s="442"/>
      <c r="Q211" s="442"/>
      <c r="R211" s="442"/>
      <c r="S211" s="442"/>
      <c r="T211" s="442"/>
      <c r="U211" s="442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customHeight="1">
      <c r="A212" s="300">
        <v>30100029</v>
      </c>
      <c r="B212" s="437" t="s">
        <v>208</v>
      </c>
      <c r="C212" s="126" t="s">
        <v>203</v>
      </c>
      <c r="D212" s="108">
        <v>5.08</v>
      </c>
      <c r="E212" s="108"/>
      <c r="F212" s="127">
        <v>42740</v>
      </c>
      <c r="G212" s="128">
        <f>108+17+108+108</f>
        <v>341</v>
      </c>
      <c r="H212" s="438">
        <f t="shared" si="92"/>
        <v>1732.28</v>
      </c>
      <c r="I212" s="129">
        <f>5*3</f>
        <v>15</v>
      </c>
      <c r="J212" s="130">
        <f t="array" ref="J212">IF(ISERROR(G212/I212),"",G212/I212)</f>
        <v>22.733333333333334</v>
      </c>
      <c r="K212" s="131">
        <f t="array" ref="K212">IF(ISERROR(G212/L212),"",G212/L212)</f>
        <v>16.238095238095237</v>
      </c>
      <c r="L212" s="129">
        <v>21</v>
      </c>
      <c r="M212" s="109">
        <f t="shared" si="102"/>
        <v>-1.2380952380952372</v>
      </c>
      <c r="N212" s="130">
        <f t="shared" si="103"/>
        <v>0</v>
      </c>
      <c r="O212" s="442"/>
      <c r="P212" s="442"/>
      <c r="Q212" s="442"/>
      <c r="R212" s="442"/>
      <c r="S212" s="442"/>
      <c r="T212" s="442"/>
      <c r="U212" s="442"/>
      <c r="V212" s="132">
        <f t="shared" si="104"/>
        <v>0</v>
      </c>
      <c r="W212" s="133">
        <f t="shared" si="105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37" t="s">
        <v>208</v>
      </c>
      <c r="C213" s="126" t="s">
        <v>199</v>
      </c>
      <c r="D213" s="108">
        <v>5.08</v>
      </c>
      <c r="E213" s="108"/>
      <c r="F213" s="127"/>
      <c r="G213" s="128"/>
      <c r="H213" s="438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46"/>
      <c r="P213" s="446"/>
      <c r="Q213" s="446"/>
      <c r="R213" s="446"/>
      <c r="S213" s="446"/>
      <c r="T213" s="446"/>
      <c r="U213" s="446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37" t="s">
        <v>208</v>
      </c>
      <c r="C214" s="126" t="s">
        <v>187</v>
      </c>
      <c r="D214" s="108">
        <v>5.08</v>
      </c>
      <c r="E214" s="108"/>
      <c r="F214" s="127"/>
      <c r="G214" s="128"/>
      <c r="H214" s="438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42"/>
      <c r="P214" s="442"/>
      <c r="Q214" s="442"/>
      <c r="R214" s="442"/>
      <c r="S214" s="442"/>
      <c r="T214" s="442"/>
      <c r="U214" s="442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37" t="s">
        <v>208</v>
      </c>
      <c r="C215" s="126" t="s">
        <v>207</v>
      </c>
      <c r="D215" s="108">
        <v>5.08</v>
      </c>
      <c r="E215" s="108"/>
      <c r="F215" s="127"/>
      <c r="G215" s="128"/>
      <c r="H215" s="438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46"/>
      <c r="P215" s="446"/>
      <c r="Q215" s="446"/>
      <c r="R215" s="446"/>
      <c r="S215" s="446"/>
      <c r="T215" s="446"/>
      <c r="U215" s="446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37" t="s">
        <v>209</v>
      </c>
      <c r="C216" s="126" t="s">
        <v>194</v>
      </c>
      <c r="D216" s="108">
        <v>5.03</v>
      </c>
      <c r="E216" s="108"/>
      <c r="F216" s="127"/>
      <c r="G216" s="128"/>
      <c r="H216" s="438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42"/>
      <c r="P216" s="442"/>
      <c r="Q216" s="442"/>
      <c r="R216" s="442"/>
      <c r="S216" s="442"/>
      <c r="T216" s="442"/>
      <c r="U216" s="442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37" t="s">
        <v>209</v>
      </c>
      <c r="C217" s="126" t="s">
        <v>179</v>
      </c>
      <c r="D217" s="108">
        <v>5.03</v>
      </c>
      <c r="E217" s="108"/>
      <c r="F217" s="127"/>
      <c r="G217" s="128"/>
      <c r="H217" s="438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42"/>
      <c r="P217" s="442"/>
      <c r="Q217" s="442"/>
      <c r="R217" s="442"/>
      <c r="S217" s="442"/>
      <c r="T217" s="442"/>
      <c r="U217" s="442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37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f>108+108+108+40</f>
        <v>364</v>
      </c>
      <c r="H218" s="438">
        <f t="shared" si="92"/>
        <v>1830.92</v>
      </c>
      <c r="I218" s="129">
        <v>6.5</v>
      </c>
      <c r="J218" s="130">
        <f t="array" ref="J218">IF(ISERROR(G218/I218),"",G218/I218)</f>
        <v>56</v>
      </c>
      <c r="K218" s="131">
        <f t="array" ref="K218">IF(ISERROR(G218/L218),"",G218/L218)</f>
        <v>6.5</v>
      </c>
      <c r="L218" s="129">
        <v>56</v>
      </c>
      <c r="M218" s="109">
        <f t="shared" si="102"/>
        <v>0</v>
      </c>
      <c r="N218" s="130">
        <f t="shared" si="103"/>
        <v>0</v>
      </c>
      <c r="O218" s="442"/>
      <c r="P218" s="442"/>
      <c r="Q218" s="442"/>
      <c r="R218" s="442"/>
      <c r="S218" s="442"/>
      <c r="T218" s="442"/>
      <c r="U218" s="442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37" t="s">
        <v>209</v>
      </c>
      <c r="C219" s="126" t="s">
        <v>204</v>
      </c>
      <c r="D219" s="108">
        <v>5.03</v>
      </c>
      <c r="E219" s="108"/>
      <c r="F219" s="127"/>
      <c r="G219" s="128"/>
      <c r="H219" s="438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42"/>
      <c r="P219" s="442"/>
      <c r="Q219" s="442"/>
      <c r="R219" s="442"/>
      <c r="S219" s="442"/>
      <c r="T219" s="442"/>
      <c r="U219" s="442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37" t="s">
        <v>382</v>
      </c>
      <c r="C220" s="187" t="s">
        <v>383</v>
      </c>
      <c r="D220" s="108">
        <v>5.03</v>
      </c>
      <c r="E220" s="108"/>
      <c r="F220" s="127"/>
      <c r="G220" s="128"/>
      <c r="H220" s="438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42"/>
      <c r="P220" s="442"/>
      <c r="Q220" s="442"/>
      <c r="R220" s="442"/>
      <c r="S220" s="442"/>
      <c r="T220" s="442"/>
      <c r="U220" s="44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37" t="s">
        <v>382</v>
      </c>
      <c r="C221" s="187" t="s">
        <v>384</v>
      </c>
      <c r="D221" s="108">
        <v>5.03</v>
      </c>
      <c r="E221" s="108"/>
      <c r="F221" s="127"/>
      <c r="G221" s="128"/>
      <c r="H221" s="438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42"/>
      <c r="P221" s="442"/>
      <c r="Q221" s="442"/>
      <c r="R221" s="442"/>
      <c r="S221" s="442"/>
      <c r="T221" s="442"/>
      <c r="U221" s="442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30100021</v>
      </c>
      <c r="B222" s="437" t="s">
        <v>382</v>
      </c>
      <c r="C222" s="187" t="s">
        <v>389</v>
      </c>
      <c r="D222" s="108">
        <v>5.03</v>
      </c>
      <c r="E222" s="108"/>
      <c r="F222" s="127">
        <v>42739</v>
      </c>
      <c r="G222" s="128">
        <f>90+90*6+33+39</f>
        <v>702</v>
      </c>
      <c r="H222" s="438">
        <f t="shared" si="92"/>
        <v>3531.0600000000004</v>
      </c>
      <c r="I222" s="129">
        <v>11.5</v>
      </c>
      <c r="J222" s="130">
        <f t="array" ref="J222">IF(ISERROR(G222/I222),"",G222/I222)</f>
        <v>61.043478260869563</v>
      </c>
      <c r="K222" s="131">
        <f t="array" ref="K222">IF(ISERROR(G222/L222),"",G222/L222)</f>
        <v>13</v>
      </c>
      <c r="L222" s="129">
        <v>54</v>
      </c>
      <c r="M222" s="109">
        <f t="shared" si="102"/>
        <v>-1.5</v>
      </c>
      <c r="N222" s="130">
        <f t="shared" si="103"/>
        <v>0</v>
      </c>
      <c r="O222" s="442"/>
      <c r="P222" s="442"/>
      <c r="Q222" s="442"/>
      <c r="R222" s="442"/>
      <c r="S222" s="442"/>
      <c r="T222" s="442"/>
      <c r="U222" s="44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37" t="s">
        <v>382</v>
      </c>
      <c r="C223" s="187" t="s">
        <v>391</v>
      </c>
      <c r="D223" s="108">
        <v>5.03</v>
      </c>
      <c r="E223" s="108"/>
      <c r="F223" s="127"/>
      <c r="G223" s="128"/>
      <c r="H223" s="438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42"/>
      <c r="P223" s="442"/>
      <c r="Q223" s="442"/>
      <c r="R223" s="442"/>
      <c r="S223" s="442"/>
      <c r="T223" s="442"/>
      <c r="U223" s="44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37" t="s">
        <v>418</v>
      </c>
      <c r="C224" s="187" t="s">
        <v>364</v>
      </c>
      <c r="D224" s="108">
        <v>5.03</v>
      </c>
      <c r="E224" s="108"/>
      <c r="F224" s="127"/>
      <c r="G224" s="128"/>
      <c r="H224" s="438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42"/>
      <c r="P224" s="442"/>
      <c r="Q224" s="442"/>
      <c r="R224" s="442"/>
      <c r="S224" s="442"/>
      <c r="T224" s="442"/>
      <c r="U224" s="44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37" t="s">
        <v>418</v>
      </c>
      <c r="C225" s="187" t="s">
        <v>365</v>
      </c>
      <c r="D225" s="108">
        <v>5.03</v>
      </c>
      <c r="E225" s="108"/>
      <c r="F225" s="127"/>
      <c r="G225" s="128"/>
      <c r="H225" s="438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42"/>
      <c r="P225" s="442"/>
      <c r="Q225" s="442"/>
      <c r="R225" s="442"/>
      <c r="S225" s="442"/>
      <c r="T225" s="442"/>
      <c r="U225" s="44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37" t="s">
        <v>418</v>
      </c>
      <c r="C226" s="187" t="s">
        <v>366</v>
      </c>
      <c r="D226" s="108">
        <v>5.03</v>
      </c>
      <c r="E226" s="108"/>
      <c r="F226" s="127"/>
      <c r="G226" s="128"/>
      <c r="H226" s="438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42"/>
      <c r="P226" s="442"/>
      <c r="Q226" s="442"/>
      <c r="R226" s="442"/>
      <c r="S226" s="442"/>
      <c r="T226" s="442"/>
      <c r="U226" s="442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37" t="s">
        <v>418</v>
      </c>
      <c r="C227" s="187" t="s">
        <v>367</v>
      </c>
      <c r="D227" s="108">
        <v>5.03</v>
      </c>
      <c r="E227" s="108"/>
      <c r="F227" s="127"/>
      <c r="G227" s="128"/>
      <c r="H227" s="438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42"/>
      <c r="P227" s="442"/>
      <c r="Q227" s="442"/>
      <c r="R227" s="442"/>
      <c r="S227" s="442"/>
      <c r="T227" s="442"/>
      <c r="U227" s="442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38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46"/>
      <c r="P228" s="446"/>
      <c r="Q228" s="446"/>
      <c r="R228" s="446"/>
      <c r="S228" s="446"/>
      <c r="T228" s="446"/>
      <c r="U228" s="446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38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46"/>
      <c r="P229" s="446"/>
      <c r="Q229" s="446"/>
      <c r="R229" s="446"/>
      <c r="S229" s="446"/>
      <c r="T229" s="446"/>
      <c r="U229" s="446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38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2"/>
        <v>0</v>
      </c>
      <c r="N230" s="130">
        <f t="shared" si="103"/>
        <v>0</v>
      </c>
      <c r="O230" s="446"/>
      <c r="P230" s="446"/>
      <c r="Q230" s="446"/>
      <c r="R230" s="446"/>
      <c r="S230" s="446"/>
      <c r="T230" s="446"/>
      <c r="U230" s="446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38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46"/>
      <c r="P231" s="446"/>
      <c r="Q231" s="446"/>
      <c r="R231" s="446"/>
      <c r="S231" s="446"/>
      <c r="T231" s="446"/>
      <c r="U231" s="446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38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46"/>
      <c r="P232" s="446"/>
      <c r="Q232" s="446"/>
      <c r="R232" s="446"/>
      <c r="S232" s="446"/>
      <c r="T232" s="446"/>
      <c r="U232" s="446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38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46"/>
      <c r="P233" s="446"/>
      <c r="Q233" s="446"/>
      <c r="R233" s="446"/>
      <c r="S233" s="446"/>
      <c r="T233" s="446"/>
      <c r="U233" s="446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38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46"/>
      <c r="P234" s="446"/>
      <c r="Q234" s="446"/>
      <c r="R234" s="446"/>
      <c r="S234" s="446"/>
      <c r="T234" s="446"/>
      <c r="U234" s="446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38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46"/>
      <c r="P235" s="446"/>
      <c r="Q235" s="446"/>
      <c r="R235" s="446"/>
      <c r="S235" s="446"/>
      <c r="T235" s="446"/>
      <c r="U235" s="446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38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46"/>
      <c r="P236" s="446"/>
      <c r="Q236" s="446"/>
      <c r="R236" s="446"/>
      <c r="S236" s="446"/>
      <c r="T236" s="446"/>
      <c r="U236" s="446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38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46"/>
      <c r="P237" s="446"/>
      <c r="Q237" s="446"/>
      <c r="R237" s="446"/>
      <c r="S237" s="446"/>
      <c r="T237" s="446"/>
      <c r="U237" s="446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38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46"/>
      <c r="P238" s="446"/>
      <c r="Q238" s="446"/>
      <c r="R238" s="446"/>
      <c r="S238" s="446"/>
      <c r="T238" s="446"/>
      <c r="U238" s="446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38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46"/>
      <c r="P239" s="446"/>
      <c r="Q239" s="446"/>
      <c r="R239" s="446"/>
      <c r="S239" s="446"/>
      <c r="T239" s="446"/>
      <c r="U239" s="446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38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46"/>
      <c r="P240" s="446"/>
      <c r="Q240" s="446"/>
      <c r="R240" s="446"/>
      <c r="S240" s="446"/>
      <c r="T240" s="446"/>
      <c r="U240" s="446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38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46"/>
      <c r="P241" s="446"/>
      <c r="Q241" s="446"/>
      <c r="R241" s="446"/>
      <c r="S241" s="446"/>
      <c r="T241" s="446"/>
      <c r="U241" s="446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38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46"/>
      <c r="P242" s="446"/>
      <c r="Q242" s="446"/>
      <c r="R242" s="446"/>
      <c r="S242" s="446"/>
      <c r="T242" s="446"/>
      <c r="U242" s="446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38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46"/>
      <c r="P243" s="446"/>
      <c r="Q243" s="446"/>
      <c r="R243" s="446"/>
      <c r="S243" s="446"/>
      <c r="T243" s="446"/>
      <c r="U243" s="446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38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46"/>
      <c r="P244" s="446"/>
      <c r="Q244" s="446"/>
      <c r="R244" s="446"/>
      <c r="S244" s="446"/>
      <c r="T244" s="446"/>
      <c r="U244" s="446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38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46"/>
      <c r="P245" s="446"/>
      <c r="Q245" s="446"/>
      <c r="R245" s="446"/>
      <c r="S245" s="446"/>
      <c r="T245" s="446"/>
      <c r="U245" s="446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38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46"/>
      <c r="P246" s="446"/>
      <c r="Q246" s="446"/>
      <c r="R246" s="446"/>
      <c r="S246" s="446"/>
      <c r="T246" s="446"/>
      <c r="U246" s="446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38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46"/>
      <c r="P247" s="446"/>
      <c r="Q247" s="446"/>
      <c r="R247" s="446"/>
      <c r="S247" s="446"/>
      <c r="T247" s="446"/>
      <c r="U247" s="446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38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46"/>
      <c r="P248" s="446"/>
      <c r="Q248" s="446"/>
      <c r="R248" s="446"/>
      <c r="S248" s="446"/>
      <c r="T248" s="446"/>
      <c r="U248" s="446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38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46"/>
      <c r="P249" s="446"/>
      <c r="Q249" s="446"/>
      <c r="R249" s="446"/>
      <c r="S249" s="446"/>
      <c r="T249" s="446"/>
      <c r="U249" s="446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38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46"/>
      <c r="P250" s="446"/>
      <c r="Q250" s="446"/>
      <c r="R250" s="446"/>
      <c r="S250" s="446"/>
      <c r="T250" s="446"/>
      <c r="U250" s="446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38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46"/>
      <c r="P251" s="446"/>
      <c r="Q251" s="446"/>
      <c r="R251" s="446"/>
      <c r="S251" s="446"/>
      <c r="T251" s="446"/>
      <c r="U251" s="446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38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46"/>
      <c r="P252" s="446"/>
      <c r="Q252" s="446"/>
      <c r="R252" s="446"/>
      <c r="S252" s="446"/>
      <c r="T252" s="446"/>
      <c r="U252" s="446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38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46"/>
      <c r="P253" s="446"/>
      <c r="Q253" s="446"/>
      <c r="R253" s="446"/>
      <c r="S253" s="446"/>
      <c r="T253" s="446"/>
      <c r="U253" s="446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38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46"/>
      <c r="P254" s="446"/>
      <c r="Q254" s="446"/>
      <c r="R254" s="446"/>
      <c r="S254" s="446"/>
      <c r="T254" s="446"/>
      <c r="U254" s="446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38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46"/>
      <c r="P255" s="446"/>
      <c r="Q255" s="446"/>
      <c r="R255" s="446"/>
      <c r="S255" s="446"/>
      <c r="T255" s="446"/>
      <c r="U255" s="446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38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46"/>
      <c r="P256" s="446"/>
      <c r="Q256" s="446"/>
      <c r="R256" s="446"/>
      <c r="S256" s="446"/>
      <c r="T256" s="446"/>
      <c r="U256" s="446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47" t="s">
        <v>202</v>
      </c>
      <c r="D257" s="143"/>
      <c r="E257" s="143"/>
      <c r="F257" s="144"/>
      <c r="G257" s="145">
        <f>SUM(G200:G256)</f>
        <v>2915</v>
      </c>
      <c r="H257" s="146">
        <f>SUM(H200:H256)</f>
        <v>14698.850000000002</v>
      </c>
      <c r="I257" s="146">
        <f>SUM(I200:I256)</f>
        <v>76.5</v>
      </c>
      <c r="J257" s="130">
        <f t="array" ref="J257">IF(ISERROR(G257/I257),"",G257/I257)</f>
        <v>38.104575163398692</v>
      </c>
      <c r="K257" s="146">
        <f>SUM(K200:K256)</f>
        <v>75.724358974358978</v>
      </c>
      <c r="L257" s="147"/>
      <c r="M257" s="150">
        <f t="shared" ref="M257:V257" si="115">SUM(M200:M256)</f>
        <v>0.77564102564102733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37" t="s">
        <v>217</v>
      </c>
      <c r="C258" s="126" t="s">
        <v>179</v>
      </c>
      <c r="D258" s="108">
        <v>5.03</v>
      </c>
      <c r="E258" s="108"/>
      <c r="F258" s="127"/>
      <c r="G258" s="128"/>
      <c r="H258" s="438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46"/>
      <c r="P258" s="446"/>
      <c r="Q258" s="446"/>
      <c r="R258" s="446"/>
      <c r="S258" s="446"/>
      <c r="T258" s="446"/>
      <c r="U258" s="446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37" t="s">
        <v>217</v>
      </c>
      <c r="C259" s="126" t="s">
        <v>186</v>
      </c>
      <c r="D259" s="108">
        <v>5.03</v>
      </c>
      <c r="E259" s="108"/>
      <c r="F259" s="127"/>
      <c r="G259" s="128"/>
      <c r="H259" s="438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46"/>
      <c r="P259" s="446"/>
      <c r="Q259" s="446"/>
      <c r="R259" s="446"/>
      <c r="S259" s="446"/>
      <c r="T259" s="446"/>
      <c r="U259" s="446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37" t="s">
        <v>217</v>
      </c>
      <c r="C260" s="126" t="s">
        <v>204</v>
      </c>
      <c r="D260" s="108">
        <v>5.03</v>
      </c>
      <c r="E260" s="108"/>
      <c r="F260" s="127"/>
      <c r="G260" s="128"/>
      <c r="H260" s="438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46"/>
      <c r="P260" s="446"/>
      <c r="Q260" s="446"/>
      <c r="R260" s="446"/>
      <c r="S260" s="446"/>
      <c r="T260" s="446"/>
      <c r="U260" s="446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38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46"/>
      <c r="P261" s="446"/>
      <c r="Q261" s="446"/>
      <c r="R261" s="446"/>
      <c r="S261" s="446"/>
      <c r="T261" s="446"/>
      <c r="U261" s="446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38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46"/>
      <c r="P262" s="446"/>
      <c r="Q262" s="446"/>
      <c r="R262" s="446"/>
      <c r="S262" s="446"/>
      <c r="T262" s="446"/>
      <c r="U262" s="446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38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46"/>
      <c r="P263" s="446"/>
      <c r="Q263" s="446"/>
      <c r="R263" s="446"/>
      <c r="S263" s="446"/>
      <c r="T263" s="446"/>
      <c r="U263" s="446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38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46"/>
      <c r="P264" s="446"/>
      <c r="Q264" s="446"/>
      <c r="R264" s="446"/>
      <c r="S264" s="446"/>
      <c r="T264" s="446"/>
      <c r="U264" s="446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38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46"/>
      <c r="P265" s="446"/>
      <c r="Q265" s="446"/>
      <c r="R265" s="446"/>
      <c r="S265" s="446"/>
      <c r="T265" s="446"/>
      <c r="U265" s="446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38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46"/>
      <c r="P266" s="446"/>
      <c r="Q266" s="446"/>
      <c r="R266" s="446"/>
      <c r="S266" s="446"/>
      <c r="T266" s="446"/>
      <c r="U266" s="446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38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46"/>
      <c r="P267" s="446"/>
      <c r="Q267" s="446"/>
      <c r="R267" s="446"/>
      <c r="S267" s="446"/>
      <c r="T267" s="446"/>
      <c r="U267" s="446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38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46"/>
      <c r="P268" s="446"/>
      <c r="Q268" s="446"/>
      <c r="R268" s="446"/>
      <c r="S268" s="446"/>
      <c r="T268" s="446"/>
      <c r="U268" s="446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38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46"/>
      <c r="P269" s="446"/>
      <c r="Q269" s="446"/>
      <c r="R269" s="446"/>
      <c r="S269" s="446"/>
      <c r="T269" s="446"/>
      <c r="U269" s="446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38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7" si="121">IF(ISERROR(I270-K270),"",I270-K270)</f>
        <v>0</v>
      </c>
      <c r="N270" s="130">
        <f t="shared" ref="N270:N285" si="122">SUM(O270:U270)</f>
        <v>0</v>
      </c>
      <c r="O270" s="446"/>
      <c r="P270" s="446"/>
      <c r="Q270" s="446"/>
      <c r="R270" s="446"/>
      <c r="S270" s="446"/>
      <c r="T270" s="446"/>
      <c r="U270" s="446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38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46"/>
      <c r="P271" s="446"/>
      <c r="Q271" s="446"/>
      <c r="R271" s="446"/>
      <c r="S271" s="446"/>
      <c r="T271" s="446"/>
      <c r="U271" s="446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38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46"/>
      <c r="P272" s="446"/>
      <c r="Q272" s="446"/>
      <c r="R272" s="446"/>
      <c r="S272" s="446"/>
      <c r="T272" s="446"/>
      <c r="U272" s="446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38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46"/>
      <c r="P273" s="446"/>
      <c r="Q273" s="446"/>
      <c r="R273" s="446"/>
      <c r="S273" s="446"/>
      <c r="T273" s="446"/>
      <c r="U273" s="446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37" t="s">
        <v>222</v>
      </c>
      <c r="C274" s="126" t="s">
        <v>181</v>
      </c>
      <c r="D274" s="108">
        <v>9.36</v>
      </c>
      <c r="E274" s="108"/>
      <c r="F274" s="127"/>
      <c r="G274" s="128"/>
      <c r="H274" s="438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46"/>
      <c r="P274" s="446"/>
      <c r="Q274" s="446"/>
      <c r="R274" s="446"/>
      <c r="S274" s="446"/>
      <c r="T274" s="446"/>
      <c r="U274" s="446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37" t="s">
        <v>222</v>
      </c>
      <c r="C275" s="126" t="s">
        <v>179</v>
      </c>
      <c r="D275" s="108">
        <v>9.36</v>
      </c>
      <c r="E275" s="108"/>
      <c r="F275" s="127"/>
      <c r="G275" s="128"/>
      <c r="H275" s="438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46"/>
      <c r="P275" s="446"/>
      <c r="Q275" s="446"/>
      <c r="R275" s="446"/>
      <c r="S275" s="446"/>
      <c r="T275" s="446"/>
      <c r="U275" s="446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37" t="s">
        <v>222</v>
      </c>
      <c r="C276" s="126" t="s">
        <v>221</v>
      </c>
      <c r="D276" s="108">
        <v>9.36</v>
      </c>
      <c r="E276" s="108"/>
      <c r="F276" s="127"/>
      <c r="G276" s="128"/>
      <c r="H276" s="438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46"/>
      <c r="P276" s="446"/>
      <c r="Q276" s="446"/>
      <c r="R276" s="446"/>
      <c r="S276" s="446"/>
      <c r="T276" s="446"/>
      <c r="U276" s="446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37" t="s">
        <v>222</v>
      </c>
      <c r="C277" s="126" t="s">
        <v>186</v>
      </c>
      <c r="D277" s="108">
        <v>9.36</v>
      </c>
      <c r="E277" s="108"/>
      <c r="F277" s="127"/>
      <c r="G277" s="128"/>
      <c r="H277" s="438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46"/>
      <c r="P277" s="446"/>
      <c r="Q277" s="446"/>
      <c r="R277" s="446"/>
      <c r="S277" s="446"/>
      <c r="T277" s="446"/>
      <c r="U277" s="446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37" t="s">
        <v>393</v>
      </c>
      <c r="C278" s="187" t="s">
        <v>395</v>
      </c>
      <c r="D278" s="108">
        <v>5</v>
      </c>
      <c r="E278" s="108"/>
      <c r="F278" s="127"/>
      <c r="G278" s="128"/>
      <c r="H278" s="438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46"/>
      <c r="P278" s="446"/>
      <c r="Q278" s="446"/>
      <c r="R278" s="446"/>
      <c r="S278" s="446"/>
      <c r="T278" s="446"/>
      <c r="U278" s="446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37" t="s">
        <v>393</v>
      </c>
      <c r="C279" s="187" t="s">
        <v>402</v>
      </c>
      <c r="D279" s="108">
        <v>5</v>
      </c>
      <c r="E279" s="108"/>
      <c r="F279" s="127"/>
      <c r="G279" s="128"/>
      <c r="H279" s="438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46"/>
      <c r="P279" s="446"/>
      <c r="Q279" s="446"/>
      <c r="R279" s="446"/>
      <c r="S279" s="446"/>
      <c r="T279" s="446"/>
      <c r="U279" s="446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37" t="s">
        <v>404</v>
      </c>
      <c r="C280" s="187" t="s">
        <v>405</v>
      </c>
      <c r="D280" s="108">
        <v>5</v>
      </c>
      <c r="E280" s="108"/>
      <c r="F280" s="127"/>
      <c r="G280" s="128"/>
      <c r="H280" s="438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46"/>
      <c r="P280" s="446"/>
      <c r="Q280" s="446"/>
      <c r="R280" s="446"/>
      <c r="S280" s="446"/>
      <c r="T280" s="446"/>
      <c r="U280" s="446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37" t="s">
        <v>342</v>
      </c>
      <c r="C281" s="187" t="s">
        <v>372</v>
      </c>
      <c r="D281" s="108">
        <v>5</v>
      </c>
      <c r="E281" s="108"/>
      <c r="F281" s="127"/>
      <c r="G281" s="128"/>
      <c r="H281" s="438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46"/>
      <c r="P281" s="446"/>
      <c r="Q281" s="446"/>
      <c r="R281" s="446"/>
      <c r="S281" s="446"/>
      <c r="T281" s="446"/>
      <c r="U281" s="446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37" t="s">
        <v>343</v>
      </c>
      <c r="C282" s="126" t="s">
        <v>345</v>
      </c>
      <c r="D282" s="108">
        <v>5</v>
      </c>
      <c r="E282" s="108"/>
      <c r="F282" s="127"/>
      <c r="G282" s="128"/>
      <c r="H282" s="438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46"/>
      <c r="P282" s="446"/>
      <c r="Q282" s="446"/>
      <c r="R282" s="446"/>
      <c r="S282" s="446"/>
      <c r="T282" s="446"/>
      <c r="U282" s="446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37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f>74+90</f>
        <v>164</v>
      </c>
      <c r="H283" s="438">
        <f t="shared" si="117"/>
        <v>820</v>
      </c>
      <c r="I283" s="129">
        <f>2.5*10</f>
        <v>25</v>
      </c>
      <c r="J283" s="130">
        <f t="array" ref="J283">IF(ISERROR(G283/I283),"",G283/I283)</f>
        <v>6.56</v>
      </c>
      <c r="K283" s="131">
        <f t="array" ref="K283">IF(ISERROR(G283/L283),"",G283/L283)</f>
        <v>32.799999999999997</v>
      </c>
      <c r="L283" s="129">
        <v>5</v>
      </c>
      <c r="M283" s="109">
        <f t="shared" si="121"/>
        <v>-7.7999999999999972</v>
      </c>
      <c r="N283" s="130">
        <f t="shared" si="122"/>
        <v>0</v>
      </c>
      <c r="O283" s="446"/>
      <c r="P283" s="446"/>
      <c r="Q283" s="446"/>
      <c r="R283" s="446"/>
      <c r="S283" s="446"/>
      <c r="T283" s="446"/>
      <c r="U283" s="446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38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46"/>
      <c r="P284" s="446"/>
      <c r="Q284" s="446"/>
      <c r="R284" s="446"/>
      <c r="S284" s="446"/>
      <c r="T284" s="446"/>
      <c r="U284" s="446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38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46"/>
      <c r="P285" s="446"/>
      <c r="Q285" s="446"/>
      <c r="R285" s="446"/>
      <c r="S285" s="446"/>
      <c r="T285" s="446"/>
      <c r="U285" s="446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38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46"/>
      <c r="P286" s="446"/>
      <c r="Q286" s="446"/>
      <c r="R286" s="446"/>
      <c r="S286" s="446"/>
      <c r="T286" s="446"/>
      <c r="U286" s="446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>
        <v>42740</v>
      </c>
      <c r="G287" s="452">
        <f>90*6-90+9</f>
        <v>459</v>
      </c>
      <c r="H287" s="438">
        <f t="shared" si="117"/>
        <v>2308.77</v>
      </c>
      <c r="I287" s="129">
        <f>9.5*10</f>
        <v>95</v>
      </c>
      <c r="J287" s="130">
        <f t="array" ref="J287">IF(ISERROR(G287/I287),"",G287/I287)</f>
        <v>4.8315789473684214</v>
      </c>
      <c r="K287" s="131"/>
      <c r="L287" s="129">
        <v>24</v>
      </c>
      <c r="M287" s="109">
        <f t="shared" si="121"/>
        <v>95</v>
      </c>
      <c r="N287" s="130"/>
      <c r="O287" s="446"/>
      <c r="P287" s="446"/>
      <c r="Q287" s="446"/>
      <c r="R287" s="446"/>
      <c r="S287" s="446"/>
      <c r="T287" s="446"/>
      <c r="U287" s="446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38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46"/>
      <c r="P288" s="446"/>
      <c r="Q288" s="446"/>
      <c r="R288" s="446"/>
      <c r="S288" s="446"/>
      <c r="T288" s="446"/>
      <c r="U288" s="446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38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46"/>
      <c r="P289" s="446"/>
      <c r="Q289" s="446"/>
      <c r="R289" s="446"/>
      <c r="S289" s="446"/>
      <c r="T289" s="446"/>
      <c r="U289" s="446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38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46"/>
      <c r="P290" s="446"/>
      <c r="Q290" s="446"/>
      <c r="R290" s="446"/>
      <c r="S290" s="446"/>
      <c r="T290" s="446"/>
      <c r="U290" s="446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38">
        <f t="shared" si="117"/>
        <v>0</v>
      </c>
      <c r="I291" s="129"/>
      <c r="J291" s="130" t="str">
        <f t="array" ref="J291">IF(ISERROR(G291/I291),"",G291/I291)</f>
        <v/>
      </c>
      <c r="K291" s="438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46"/>
      <c r="P291" s="446"/>
      <c r="Q291" s="446"/>
      <c r="R291" s="446"/>
      <c r="S291" s="446"/>
      <c r="T291" s="446"/>
      <c r="U291" s="446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447" t="s">
        <v>202</v>
      </c>
      <c r="D292" s="143"/>
      <c r="E292" s="143"/>
      <c r="F292" s="144"/>
      <c r="G292" s="145">
        <f>SUM(G258:G291)</f>
        <v>623</v>
      </c>
      <c r="H292" s="146">
        <f>SUM(H258:H291)</f>
        <v>3128.77</v>
      </c>
      <c r="I292" s="146">
        <f>SUM(I258:I291)</f>
        <v>120</v>
      </c>
      <c r="J292" s="130">
        <f t="array" ref="J292">IF(ISERROR(G292/I292),"",G292/I292)</f>
        <v>5.1916666666666664</v>
      </c>
      <c r="K292" s="146">
        <f>SUM(K258:K291)</f>
        <v>32.799999999999997</v>
      </c>
      <c r="L292" s="147"/>
      <c r="M292" s="150">
        <f t="shared" ref="M292:V292" si="132">SUM(M258:M291)</f>
        <v>87.2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38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46"/>
      <c r="P293" s="446"/>
      <c r="Q293" s="446"/>
      <c r="R293" s="446"/>
      <c r="S293" s="446"/>
      <c r="T293" s="446"/>
      <c r="U293" s="446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38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46"/>
      <c r="P294" s="446"/>
      <c r="Q294" s="446"/>
      <c r="R294" s="446"/>
      <c r="S294" s="446"/>
      <c r="T294" s="446"/>
      <c r="U294" s="446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38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46"/>
      <c r="P295" s="446"/>
      <c r="Q295" s="446"/>
      <c r="R295" s="446"/>
      <c r="S295" s="446"/>
      <c r="T295" s="446"/>
      <c r="U295" s="446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38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46"/>
      <c r="P296" s="446"/>
      <c r="Q296" s="446"/>
      <c r="R296" s="446"/>
      <c r="S296" s="446"/>
      <c r="T296" s="446"/>
      <c r="U296" s="446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43" t="s">
        <v>203</v>
      </c>
      <c r="D297" s="108">
        <v>5.03</v>
      </c>
      <c r="E297" s="108"/>
      <c r="F297" s="127"/>
      <c r="G297" s="128"/>
      <c r="H297" s="438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46"/>
      <c r="P297" s="446"/>
      <c r="Q297" s="446"/>
      <c r="R297" s="446"/>
      <c r="S297" s="446"/>
      <c r="T297" s="446"/>
      <c r="U297" s="446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38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46"/>
      <c r="P298" s="446"/>
      <c r="Q298" s="446"/>
      <c r="R298" s="446"/>
      <c r="S298" s="446"/>
      <c r="T298" s="446"/>
      <c r="U298" s="446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38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46"/>
      <c r="P299" s="446"/>
      <c r="Q299" s="446"/>
      <c r="R299" s="446"/>
      <c r="S299" s="446"/>
      <c r="T299" s="446"/>
      <c r="U299" s="446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43" t="s">
        <v>228</v>
      </c>
      <c r="D300" s="108">
        <v>5.03</v>
      </c>
      <c r="E300" s="108"/>
      <c r="F300" s="127"/>
      <c r="G300" s="128"/>
      <c r="H300" s="438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46"/>
      <c r="P300" s="446"/>
      <c r="Q300" s="446"/>
      <c r="R300" s="446"/>
      <c r="S300" s="446"/>
      <c r="T300" s="446"/>
      <c r="U300" s="446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43" t="s">
        <v>212</v>
      </c>
      <c r="D301" s="108">
        <v>5.03</v>
      </c>
      <c r="E301" s="108"/>
      <c r="F301" s="127"/>
      <c r="G301" s="128"/>
      <c r="H301" s="438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46"/>
      <c r="P301" s="446"/>
      <c r="Q301" s="446"/>
      <c r="R301" s="446"/>
      <c r="S301" s="446"/>
      <c r="T301" s="446"/>
      <c r="U301" s="446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43" t="s">
        <v>203</v>
      </c>
      <c r="D302" s="108">
        <v>5.03</v>
      </c>
      <c r="E302" s="108"/>
      <c r="F302" s="127"/>
      <c r="G302" s="128"/>
      <c r="H302" s="438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46"/>
      <c r="P302" s="446"/>
      <c r="Q302" s="446"/>
      <c r="R302" s="446"/>
      <c r="S302" s="446"/>
      <c r="T302" s="446"/>
      <c r="U302" s="446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43" t="s">
        <v>186</v>
      </c>
      <c r="D303" s="108">
        <v>5.03</v>
      </c>
      <c r="E303" s="108"/>
      <c r="F303" s="127"/>
      <c r="G303" s="128"/>
      <c r="H303" s="438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46"/>
      <c r="P303" s="446"/>
      <c r="Q303" s="446"/>
      <c r="R303" s="446"/>
      <c r="S303" s="446"/>
      <c r="T303" s="446"/>
      <c r="U303" s="446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43" t="s">
        <v>228</v>
      </c>
      <c r="D304" s="108">
        <v>5.03</v>
      </c>
      <c r="E304" s="108"/>
      <c r="F304" s="127"/>
      <c r="G304" s="128"/>
      <c r="H304" s="438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46"/>
      <c r="P304" s="446"/>
      <c r="Q304" s="446"/>
      <c r="R304" s="446"/>
      <c r="S304" s="446"/>
      <c r="T304" s="446"/>
      <c r="U304" s="446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43" t="s">
        <v>199</v>
      </c>
      <c r="D305" s="108">
        <v>5.03</v>
      </c>
      <c r="E305" s="108"/>
      <c r="F305" s="127"/>
      <c r="G305" s="128"/>
      <c r="H305" s="438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46"/>
      <c r="P305" s="446"/>
      <c r="Q305" s="446"/>
      <c r="R305" s="446"/>
      <c r="S305" s="446"/>
      <c r="T305" s="446"/>
      <c r="U305" s="446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90*7</f>
        <v>630</v>
      </c>
      <c r="H306" s="438">
        <f t="shared" si="133"/>
        <v>3187.7999999999997</v>
      </c>
      <c r="I306" s="129">
        <f>9*3</f>
        <v>27</v>
      </c>
      <c r="J306" s="130">
        <f t="array" ref="J306">IF(ISERROR(G306/I306),"",G306/I306)</f>
        <v>23.333333333333332</v>
      </c>
      <c r="K306" s="131">
        <f t="array" ref="K306">IF(ISERROR(G306/L306),"",G306/L306)</f>
        <v>25.2</v>
      </c>
      <c r="L306" s="129">
        <v>25</v>
      </c>
      <c r="M306" s="109">
        <f t="shared" si="134"/>
        <v>1.8000000000000007</v>
      </c>
      <c r="N306" s="130">
        <f t="shared" si="135"/>
        <v>0</v>
      </c>
      <c r="O306" s="446"/>
      <c r="P306" s="446"/>
      <c r="Q306" s="446"/>
      <c r="R306" s="446"/>
      <c r="S306" s="446"/>
      <c r="T306" s="446"/>
      <c r="U306" s="446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42740</v>
      </c>
      <c r="G307" s="128">
        <f>48+42+90*2+12</f>
        <v>282</v>
      </c>
      <c r="H307" s="438">
        <f t="shared" si="133"/>
        <v>1426.9199999999998</v>
      </c>
      <c r="I307" s="129">
        <f>2.5*3</f>
        <v>7.5</v>
      </c>
      <c r="J307" s="130">
        <f t="array" ref="J307">IF(ISERROR(G307/I307),"",G307/I307)</f>
        <v>37.6</v>
      </c>
      <c r="K307" s="131">
        <f t="array" ref="K307">IF(ISERROR(G307/L307),"",G307/L307)</f>
        <v>11.28</v>
      </c>
      <c r="L307" s="129">
        <v>25</v>
      </c>
      <c r="M307" s="109">
        <f t="shared" si="134"/>
        <v>-3.7799999999999994</v>
      </c>
      <c r="N307" s="130">
        <f t="shared" si="135"/>
        <v>0</v>
      </c>
      <c r="O307" s="446"/>
      <c r="P307" s="446"/>
      <c r="Q307" s="446"/>
      <c r="R307" s="446"/>
      <c r="S307" s="446"/>
      <c r="T307" s="446"/>
      <c r="U307" s="446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447" t="s">
        <v>202</v>
      </c>
      <c r="D308" s="143"/>
      <c r="E308" s="143"/>
      <c r="F308" s="144"/>
      <c r="G308" s="145">
        <f>SUM(G293:G307)</f>
        <v>912</v>
      </c>
      <c r="H308" s="146">
        <f>SUM(H293:H307)</f>
        <v>4614.7199999999993</v>
      </c>
      <c r="I308" s="146">
        <f>SUM(I293:I307)</f>
        <v>34.5</v>
      </c>
      <c r="J308" s="130">
        <f t="array" ref="J308">IF(ISERROR(G308/I308),"",G308/I308)</f>
        <v>26.434782608695652</v>
      </c>
      <c r="K308" s="146">
        <f>SUM(K293:K307)</f>
        <v>36.479999999999997</v>
      </c>
      <c r="L308" s="146"/>
      <c r="M308" s="150">
        <f>SUM(M293:M307)</f>
        <v>-1.9799999999999986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38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8">IF(ISERROR(I309-K309),"",I309-K309)</f>
        <v>0</v>
      </c>
      <c r="N309" s="130">
        <f t="shared" ref="N309:N313" si="139">SUM(O309:U309)</f>
        <v>0</v>
      </c>
      <c r="O309" s="446"/>
      <c r="P309" s="446"/>
      <c r="Q309" s="446"/>
      <c r="R309" s="446"/>
      <c r="S309" s="446"/>
      <c r="T309" s="446"/>
      <c r="U309" s="446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38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46"/>
      <c r="P310" s="446"/>
      <c r="Q310" s="446"/>
      <c r="R310" s="446"/>
      <c r="S310" s="446"/>
      <c r="T310" s="446"/>
      <c r="U310" s="446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38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46"/>
      <c r="P311" s="446"/>
      <c r="Q311" s="446"/>
      <c r="R311" s="446"/>
      <c r="S311" s="446"/>
      <c r="T311" s="446"/>
      <c r="U311" s="446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38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46"/>
      <c r="P312" s="446"/>
      <c r="Q312" s="446"/>
      <c r="R312" s="446"/>
      <c r="S312" s="446"/>
      <c r="T312" s="446"/>
      <c r="U312" s="446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38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46"/>
      <c r="P313" s="446"/>
      <c r="Q313" s="446"/>
      <c r="R313" s="446"/>
      <c r="S313" s="446"/>
      <c r="T313" s="446"/>
      <c r="U313" s="446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hidden="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/>
      <c r="G314" s="128"/>
      <c r="H314" s="438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46"/>
      <c r="P314" s="446"/>
      <c r="Q314" s="446"/>
      <c r="R314" s="446"/>
      <c r="S314" s="446"/>
      <c r="T314" s="446"/>
      <c r="U314" s="446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38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46"/>
      <c r="P315" s="446"/>
      <c r="Q315" s="446"/>
      <c r="R315" s="446"/>
      <c r="S315" s="446"/>
      <c r="T315" s="446"/>
      <c r="U315" s="446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38">
        <f t="shared" si="137"/>
        <v>0</v>
      </c>
      <c r="I316" s="129"/>
      <c r="J316" s="130"/>
      <c r="K316" s="131"/>
      <c r="L316" s="129">
        <v>13.5</v>
      </c>
      <c r="M316" s="109"/>
      <c r="N316" s="130"/>
      <c r="O316" s="446"/>
      <c r="P316" s="446"/>
      <c r="Q316" s="446"/>
      <c r="R316" s="446"/>
      <c r="S316" s="446"/>
      <c r="T316" s="446"/>
      <c r="U316" s="446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f>90*7</f>
        <v>630</v>
      </c>
      <c r="H317" s="438">
        <f t="shared" si="137"/>
        <v>3168.9</v>
      </c>
      <c r="I317" s="129">
        <f>11.5*4</f>
        <v>46</v>
      </c>
      <c r="J317" s="130">
        <f t="array" ref="J317">IF(ISERROR(G317/I317),"",G317/I317)</f>
        <v>13.695652173913043</v>
      </c>
      <c r="K317" s="131">
        <f t="array" ref="K317">IF(ISERROR(G317/L317),"",G317/L317)</f>
        <v>46.666666666666664</v>
      </c>
      <c r="L317" s="129">
        <v>13.5</v>
      </c>
      <c r="M317" s="109">
        <f t="shared" ref="M317" si="141">IF(ISERROR(I317-K317),"",I317-K317)</f>
        <v>-0.6666666666666643</v>
      </c>
      <c r="N317" s="130"/>
      <c r="O317" s="446"/>
      <c r="P317" s="446"/>
      <c r="Q317" s="446"/>
      <c r="R317" s="446"/>
      <c r="S317" s="446"/>
      <c r="T317" s="446"/>
      <c r="U317" s="446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38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46"/>
      <c r="P318" s="446"/>
      <c r="Q318" s="446"/>
      <c r="R318" s="446"/>
      <c r="S318" s="446"/>
      <c r="T318" s="446"/>
      <c r="U318" s="446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447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46</v>
      </c>
      <c r="J319" s="130">
        <f t="array" ref="J319">IF(ISERROR(G319/I319),"",G319/I319)</f>
        <v>13.695652173913043</v>
      </c>
      <c r="K319" s="146">
        <f>SUM(K309:K318)</f>
        <v>46.666666666666664</v>
      </c>
      <c r="L319" s="147"/>
      <c r="M319" s="150">
        <f>SUM(M309:M318)</f>
        <v>-0.6666666666666643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44"/>
      <c r="D320" s="108">
        <v>3.65</v>
      </c>
      <c r="E320" s="108"/>
      <c r="F320" s="153"/>
      <c r="G320" s="128"/>
      <c r="H320" s="438">
        <f t="shared" ref="H320:H333" si="146">D320*G320</f>
        <v>0</v>
      </c>
      <c r="I320" s="129"/>
      <c r="J320" s="130" t="str">
        <f t="array" ref="J320">IF(ISERROR(G320/I320),"",G320/I320)</f>
        <v/>
      </c>
      <c r="K320" s="438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46"/>
      <c r="P320" s="446"/>
      <c r="Q320" s="446"/>
      <c r="R320" s="446"/>
      <c r="S320" s="446"/>
      <c r="T320" s="446"/>
      <c r="U320" s="446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44"/>
      <c r="D321" s="108">
        <v>6.58</v>
      </c>
      <c r="E321" s="108"/>
      <c r="F321" s="127"/>
      <c r="G321" s="128"/>
      <c r="H321" s="438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7"/>
        <v>0</v>
      </c>
      <c r="N321" s="130">
        <f t="shared" si="148"/>
        <v>0</v>
      </c>
      <c r="O321" s="446"/>
      <c r="P321" s="446"/>
      <c r="Q321" s="446"/>
      <c r="R321" s="446"/>
      <c r="S321" s="446"/>
      <c r="T321" s="446"/>
      <c r="U321" s="446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44"/>
      <c r="D322" s="108">
        <v>7.8</v>
      </c>
      <c r="E322" s="108"/>
      <c r="F322" s="127">
        <v>42737</v>
      </c>
      <c r="G322" s="128">
        <v>32</v>
      </c>
      <c r="H322" s="438">
        <f t="shared" si="146"/>
        <v>249.6</v>
      </c>
      <c r="I322" s="129">
        <v>6</v>
      </c>
      <c r="J322" s="130">
        <f t="array" ref="J322">IF(ISERROR(G322/I322),"",G322/I322)</f>
        <v>5.333333333333333</v>
      </c>
      <c r="K322" s="131">
        <f t="array" ref="K322">IF(ISERROR(G322/L322),"",G322/L322)</f>
        <v>6.9565217391304355</v>
      </c>
      <c r="L322" s="129">
        <v>4.5999999999999996</v>
      </c>
      <c r="M322" s="109">
        <f t="shared" si="147"/>
        <v>-0.95652173913043548</v>
      </c>
      <c r="N322" s="130">
        <f t="shared" si="148"/>
        <v>0</v>
      </c>
      <c r="O322" s="446"/>
      <c r="P322" s="446"/>
      <c r="Q322" s="446"/>
      <c r="R322" s="446"/>
      <c r="S322" s="446"/>
      <c r="T322" s="446"/>
      <c r="U322" s="446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44"/>
      <c r="D323" s="108">
        <v>4.4000000000000004</v>
      </c>
      <c r="E323" s="108"/>
      <c r="F323" s="127">
        <v>42738</v>
      </c>
      <c r="G323" s="128">
        <f>72+51+29</f>
        <v>152</v>
      </c>
      <c r="H323" s="438">
        <f t="shared" si="146"/>
        <v>668.80000000000007</v>
      </c>
      <c r="I323" s="129">
        <v>26</v>
      </c>
      <c r="J323" s="130">
        <f t="array" ref="J323">IF(ISERROR(G323/I323),"",G323/I323)</f>
        <v>5.8461538461538458</v>
      </c>
      <c r="K323" s="131">
        <f t="array" ref="K323">IF(ISERROR(G323/L323),"",G323/L323)</f>
        <v>26.206896551724139</v>
      </c>
      <c r="L323" s="129">
        <v>5.8</v>
      </c>
      <c r="M323" s="109">
        <f t="shared" si="147"/>
        <v>-0.20689655172413879</v>
      </c>
      <c r="N323" s="130">
        <f t="shared" si="148"/>
        <v>0</v>
      </c>
      <c r="O323" s="446"/>
      <c r="P323" s="446"/>
      <c r="Q323" s="446"/>
      <c r="R323" s="446"/>
      <c r="S323" s="446"/>
      <c r="T323" s="446"/>
      <c r="U323" s="446"/>
      <c r="V323" s="132">
        <f t="shared" si="149"/>
        <v>0</v>
      </c>
      <c r="W323" s="133">
        <f t="shared" si="145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44"/>
      <c r="D324" s="108"/>
      <c r="E324" s="108"/>
      <c r="F324" s="127"/>
      <c r="G324" s="128"/>
      <c r="H324" s="438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46"/>
      <c r="P324" s="446"/>
      <c r="Q324" s="446"/>
      <c r="R324" s="446"/>
      <c r="S324" s="446"/>
      <c r="T324" s="446"/>
      <c r="U324" s="446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44" t="s">
        <v>239</v>
      </c>
      <c r="C325" s="444" t="s">
        <v>179</v>
      </c>
      <c r="D325" s="108">
        <v>6.04</v>
      </c>
      <c r="E325" s="108"/>
      <c r="F325" s="127"/>
      <c r="G325" s="128"/>
      <c r="H325" s="438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46"/>
      <c r="P325" s="446"/>
      <c r="Q325" s="446"/>
      <c r="R325" s="446"/>
      <c r="S325" s="446"/>
      <c r="T325" s="446"/>
      <c r="U325" s="446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44" t="s">
        <v>239</v>
      </c>
      <c r="C326" s="444" t="s">
        <v>186</v>
      </c>
      <c r="D326" s="108">
        <v>6.04</v>
      </c>
      <c r="E326" s="108"/>
      <c r="F326" s="127"/>
      <c r="G326" s="128"/>
      <c r="H326" s="438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46"/>
      <c r="P326" s="446"/>
      <c r="Q326" s="446"/>
      <c r="R326" s="446"/>
      <c r="S326" s="446"/>
      <c r="T326" s="446"/>
      <c r="U326" s="446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44" t="s">
        <v>443</v>
      </c>
      <c r="C327" s="444" t="s">
        <v>179</v>
      </c>
      <c r="D327" s="108">
        <v>6</v>
      </c>
      <c r="E327" s="108"/>
      <c r="F327" s="127"/>
      <c r="G327" s="128"/>
      <c r="H327" s="438">
        <f t="shared" si="146"/>
        <v>0</v>
      </c>
      <c r="I327" s="129"/>
      <c r="J327" s="130"/>
      <c r="K327" s="131"/>
      <c r="L327" s="129"/>
      <c r="M327" s="109"/>
      <c r="N327" s="130"/>
      <c r="O327" s="446"/>
      <c r="P327" s="446"/>
      <c r="Q327" s="446"/>
      <c r="R327" s="446"/>
      <c r="S327" s="446"/>
      <c r="T327" s="446"/>
      <c r="U327" s="446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44" t="s">
        <v>443</v>
      </c>
      <c r="C328" s="444" t="s">
        <v>60</v>
      </c>
      <c r="D328" s="108">
        <v>6</v>
      </c>
      <c r="E328" s="108"/>
      <c r="F328" s="127"/>
      <c r="G328" s="128"/>
      <c r="H328" s="438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46"/>
      <c r="P328" s="446"/>
      <c r="Q328" s="446"/>
      <c r="R328" s="446"/>
      <c r="S328" s="446"/>
      <c r="T328" s="446"/>
      <c r="U328" s="446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37" t="s">
        <v>240</v>
      </c>
      <c r="C329" s="126"/>
      <c r="D329" s="108">
        <v>7.3</v>
      </c>
      <c r="E329" s="108"/>
      <c r="F329" s="127"/>
      <c r="G329" s="128"/>
      <c r="H329" s="438">
        <f t="shared" si="146"/>
        <v>0</v>
      </c>
      <c r="I329" s="129"/>
      <c r="J329" s="130"/>
      <c r="K329" s="131"/>
      <c r="L329" s="129"/>
      <c r="M329" s="109"/>
      <c r="N329" s="130"/>
      <c r="O329" s="446"/>
      <c r="P329" s="446"/>
      <c r="Q329" s="446"/>
      <c r="R329" s="446"/>
      <c r="S329" s="446"/>
      <c r="T329" s="446"/>
      <c r="U329" s="446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37" t="s">
        <v>241</v>
      </c>
      <c r="C330" s="126"/>
      <c r="D330" s="108">
        <f>78*120/1000</f>
        <v>9.36</v>
      </c>
      <c r="E330" s="108"/>
      <c r="F330" s="127"/>
      <c r="G330" s="128"/>
      <c r="H330" s="438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46"/>
      <c r="P330" s="446"/>
      <c r="Q330" s="446"/>
      <c r="R330" s="446"/>
      <c r="S330" s="446"/>
      <c r="T330" s="446"/>
      <c r="U330" s="446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37" t="s">
        <v>242</v>
      </c>
      <c r="C331" s="126"/>
      <c r="D331" s="108">
        <v>4.5</v>
      </c>
      <c r="E331" s="108"/>
      <c r="F331" s="127"/>
      <c r="G331" s="128"/>
      <c r="H331" s="438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46"/>
      <c r="P331" s="446"/>
      <c r="Q331" s="446"/>
      <c r="R331" s="446"/>
      <c r="S331" s="446"/>
      <c r="T331" s="446"/>
      <c r="U331" s="446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37" t="s">
        <v>243</v>
      </c>
      <c r="C332" s="126"/>
      <c r="D332" s="108">
        <v>4.5</v>
      </c>
      <c r="E332" s="108"/>
      <c r="F332" s="127"/>
      <c r="G332" s="128"/>
      <c r="H332" s="438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46"/>
      <c r="P332" s="446"/>
      <c r="Q332" s="446"/>
      <c r="R332" s="446"/>
      <c r="S332" s="446"/>
      <c r="T332" s="446"/>
      <c r="U332" s="446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38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46"/>
      <c r="P333" s="446"/>
      <c r="Q333" s="446"/>
      <c r="R333" s="446"/>
      <c r="S333" s="446"/>
      <c r="T333" s="446"/>
      <c r="U333" s="446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447" t="s">
        <v>202</v>
      </c>
      <c r="D334" s="143"/>
      <c r="E334" s="143"/>
      <c r="F334" s="144"/>
      <c r="G334" s="145">
        <f>SUM(G320:G333)</f>
        <v>184</v>
      </c>
      <c r="H334" s="146">
        <f>SUM(H320:H330)</f>
        <v>918.40000000000009</v>
      </c>
      <c r="I334" s="146">
        <f>SUM(I320:I333)</f>
        <v>32</v>
      </c>
      <c r="J334" s="130">
        <f t="array" ref="J334">IF(ISERROR(G334/I334),"",G334/I334)</f>
        <v>5.75</v>
      </c>
      <c r="K334" s="146">
        <f>SUM(K320:K330)</f>
        <v>33.163418290854572</v>
      </c>
      <c r="L334" s="147"/>
      <c r="M334" s="150">
        <f t="shared" ref="M334:AA334" si="157">SUM(M320:M330)</f>
        <v>-1.1634182908545743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6332</v>
      </c>
      <c r="H335" s="154">
        <f>SUM(H199,H257,H292,H308,H319,H334)</f>
        <v>31909.360000000008</v>
      </c>
      <c r="I335" s="154">
        <f>SUM(I199,I257,I292,I308,I319,I334)</f>
        <v>378</v>
      </c>
      <c r="J335" s="155">
        <f t="array" ref="J335">IF(ISERROR(G335/I335),"",G335/I335)</f>
        <v>16.75132275132275</v>
      </c>
      <c r="K335" s="154">
        <f>SUM(K199,K257,K292,K308,K319,K334)</f>
        <v>288.76091452011548</v>
      </c>
      <c r="L335" s="155">
        <f>IF(ISERROR(G335/K335),"",G335/K335)</f>
        <v>21.928175461429717</v>
      </c>
      <c r="M335" s="154">
        <f t="shared" ref="M335:AA335" si="158">SUM(M199,M257,M292,M308,M319,M334)</f>
        <v>89.23908547988448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3" t="s">
        <v>476</v>
      </c>
      <c r="B336" s="440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440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440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440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440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440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440">
        <f>G335</f>
        <v>6332</v>
      </c>
      <c r="C342" s="638" t="s">
        <v>269</v>
      </c>
      <c r="D342" s="639"/>
      <c r="E342" s="631">
        <f>H335</f>
        <v>31909.360000000008</v>
      </c>
      <c r="F342" s="631"/>
      <c r="G342" s="631" t="s">
        <v>270</v>
      </c>
      <c r="H342" s="631"/>
      <c r="I342" s="640">
        <f>L335</f>
        <v>21.928175461429717</v>
      </c>
      <c r="J342" s="640"/>
      <c r="K342" s="628" t="s">
        <v>271</v>
      </c>
      <c r="L342" s="628"/>
      <c r="M342" s="640">
        <f>J335</f>
        <v>16.75132275132275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440">
        <f>I335+C341</f>
        <v>380</v>
      </c>
      <c r="C343" s="641" t="s">
        <v>251</v>
      </c>
      <c r="D343" s="642"/>
      <c r="E343" s="643">
        <f>K335+I341</f>
        <v>318.76091452011548</v>
      </c>
      <c r="F343" s="643"/>
      <c r="G343" s="631" t="s">
        <v>274</v>
      </c>
      <c r="H343" s="631"/>
      <c r="I343" s="640">
        <f>B343-E343</f>
        <v>61.239085479884523</v>
      </c>
      <c r="J343" s="640"/>
      <c r="K343" s="628" t="s">
        <v>275</v>
      </c>
      <c r="L343" s="628"/>
      <c r="M343" s="632">
        <f>IF(ISERROR(I343/E343),"",I343/E343)</f>
        <v>0.19211604274657712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440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296</v>
      </c>
      <c r="H348" s="444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437" t="s">
        <v>178</v>
      </c>
      <c r="C349" s="126" t="s">
        <v>179</v>
      </c>
      <c r="D349" s="108">
        <v>5.03</v>
      </c>
      <c r="E349" s="108"/>
      <c r="F349" s="127"/>
      <c r="G349" s="128"/>
      <c r="H349" s="438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46"/>
      <c r="P349" s="446"/>
      <c r="Q349" s="446"/>
      <c r="R349" s="446"/>
      <c r="S349" s="446"/>
      <c r="T349" s="446"/>
      <c r="U349" s="446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38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46"/>
      <c r="P350" s="446"/>
      <c r="Q350" s="446"/>
      <c r="R350" s="446"/>
      <c r="S350" s="446"/>
      <c r="T350" s="446"/>
      <c r="U350" s="446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38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46"/>
      <c r="P351" s="446"/>
      <c r="Q351" s="446"/>
      <c r="R351" s="446"/>
      <c r="S351" s="446"/>
      <c r="T351" s="446"/>
      <c r="U351" s="446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38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46"/>
      <c r="P352" s="446"/>
      <c r="Q352" s="446"/>
      <c r="R352" s="446"/>
      <c r="S352" s="446"/>
      <c r="T352" s="446"/>
      <c r="U352" s="446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38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46"/>
      <c r="P353" s="446"/>
      <c r="Q353" s="446"/>
      <c r="R353" s="446"/>
      <c r="S353" s="446"/>
      <c r="T353" s="446"/>
      <c r="U353" s="446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38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46"/>
      <c r="P354" s="446"/>
      <c r="Q354" s="446"/>
      <c r="R354" s="446"/>
      <c r="S354" s="446"/>
      <c r="T354" s="446"/>
      <c r="U354" s="446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38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46"/>
      <c r="P355" s="446"/>
      <c r="Q355" s="446"/>
      <c r="R355" s="446"/>
      <c r="S355" s="446"/>
      <c r="T355" s="446"/>
      <c r="U355" s="446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38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46"/>
      <c r="P356" s="446"/>
      <c r="Q356" s="446"/>
      <c r="R356" s="446"/>
      <c r="S356" s="446"/>
      <c r="T356" s="446"/>
      <c r="U356" s="446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38">
        <f t="shared" si="159"/>
        <v>0</v>
      </c>
      <c r="I357" s="43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46"/>
      <c r="P357" s="446"/>
      <c r="Q357" s="446"/>
      <c r="R357" s="446"/>
      <c r="S357" s="446"/>
      <c r="T357" s="446"/>
      <c r="U357" s="446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38">
        <f t="shared" si="159"/>
        <v>0</v>
      </c>
      <c r="I358" s="43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46"/>
      <c r="P358" s="446"/>
      <c r="Q358" s="446"/>
      <c r="R358" s="446"/>
      <c r="S358" s="446"/>
      <c r="T358" s="446"/>
      <c r="U358" s="446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38">
        <f t="shared" si="159"/>
        <v>0</v>
      </c>
      <c r="I359" s="438"/>
      <c r="J359" s="130"/>
      <c r="K359" s="131"/>
      <c r="L359" s="129"/>
      <c r="M359" s="109"/>
      <c r="N359" s="130"/>
      <c r="O359" s="446"/>
      <c r="P359" s="446"/>
      <c r="Q359" s="446"/>
      <c r="R359" s="446"/>
      <c r="S359" s="446"/>
      <c r="T359" s="446"/>
      <c r="U359" s="446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38">
        <f t="shared" si="159"/>
        <v>0</v>
      </c>
      <c r="I360" s="438"/>
      <c r="J360" s="130"/>
      <c r="K360" s="131"/>
      <c r="L360" s="129"/>
      <c r="M360" s="109"/>
      <c r="N360" s="130"/>
      <c r="O360" s="446"/>
      <c r="P360" s="446"/>
      <c r="Q360" s="446"/>
      <c r="R360" s="446"/>
      <c r="S360" s="446"/>
      <c r="T360" s="446"/>
      <c r="U360" s="446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38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46"/>
      <c r="P361" s="446"/>
      <c r="Q361" s="446"/>
      <c r="R361" s="446"/>
      <c r="S361" s="446"/>
      <c r="T361" s="446"/>
      <c r="U361" s="446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38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46"/>
      <c r="P362" s="446"/>
      <c r="Q362" s="446"/>
      <c r="R362" s="446"/>
      <c r="S362" s="446"/>
      <c r="T362" s="446"/>
      <c r="U362" s="446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38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46"/>
      <c r="P363" s="446"/>
      <c r="Q363" s="446"/>
      <c r="R363" s="446"/>
      <c r="S363" s="446"/>
      <c r="T363" s="446"/>
      <c r="U363" s="446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44" t="s">
        <v>190</v>
      </c>
      <c r="D364" s="108">
        <v>4.8</v>
      </c>
      <c r="E364" s="108"/>
      <c r="F364" s="127"/>
      <c r="G364" s="128"/>
      <c r="H364" s="438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46"/>
      <c r="P364" s="446"/>
      <c r="Q364" s="446"/>
      <c r="R364" s="446"/>
      <c r="S364" s="446"/>
      <c r="T364" s="446"/>
      <c r="U364" s="446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44" t="s">
        <v>187</v>
      </c>
      <c r="D365" s="108">
        <v>4.8</v>
      </c>
      <c r="E365" s="108"/>
      <c r="F365" s="127"/>
      <c r="G365" s="128"/>
      <c r="H365" s="438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46"/>
      <c r="P365" s="446"/>
      <c r="Q365" s="446"/>
      <c r="R365" s="446"/>
      <c r="S365" s="446"/>
      <c r="T365" s="446"/>
      <c r="U365" s="446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44" t="s">
        <v>179</v>
      </c>
      <c r="D366" s="108">
        <v>4.8</v>
      </c>
      <c r="E366" s="108"/>
      <c r="F366" s="127"/>
      <c r="G366" s="128"/>
      <c r="H366" s="438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46"/>
      <c r="P366" s="446"/>
      <c r="Q366" s="446"/>
      <c r="R366" s="446"/>
      <c r="S366" s="446"/>
      <c r="T366" s="446"/>
      <c r="U366" s="446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44" t="s">
        <v>199</v>
      </c>
      <c r="D367" s="108">
        <v>4.8</v>
      </c>
      <c r="E367" s="108"/>
      <c r="F367" s="127"/>
      <c r="G367" s="128"/>
      <c r="H367" s="438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46"/>
      <c r="P367" s="446"/>
      <c r="Q367" s="446"/>
      <c r="R367" s="446"/>
      <c r="S367" s="446"/>
      <c r="T367" s="446"/>
      <c r="U367" s="446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38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46"/>
      <c r="P368" s="446"/>
      <c r="Q368" s="446"/>
      <c r="R368" s="446"/>
      <c r="S368" s="446"/>
      <c r="T368" s="446"/>
      <c r="U368" s="446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38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46"/>
      <c r="P369" s="446"/>
      <c r="Q369" s="446"/>
      <c r="R369" s="446"/>
      <c r="S369" s="446"/>
      <c r="T369" s="446"/>
      <c r="U369" s="446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447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37" t="s">
        <v>206</v>
      </c>
      <c r="C371" s="126" t="s">
        <v>199</v>
      </c>
      <c r="D371" s="108">
        <v>5.03</v>
      </c>
      <c r="E371" s="108"/>
      <c r="F371" s="127"/>
      <c r="G371" s="128"/>
      <c r="H371" s="438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42"/>
      <c r="P371" s="442"/>
      <c r="Q371" s="442"/>
      <c r="R371" s="442"/>
      <c r="S371" s="442"/>
      <c r="T371" s="442"/>
      <c r="U371" s="442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37" t="s">
        <v>425</v>
      </c>
      <c r="C372" s="187" t="s">
        <v>427</v>
      </c>
      <c r="D372" s="108">
        <v>5.03</v>
      </c>
      <c r="E372" s="108"/>
      <c r="F372" s="127"/>
      <c r="G372" s="128"/>
      <c r="H372" s="438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42"/>
      <c r="P372" s="442"/>
      <c r="Q372" s="442"/>
      <c r="R372" s="442"/>
      <c r="S372" s="442"/>
      <c r="T372" s="442"/>
      <c r="U372" s="442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37" t="s">
        <v>206</v>
      </c>
      <c r="C373" s="126" t="s">
        <v>186</v>
      </c>
      <c r="D373" s="108">
        <v>5.03</v>
      </c>
      <c r="E373" s="108"/>
      <c r="F373" s="127"/>
      <c r="G373" s="128"/>
      <c r="H373" s="438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42"/>
      <c r="P373" s="442"/>
      <c r="Q373" s="442"/>
      <c r="R373" s="442"/>
      <c r="S373" s="442"/>
      <c r="T373" s="442"/>
      <c r="U373" s="442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37" t="s">
        <v>206</v>
      </c>
      <c r="C374" s="126" t="s">
        <v>203</v>
      </c>
      <c r="D374" s="108">
        <v>5.03</v>
      </c>
      <c r="E374" s="108"/>
      <c r="F374" s="127"/>
      <c r="G374" s="128"/>
      <c r="H374" s="438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42"/>
      <c r="P374" s="442"/>
      <c r="Q374" s="442"/>
      <c r="R374" s="442"/>
      <c r="S374" s="442"/>
      <c r="T374" s="442"/>
      <c r="U374" s="442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37" t="s">
        <v>206</v>
      </c>
      <c r="C375" s="126" t="s">
        <v>207</v>
      </c>
      <c r="D375" s="108">
        <v>5.03</v>
      </c>
      <c r="E375" s="108"/>
      <c r="F375" s="127"/>
      <c r="G375" s="128"/>
      <c r="H375" s="438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42"/>
      <c r="P375" s="442"/>
      <c r="Q375" s="442"/>
      <c r="R375" s="442"/>
      <c r="S375" s="442"/>
      <c r="T375" s="442"/>
      <c r="U375" s="442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37" t="s">
        <v>414</v>
      </c>
      <c r="C376" s="187" t="s">
        <v>415</v>
      </c>
      <c r="D376" s="108"/>
      <c r="E376" s="108"/>
      <c r="F376" s="127"/>
      <c r="G376" s="128"/>
      <c r="H376" s="438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42"/>
      <c r="P376" s="442"/>
      <c r="Q376" s="442"/>
      <c r="R376" s="442"/>
      <c r="S376" s="442"/>
      <c r="T376" s="442"/>
      <c r="U376" s="44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37" t="s">
        <v>414</v>
      </c>
      <c r="C377" s="187" t="s">
        <v>416</v>
      </c>
      <c r="D377" s="108"/>
      <c r="E377" s="108"/>
      <c r="F377" s="127"/>
      <c r="G377" s="128"/>
      <c r="H377" s="438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42"/>
      <c r="P377" s="442"/>
      <c r="Q377" s="442"/>
      <c r="R377" s="442"/>
      <c r="S377" s="442"/>
      <c r="T377" s="442"/>
      <c r="U377" s="442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37" t="s">
        <v>414</v>
      </c>
      <c r="C378" s="187" t="s">
        <v>61</v>
      </c>
      <c r="D378" s="108"/>
      <c r="E378" s="108"/>
      <c r="F378" s="127"/>
      <c r="G378" s="128"/>
      <c r="H378" s="438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42"/>
      <c r="P378" s="442"/>
      <c r="Q378" s="442"/>
      <c r="R378" s="442"/>
      <c r="S378" s="442"/>
      <c r="T378" s="442"/>
      <c r="U378" s="442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37" t="s">
        <v>208</v>
      </c>
      <c r="C379" s="126" t="s">
        <v>179</v>
      </c>
      <c r="D379" s="108">
        <v>5.08</v>
      </c>
      <c r="E379" s="108"/>
      <c r="F379" s="127"/>
      <c r="G379" s="128"/>
      <c r="H379" s="438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42"/>
      <c r="P379" s="442"/>
      <c r="Q379" s="442"/>
      <c r="R379" s="442"/>
      <c r="S379" s="442"/>
      <c r="T379" s="442"/>
      <c r="U379" s="442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37" t="s">
        <v>208</v>
      </c>
      <c r="C380" s="126" t="s">
        <v>204</v>
      </c>
      <c r="D380" s="108">
        <v>5.08</v>
      </c>
      <c r="E380" s="108"/>
      <c r="F380" s="127"/>
      <c r="G380" s="128"/>
      <c r="H380" s="438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42"/>
      <c r="P380" s="442"/>
      <c r="Q380" s="442"/>
      <c r="R380" s="442"/>
      <c r="S380" s="442"/>
      <c r="T380" s="442"/>
      <c r="U380" s="442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37" t="s">
        <v>208</v>
      </c>
      <c r="C381" s="126" t="s">
        <v>205</v>
      </c>
      <c r="D381" s="108">
        <v>5.08</v>
      </c>
      <c r="E381" s="108"/>
      <c r="F381" s="127"/>
      <c r="G381" s="128"/>
      <c r="H381" s="438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42"/>
      <c r="P381" s="442"/>
      <c r="Q381" s="442"/>
      <c r="R381" s="442"/>
      <c r="S381" s="442"/>
      <c r="T381" s="442"/>
      <c r="U381" s="442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37" t="s">
        <v>208</v>
      </c>
      <c r="C382" s="126" t="s">
        <v>186</v>
      </c>
      <c r="D382" s="108">
        <v>5.08</v>
      </c>
      <c r="E382" s="108"/>
      <c r="F382" s="127"/>
      <c r="G382" s="128"/>
      <c r="H382" s="438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42"/>
      <c r="P382" s="442"/>
      <c r="Q382" s="442"/>
      <c r="R382" s="442"/>
      <c r="S382" s="442"/>
      <c r="T382" s="442"/>
      <c r="U382" s="442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37" t="s">
        <v>208</v>
      </c>
      <c r="C383" s="126" t="s">
        <v>203</v>
      </c>
      <c r="D383" s="108">
        <v>5.08</v>
      </c>
      <c r="E383" s="108"/>
      <c r="F383" s="127"/>
      <c r="G383" s="128"/>
      <c r="H383" s="438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42"/>
      <c r="P383" s="442"/>
      <c r="Q383" s="442"/>
      <c r="R383" s="442"/>
      <c r="S383" s="442"/>
      <c r="T383" s="442"/>
      <c r="U383" s="442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37" t="s">
        <v>208</v>
      </c>
      <c r="C384" s="126" t="s">
        <v>199</v>
      </c>
      <c r="D384" s="108">
        <v>5.08</v>
      </c>
      <c r="E384" s="108"/>
      <c r="F384" s="127"/>
      <c r="G384" s="128"/>
      <c r="H384" s="438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46"/>
      <c r="P384" s="446"/>
      <c r="Q384" s="446"/>
      <c r="R384" s="446"/>
      <c r="S384" s="446"/>
      <c r="T384" s="446"/>
      <c r="U384" s="446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37" t="s">
        <v>208</v>
      </c>
      <c r="C385" s="126" t="s">
        <v>187</v>
      </c>
      <c r="D385" s="108">
        <v>5.08</v>
      </c>
      <c r="E385" s="108"/>
      <c r="F385" s="127"/>
      <c r="G385" s="128"/>
      <c r="H385" s="438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42"/>
      <c r="P385" s="442"/>
      <c r="Q385" s="442"/>
      <c r="R385" s="442"/>
      <c r="S385" s="442"/>
      <c r="T385" s="442"/>
      <c r="U385" s="442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37" t="s">
        <v>208</v>
      </c>
      <c r="C386" s="126" t="s">
        <v>207</v>
      </c>
      <c r="D386" s="108">
        <v>5.08</v>
      </c>
      <c r="E386" s="108"/>
      <c r="F386" s="127"/>
      <c r="G386" s="128"/>
      <c r="H386" s="438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46"/>
      <c r="P386" s="446"/>
      <c r="Q386" s="446"/>
      <c r="R386" s="446"/>
      <c r="S386" s="446"/>
      <c r="T386" s="446"/>
      <c r="U386" s="446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37" t="s">
        <v>209</v>
      </c>
      <c r="C387" s="126" t="s">
        <v>194</v>
      </c>
      <c r="D387" s="108">
        <v>5.03</v>
      </c>
      <c r="E387" s="108"/>
      <c r="F387" s="127"/>
      <c r="G387" s="128"/>
      <c r="H387" s="438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42"/>
      <c r="P387" s="442"/>
      <c r="Q387" s="442"/>
      <c r="R387" s="442"/>
      <c r="S387" s="442"/>
      <c r="T387" s="442"/>
      <c r="U387" s="442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37" t="s">
        <v>209</v>
      </c>
      <c r="C388" s="126" t="s">
        <v>179</v>
      </c>
      <c r="D388" s="108">
        <v>5.03</v>
      </c>
      <c r="E388" s="108"/>
      <c r="F388" s="127"/>
      <c r="G388" s="128"/>
      <c r="H388" s="438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42"/>
      <c r="P388" s="442"/>
      <c r="Q388" s="442"/>
      <c r="R388" s="442"/>
      <c r="S388" s="442"/>
      <c r="T388" s="442"/>
      <c r="U388" s="442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37" t="s">
        <v>209</v>
      </c>
      <c r="C389" s="126" t="s">
        <v>195</v>
      </c>
      <c r="D389" s="108">
        <v>5.03</v>
      </c>
      <c r="E389" s="108"/>
      <c r="F389" s="127"/>
      <c r="G389" s="128"/>
      <c r="H389" s="438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42"/>
      <c r="P389" s="442"/>
      <c r="Q389" s="442"/>
      <c r="R389" s="442"/>
      <c r="S389" s="442"/>
      <c r="T389" s="442"/>
      <c r="U389" s="442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37" t="s">
        <v>209</v>
      </c>
      <c r="C390" s="126" t="s">
        <v>204</v>
      </c>
      <c r="D390" s="108">
        <v>5.03</v>
      </c>
      <c r="E390" s="108"/>
      <c r="F390" s="127"/>
      <c r="G390" s="128"/>
      <c r="H390" s="438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42"/>
      <c r="P390" s="442"/>
      <c r="Q390" s="442"/>
      <c r="R390" s="442"/>
      <c r="S390" s="442"/>
      <c r="T390" s="442"/>
      <c r="U390" s="442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37" t="s">
        <v>382</v>
      </c>
      <c r="C391" s="187" t="s">
        <v>383</v>
      </c>
      <c r="D391" s="108">
        <v>5.03</v>
      </c>
      <c r="E391" s="108"/>
      <c r="F391" s="127"/>
      <c r="G391" s="128"/>
      <c r="H391" s="438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42"/>
      <c r="P391" s="442"/>
      <c r="Q391" s="442"/>
      <c r="R391" s="442"/>
      <c r="S391" s="442"/>
      <c r="T391" s="442"/>
      <c r="U391" s="44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37" t="s">
        <v>382</v>
      </c>
      <c r="C392" s="187" t="s">
        <v>384</v>
      </c>
      <c r="D392" s="108">
        <v>5.03</v>
      </c>
      <c r="E392" s="108"/>
      <c r="F392" s="127"/>
      <c r="G392" s="128"/>
      <c r="H392" s="438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42"/>
      <c r="P392" s="442"/>
      <c r="Q392" s="442"/>
      <c r="R392" s="442"/>
      <c r="S392" s="442"/>
      <c r="T392" s="442"/>
      <c r="U392" s="44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37" t="s">
        <v>382</v>
      </c>
      <c r="C393" s="187" t="s">
        <v>389</v>
      </c>
      <c r="D393" s="108">
        <v>5.03</v>
      </c>
      <c r="E393" s="108"/>
      <c r="F393" s="127"/>
      <c r="G393" s="128"/>
      <c r="H393" s="438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42"/>
      <c r="P393" s="442"/>
      <c r="Q393" s="442"/>
      <c r="R393" s="442"/>
      <c r="S393" s="442"/>
      <c r="T393" s="442"/>
      <c r="U393" s="44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37" t="s">
        <v>382</v>
      </c>
      <c r="C394" s="187" t="s">
        <v>391</v>
      </c>
      <c r="D394" s="108">
        <v>5.03</v>
      </c>
      <c r="E394" s="108"/>
      <c r="F394" s="127"/>
      <c r="G394" s="128"/>
      <c r="H394" s="438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42"/>
      <c r="P394" s="442"/>
      <c r="Q394" s="442"/>
      <c r="R394" s="442"/>
      <c r="S394" s="442"/>
      <c r="T394" s="442"/>
      <c r="U394" s="44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37" t="s">
        <v>418</v>
      </c>
      <c r="C395" s="187" t="s">
        <v>364</v>
      </c>
      <c r="D395" s="108">
        <v>5.03</v>
      </c>
      <c r="E395" s="108"/>
      <c r="F395" s="127"/>
      <c r="G395" s="128"/>
      <c r="H395" s="438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42"/>
      <c r="P395" s="442"/>
      <c r="Q395" s="442"/>
      <c r="R395" s="442"/>
      <c r="S395" s="442"/>
      <c r="T395" s="442"/>
      <c r="U395" s="44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37" t="s">
        <v>418</v>
      </c>
      <c r="C396" s="187" t="s">
        <v>365</v>
      </c>
      <c r="D396" s="108">
        <v>5.03</v>
      </c>
      <c r="E396" s="108"/>
      <c r="F396" s="127"/>
      <c r="G396" s="128"/>
      <c r="H396" s="438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42"/>
      <c r="P396" s="442"/>
      <c r="Q396" s="442"/>
      <c r="R396" s="442"/>
      <c r="S396" s="442"/>
      <c r="T396" s="442"/>
      <c r="U396" s="44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37" t="s">
        <v>418</v>
      </c>
      <c r="C397" s="187" t="s">
        <v>366</v>
      </c>
      <c r="D397" s="108">
        <v>5.03</v>
      </c>
      <c r="E397" s="108"/>
      <c r="F397" s="127"/>
      <c r="G397" s="128"/>
      <c r="H397" s="438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42"/>
      <c r="P397" s="442"/>
      <c r="Q397" s="442"/>
      <c r="R397" s="442"/>
      <c r="S397" s="442"/>
      <c r="T397" s="442"/>
      <c r="U397" s="442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37" t="s">
        <v>418</v>
      </c>
      <c r="C398" s="187" t="s">
        <v>367</v>
      </c>
      <c r="D398" s="108">
        <v>5.03</v>
      </c>
      <c r="E398" s="108"/>
      <c r="F398" s="127"/>
      <c r="G398" s="128"/>
      <c r="H398" s="438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42"/>
      <c r="P398" s="442"/>
      <c r="Q398" s="442"/>
      <c r="R398" s="442"/>
      <c r="S398" s="442"/>
      <c r="T398" s="442"/>
      <c r="U398" s="442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38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46"/>
      <c r="P399" s="446"/>
      <c r="Q399" s="446"/>
      <c r="R399" s="446"/>
      <c r="S399" s="446"/>
      <c r="T399" s="446"/>
      <c r="U399" s="446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38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46"/>
      <c r="P400" s="446"/>
      <c r="Q400" s="446"/>
      <c r="R400" s="446"/>
      <c r="S400" s="446"/>
      <c r="T400" s="446"/>
      <c r="U400" s="446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38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46"/>
      <c r="P401" s="446"/>
      <c r="Q401" s="446"/>
      <c r="R401" s="446"/>
      <c r="S401" s="446"/>
      <c r="T401" s="446"/>
      <c r="U401" s="446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38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46"/>
      <c r="P402" s="446"/>
      <c r="Q402" s="446"/>
      <c r="R402" s="446"/>
      <c r="S402" s="446"/>
      <c r="T402" s="446"/>
      <c r="U402" s="446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38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46"/>
      <c r="P403" s="446"/>
      <c r="Q403" s="446"/>
      <c r="R403" s="446"/>
      <c r="S403" s="446"/>
      <c r="T403" s="446"/>
      <c r="U403" s="446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38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46"/>
      <c r="P404" s="446"/>
      <c r="Q404" s="446"/>
      <c r="R404" s="446"/>
      <c r="S404" s="446"/>
      <c r="T404" s="446"/>
      <c r="U404" s="446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38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46"/>
      <c r="P405" s="446"/>
      <c r="Q405" s="446"/>
      <c r="R405" s="446"/>
      <c r="S405" s="446"/>
      <c r="T405" s="446"/>
      <c r="U405" s="446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38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46"/>
      <c r="P406" s="446"/>
      <c r="Q406" s="446"/>
      <c r="R406" s="446"/>
      <c r="S406" s="446"/>
      <c r="T406" s="446"/>
      <c r="U406" s="446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38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46"/>
      <c r="P407" s="446"/>
      <c r="Q407" s="446"/>
      <c r="R407" s="446"/>
      <c r="S407" s="446"/>
      <c r="T407" s="446"/>
      <c r="U407" s="446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38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46"/>
      <c r="P408" s="446"/>
      <c r="Q408" s="446"/>
      <c r="R408" s="446"/>
      <c r="S408" s="446"/>
      <c r="T408" s="446"/>
      <c r="U408" s="446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38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46"/>
      <c r="P409" s="446"/>
      <c r="Q409" s="446"/>
      <c r="R409" s="446"/>
      <c r="S409" s="446"/>
      <c r="T409" s="446"/>
      <c r="U409" s="446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38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46"/>
      <c r="P410" s="446"/>
      <c r="Q410" s="446"/>
      <c r="R410" s="446"/>
      <c r="S410" s="446"/>
      <c r="T410" s="446"/>
      <c r="U410" s="446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38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46"/>
      <c r="P411" s="446"/>
      <c r="Q411" s="446"/>
      <c r="R411" s="446"/>
      <c r="S411" s="446"/>
      <c r="T411" s="446"/>
      <c r="U411" s="446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38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46"/>
      <c r="P412" s="446"/>
      <c r="Q412" s="446"/>
      <c r="R412" s="446"/>
      <c r="S412" s="446"/>
      <c r="T412" s="446"/>
      <c r="U412" s="446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38">
        <f t="shared" si="172"/>
        <v>0</v>
      </c>
      <c r="I413" s="129"/>
      <c r="J413" s="130"/>
      <c r="K413" s="131"/>
      <c r="L413" s="129"/>
      <c r="M413" s="109"/>
      <c r="N413" s="130"/>
      <c r="O413" s="446"/>
      <c r="P413" s="446"/>
      <c r="Q413" s="446"/>
      <c r="R413" s="446"/>
      <c r="S413" s="446"/>
      <c r="T413" s="446"/>
      <c r="U413" s="446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38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46"/>
      <c r="P414" s="446"/>
      <c r="Q414" s="446"/>
      <c r="R414" s="446"/>
      <c r="S414" s="446"/>
      <c r="T414" s="446"/>
      <c r="U414" s="446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38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46"/>
      <c r="P415" s="446"/>
      <c r="Q415" s="446"/>
      <c r="R415" s="446"/>
      <c r="S415" s="446"/>
      <c r="T415" s="446"/>
      <c r="U415" s="446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38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46"/>
      <c r="P416" s="446"/>
      <c r="Q416" s="446"/>
      <c r="R416" s="446"/>
      <c r="S416" s="446"/>
      <c r="T416" s="446"/>
      <c r="U416" s="446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38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46"/>
      <c r="P417" s="446"/>
      <c r="Q417" s="446"/>
      <c r="R417" s="446"/>
      <c r="S417" s="446"/>
      <c r="T417" s="446"/>
      <c r="U417" s="446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38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46"/>
      <c r="P418" s="446"/>
      <c r="Q418" s="446"/>
      <c r="R418" s="446"/>
      <c r="S418" s="446"/>
      <c r="T418" s="446"/>
      <c r="U418" s="446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38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46"/>
      <c r="P419" s="446"/>
      <c r="Q419" s="446"/>
      <c r="R419" s="446"/>
      <c r="S419" s="446"/>
      <c r="T419" s="446"/>
      <c r="U419" s="446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38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46"/>
      <c r="P420" s="446"/>
      <c r="Q420" s="446"/>
      <c r="R420" s="446"/>
      <c r="S420" s="446"/>
      <c r="T420" s="446"/>
      <c r="U420" s="446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38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46"/>
      <c r="P421" s="446"/>
      <c r="Q421" s="446"/>
      <c r="R421" s="446"/>
      <c r="S421" s="446"/>
      <c r="T421" s="446"/>
      <c r="U421" s="446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38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46"/>
      <c r="P422" s="446"/>
      <c r="Q422" s="446"/>
      <c r="R422" s="446"/>
      <c r="S422" s="446"/>
      <c r="T422" s="446"/>
      <c r="U422" s="446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38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46"/>
      <c r="P423" s="446"/>
      <c r="Q423" s="446"/>
      <c r="R423" s="446"/>
      <c r="S423" s="446"/>
      <c r="T423" s="446"/>
      <c r="U423" s="446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38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46"/>
      <c r="P424" s="446"/>
      <c r="Q424" s="446"/>
      <c r="R424" s="446"/>
      <c r="S424" s="446"/>
      <c r="T424" s="446"/>
      <c r="U424" s="446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38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46"/>
      <c r="P425" s="446"/>
      <c r="Q425" s="446"/>
      <c r="R425" s="446"/>
      <c r="S425" s="446"/>
      <c r="T425" s="446"/>
      <c r="U425" s="446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38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46"/>
      <c r="P426" s="446"/>
      <c r="Q426" s="446"/>
      <c r="R426" s="446"/>
      <c r="S426" s="446"/>
      <c r="T426" s="446"/>
      <c r="U426" s="446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38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46"/>
      <c r="P427" s="446"/>
      <c r="Q427" s="446"/>
      <c r="R427" s="446"/>
      <c r="S427" s="446"/>
      <c r="T427" s="446"/>
      <c r="U427" s="446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47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37" t="s">
        <v>217</v>
      </c>
      <c r="C429" s="126" t="s">
        <v>179</v>
      </c>
      <c r="D429" s="108">
        <v>5.03</v>
      </c>
      <c r="E429" s="108"/>
      <c r="F429" s="127"/>
      <c r="G429" s="128"/>
      <c r="H429" s="438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46"/>
      <c r="P429" s="446"/>
      <c r="Q429" s="446"/>
      <c r="R429" s="446"/>
      <c r="S429" s="446"/>
      <c r="T429" s="446"/>
      <c r="U429" s="446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37" t="s">
        <v>217</v>
      </c>
      <c r="C430" s="126" t="s">
        <v>186</v>
      </c>
      <c r="D430" s="108">
        <v>5.03</v>
      </c>
      <c r="E430" s="108"/>
      <c r="F430" s="127"/>
      <c r="G430" s="128"/>
      <c r="H430" s="438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46"/>
      <c r="P430" s="446"/>
      <c r="Q430" s="446"/>
      <c r="R430" s="446"/>
      <c r="S430" s="446"/>
      <c r="T430" s="446"/>
      <c r="U430" s="446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37" t="s">
        <v>217</v>
      </c>
      <c r="C431" s="126" t="s">
        <v>204</v>
      </c>
      <c r="D431" s="108">
        <v>5.03</v>
      </c>
      <c r="E431" s="108"/>
      <c r="F431" s="127"/>
      <c r="G431" s="128"/>
      <c r="H431" s="438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46"/>
      <c r="P431" s="446"/>
      <c r="Q431" s="446"/>
      <c r="R431" s="446"/>
      <c r="S431" s="446"/>
      <c r="T431" s="446"/>
      <c r="U431" s="446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38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46"/>
      <c r="P432" s="446"/>
      <c r="Q432" s="446"/>
      <c r="R432" s="446"/>
      <c r="S432" s="446"/>
      <c r="T432" s="446"/>
      <c r="U432" s="446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/>
      <c r="G433" s="128"/>
      <c r="H433" s="438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46"/>
      <c r="P433" s="446"/>
      <c r="Q433" s="446"/>
      <c r="R433" s="446"/>
      <c r="S433" s="446"/>
      <c r="T433" s="446"/>
      <c r="U433" s="446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38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46"/>
      <c r="P434" s="446"/>
      <c r="Q434" s="446"/>
      <c r="R434" s="446"/>
      <c r="S434" s="446"/>
      <c r="T434" s="446"/>
      <c r="U434" s="446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38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46"/>
      <c r="P435" s="446"/>
      <c r="Q435" s="446"/>
      <c r="R435" s="446"/>
      <c r="S435" s="446"/>
      <c r="T435" s="446"/>
      <c r="U435" s="446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38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46"/>
      <c r="P436" s="446"/>
      <c r="Q436" s="446"/>
      <c r="R436" s="446"/>
      <c r="S436" s="446"/>
      <c r="T436" s="446"/>
      <c r="U436" s="446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38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46"/>
      <c r="P437" s="446"/>
      <c r="Q437" s="446"/>
      <c r="R437" s="446"/>
      <c r="S437" s="446"/>
      <c r="T437" s="446"/>
      <c r="U437" s="446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38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46"/>
      <c r="P438" s="446"/>
      <c r="Q438" s="446"/>
      <c r="R438" s="446"/>
      <c r="S438" s="446"/>
      <c r="T438" s="446"/>
      <c r="U438" s="446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38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46"/>
      <c r="P439" s="446"/>
      <c r="Q439" s="446"/>
      <c r="R439" s="446"/>
      <c r="S439" s="446"/>
      <c r="T439" s="446"/>
      <c r="U439" s="446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38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46"/>
      <c r="P440" s="446"/>
      <c r="Q440" s="446"/>
      <c r="R440" s="446"/>
      <c r="S440" s="446"/>
      <c r="T440" s="446"/>
      <c r="U440" s="446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38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46"/>
      <c r="P441" s="446"/>
      <c r="Q441" s="446"/>
      <c r="R441" s="446"/>
      <c r="S441" s="446"/>
      <c r="T441" s="446"/>
      <c r="U441" s="446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38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46"/>
      <c r="P442" s="446"/>
      <c r="Q442" s="446"/>
      <c r="R442" s="446"/>
      <c r="S442" s="446"/>
      <c r="T442" s="446"/>
      <c r="U442" s="446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38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46"/>
      <c r="P443" s="446"/>
      <c r="Q443" s="446"/>
      <c r="R443" s="446"/>
      <c r="S443" s="446"/>
      <c r="T443" s="446"/>
      <c r="U443" s="446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38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46"/>
      <c r="P444" s="446"/>
      <c r="Q444" s="446"/>
      <c r="R444" s="446"/>
      <c r="S444" s="446"/>
      <c r="T444" s="446"/>
      <c r="U444" s="446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37" t="s">
        <v>222</v>
      </c>
      <c r="C445" s="126" t="s">
        <v>181</v>
      </c>
      <c r="D445" s="108">
        <v>9.36</v>
      </c>
      <c r="E445" s="108"/>
      <c r="F445" s="127"/>
      <c r="G445" s="128"/>
      <c r="H445" s="438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46"/>
      <c r="P445" s="446"/>
      <c r="Q445" s="446"/>
      <c r="R445" s="446"/>
      <c r="S445" s="446"/>
      <c r="T445" s="446"/>
      <c r="U445" s="446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37" t="s">
        <v>222</v>
      </c>
      <c r="C446" s="126" t="s">
        <v>179</v>
      </c>
      <c r="D446" s="108">
        <v>9.36</v>
      </c>
      <c r="E446" s="108"/>
      <c r="F446" s="127"/>
      <c r="G446" s="128"/>
      <c r="H446" s="438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46"/>
      <c r="P446" s="446"/>
      <c r="Q446" s="446"/>
      <c r="R446" s="446"/>
      <c r="S446" s="446"/>
      <c r="T446" s="446"/>
      <c r="U446" s="446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37" t="s">
        <v>222</v>
      </c>
      <c r="C447" s="126" t="s">
        <v>221</v>
      </c>
      <c r="D447" s="108">
        <v>9.36</v>
      </c>
      <c r="E447" s="108"/>
      <c r="F447" s="127"/>
      <c r="G447" s="128"/>
      <c r="H447" s="438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46"/>
      <c r="P447" s="446"/>
      <c r="Q447" s="446"/>
      <c r="R447" s="446"/>
      <c r="S447" s="446"/>
      <c r="T447" s="446"/>
      <c r="U447" s="446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37" t="s">
        <v>222</v>
      </c>
      <c r="C448" s="126" t="s">
        <v>186</v>
      </c>
      <c r="D448" s="108">
        <v>9.36</v>
      </c>
      <c r="E448" s="108"/>
      <c r="F448" s="127"/>
      <c r="G448" s="128"/>
      <c r="H448" s="438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46"/>
      <c r="P448" s="446"/>
      <c r="Q448" s="446"/>
      <c r="R448" s="446"/>
      <c r="S448" s="446"/>
      <c r="T448" s="446"/>
      <c r="U448" s="446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37" t="s">
        <v>393</v>
      </c>
      <c r="C449" s="187" t="s">
        <v>395</v>
      </c>
      <c r="D449" s="108">
        <v>5</v>
      </c>
      <c r="E449" s="108"/>
      <c r="F449" s="127"/>
      <c r="G449" s="128"/>
      <c r="H449" s="438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46"/>
      <c r="P449" s="446"/>
      <c r="Q449" s="446"/>
      <c r="R449" s="446"/>
      <c r="S449" s="446"/>
      <c r="T449" s="446"/>
      <c r="U449" s="446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37" t="s">
        <v>393</v>
      </c>
      <c r="C450" s="187" t="s">
        <v>402</v>
      </c>
      <c r="D450" s="108">
        <v>5</v>
      </c>
      <c r="E450" s="108"/>
      <c r="F450" s="127"/>
      <c r="G450" s="128"/>
      <c r="H450" s="438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46"/>
      <c r="P450" s="446"/>
      <c r="Q450" s="446"/>
      <c r="R450" s="446"/>
      <c r="S450" s="446"/>
      <c r="T450" s="446"/>
      <c r="U450" s="446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37" t="s">
        <v>404</v>
      </c>
      <c r="C451" s="187" t="s">
        <v>405</v>
      </c>
      <c r="D451" s="108">
        <v>5</v>
      </c>
      <c r="E451" s="108"/>
      <c r="F451" s="127"/>
      <c r="G451" s="128"/>
      <c r="H451" s="438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46"/>
      <c r="P451" s="446"/>
      <c r="Q451" s="446"/>
      <c r="R451" s="446"/>
      <c r="S451" s="446"/>
      <c r="T451" s="446"/>
      <c r="U451" s="446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37" t="s">
        <v>342</v>
      </c>
      <c r="C452" s="187" t="s">
        <v>372</v>
      </c>
      <c r="D452" s="108">
        <v>5</v>
      </c>
      <c r="E452" s="108"/>
      <c r="F452" s="127"/>
      <c r="G452" s="128"/>
      <c r="H452" s="438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46"/>
      <c r="P452" s="446"/>
      <c r="Q452" s="446"/>
      <c r="R452" s="446"/>
      <c r="S452" s="446"/>
      <c r="T452" s="446"/>
      <c r="U452" s="446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37" t="s">
        <v>343</v>
      </c>
      <c r="C453" s="126" t="s">
        <v>345</v>
      </c>
      <c r="D453" s="108">
        <v>5</v>
      </c>
      <c r="E453" s="108"/>
      <c r="F453" s="127"/>
      <c r="G453" s="128"/>
      <c r="H453" s="438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46"/>
      <c r="P453" s="446"/>
      <c r="Q453" s="446"/>
      <c r="R453" s="446"/>
      <c r="S453" s="446"/>
      <c r="T453" s="446"/>
      <c r="U453" s="446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37" t="s">
        <v>343</v>
      </c>
      <c r="C454" s="126" t="s">
        <v>347</v>
      </c>
      <c r="D454" s="108">
        <v>5</v>
      </c>
      <c r="E454" s="108"/>
      <c r="F454" s="127"/>
      <c r="G454" s="128"/>
      <c r="H454" s="438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46"/>
      <c r="P454" s="446"/>
      <c r="Q454" s="446"/>
      <c r="R454" s="446"/>
      <c r="S454" s="446"/>
      <c r="T454" s="446"/>
      <c r="U454" s="446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38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46"/>
      <c r="P455" s="446"/>
      <c r="Q455" s="446"/>
      <c r="R455" s="446"/>
      <c r="S455" s="446"/>
      <c r="T455" s="446"/>
      <c r="U455" s="446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38">
        <f t="shared" si="197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201"/>
        <v>0</v>
      </c>
      <c r="N456" s="130">
        <f t="shared" si="202"/>
        <v>0</v>
      </c>
      <c r="O456" s="446"/>
      <c r="P456" s="446"/>
      <c r="Q456" s="446"/>
      <c r="R456" s="446"/>
      <c r="S456" s="446"/>
      <c r="T456" s="446"/>
      <c r="U456" s="446"/>
      <c r="V456" s="132">
        <f t="shared" si="206"/>
        <v>0</v>
      </c>
      <c r="W456" s="133" t="str">
        <f t="shared" si="207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38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46"/>
      <c r="P457" s="446"/>
      <c r="Q457" s="446"/>
      <c r="R457" s="446"/>
      <c r="S457" s="446"/>
      <c r="T457" s="446"/>
      <c r="U457" s="446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38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46"/>
      <c r="P458" s="446"/>
      <c r="Q458" s="446"/>
      <c r="R458" s="446"/>
      <c r="S458" s="446"/>
      <c r="T458" s="446"/>
      <c r="U458" s="446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38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46"/>
      <c r="P459" s="446"/>
      <c r="Q459" s="446"/>
      <c r="R459" s="446"/>
      <c r="S459" s="446"/>
      <c r="T459" s="446"/>
      <c r="U459" s="446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38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46"/>
      <c r="P460" s="446"/>
      <c r="Q460" s="446"/>
      <c r="R460" s="446"/>
      <c r="S460" s="446"/>
      <c r="T460" s="446"/>
      <c r="U460" s="446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38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46"/>
      <c r="P461" s="446"/>
      <c r="Q461" s="446"/>
      <c r="R461" s="446"/>
      <c r="S461" s="446"/>
      <c r="T461" s="446"/>
      <c r="U461" s="446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38">
        <f t="shared" si="197"/>
        <v>0</v>
      </c>
      <c r="I462" s="129"/>
      <c r="J462" s="130" t="str">
        <f t="array" ref="J462">IF(ISERROR(G462/I462),"",G462/I462)</f>
        <v/>
      </c>
      <c r="K462" s="438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46"/>
      <c r="P462" s="446"/>
      <c r="Q462" s="446"/>
      <c r="R462" s="446"/>
      <c r="S462" s="446"/>
      <c r="T462" s="446"/>
      <c r="U462" s="446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618" t="s">
        <v>224</v>
      </c>
      <c r="B463" s="619"/>
      <c r="C463" s="447" t="s">
        <v>202</v>
      </c>
      <c r="D463" s="143"/>
      <c r="E463" s="143"/>
      <c r="F463" s="144"/>
      <c r="G463" s="145">
        <f>SUM(G429:G462)</f>
        <v>0</v>
      </c>
      <c r="H463" s="146">
        <f>SUM(H429:H462)</f>
        <v>0</v>
      </c>
      <c r="I463" s="146">
        <f>SUM(I429:I462)</f>
        <v>0</v>
      </c>
      <c r="J463" s="130" t="str">
        <f t="array" ref="J463">IF(ISERROR(G463/I463),"",G463/I463)</f>
        <v/>
      </c>
      <c r="K463" s="146">
        <f>SUM(K429:K462)</f>
        <v>0</v>
      </c>
      <c r="L463" s="147"/>
      <c r="M463" s="150">
        <f t="shared" ref="M463:V463" si="211">SUM(M429:M462)</f>
        <v>0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 t="str">
        <f t="shared" si="210"/>
        <v/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38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46"/>
      <c r="P464" s="446"/>
      <c r="Q464" s="446"/>
      <c r="R464" s="446"/>
      <c r="S464" s="446"/>
      <c r="T464" s="446"/>
      <c r="U464" s="446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38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46"/>
      <c r="P465" s="446"/>
      <c r="Q465" s="446"/>
      <c r="R465" s="446"/>
      <c r="S465" s="446"/>
      <c r="T465" s="446"/>
      <c r="U465" s="446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38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46"/>
      <c r="P466" s="446"/>
      <c r="Q466" s="446"/>
      <c r="R466" s="446"/>
      <c r="S466" s="446"/>
      <c r="T466" s="446"/>
      <c r="U466" s="446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38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46"/>
      <c r="P467" s="446"/>
      <c r="Q467" s="446"/>
      <c r="R467" s="446"/>
      <c r="S467" s="446"/>
      <c r="T467" s="446"/>
      <c r="U467" s="446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43" t="s">
        <v>203</v>
      </c>
      <c r="D468" s="108">
        <v>5.03</v>
      </c>
      <c r="E468" s="108"/>
      <c r="F468" s="127"/>
      <c r="G468" s="128"/>
      <c r="H468" s="438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46"/>
      <c r="P468" s="446"/>
      <c r="Q468" s="446"/>
      <c r="R468" s="446"/>
      <c r="S468" s="446"/>
      <c r="T468" s="446"/>
      <c r="U468" s="446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38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46"/>
      <c r="P469" s="446"/>
      <c r="Q469" s="446"/>
      <c r="R469" s="446"/>
      <c r="S469" s="446"/>
      <c r="T469" s="446"/>
      <c r="U469" s="446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38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46"/>
      <c r="P470" s="446"/>
      <c r="Q470" s="446"/>
      <c r="R470" s="446"/>
      <c r="S470" s="446"/>
      <c r="T470" s="446"/>
      <c r="U470" s="446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43" t="s">
        <v>228</v>
      </c>
      <c r="D471" s="108">
        <v>5.03</v>
      </c>
      <c r="E471" s="108"/>
      <c r="F471" s="127"/>
      <c r="G471" s="128"/>
      <c r="H471" s="438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46"/>
      <c r="P471" s="446"/>
      <c r="Q471" s="446"/>
      <c r="R471" s="446"/>
      <c r="S471" s="446"/>
      <c r="T471" s="446"/>
      <c r="U471" s="446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43" t="s">
        <v>212</v>
      </c>
      <c r="D472" s="108">
        <v>5.03</v>
      </c>
      <c r="E472" s="108"/>
      <c r="F472" s="127"/>
      <c r="G472" s="128"/>
      <c r="H472" s="438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46"/>
      <c r="P472" s="446"/>
      <c r="Q472" s="446"/>
      <c r="R472" s="446"/>
      <c r="S472" s="446"/>
      <c r="T472" s="446"/>
      <c r="U472" s="446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43" t="s">
        <v>203</v>
      </c>
      <c r="D473" s="108">
        <v>5.03</v>
      </c>
      <c r="E473" s="108"/>
      <c r="F473" s="127"/>
      <c r="G473" s="128"/>
      <c r="H473" s="438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46"/>
      <c r="P473" s="446"/>
      <c r="Q473" s="446"/>
      <c r="R473" s="446"/>
      <c r="S473" s="446"/>
      <c r="T473" s="446"/>
      <c r="U473" s="446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43" t="s">
        <v>186</v>
      </c>
      <c r="D474" s="108">
        <v>5.03</v>
      </c>
      <c r="E474" s="108"/>
      <c r="F474" s="127"/>
      <c r="G474" s="128"/>
      <c r="H474" s="438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46"/>
      <c r="P474" s="446"/>
      <c r="Q474" s="446"/>
      <c r="R474" s="446"/>
      <c r="S474" s="446"/>
      <c r="T474" s="446"/>
      <c r="U474" s="446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43" t="s">
        <v>228</v>
      </c>
      <c r="D475" s="108">
        <v>5.03</v>
      </c>
      <c r="E475" s="108"/>
      <c r="F475" s="127"/>
      <c r="G475" s="128"/>
      <c r="H475" s="438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46"/>
      <c r="P475" s="446"/>
      <c r="Q475" s="446"/>
      <c r="R475" s="446"/>
      <c r="S475" s="446"/>
      <c r="T475" s="446"/>
      <c r="U475" s="446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43" t="s">
        <v>199</v>
      </c>
      <c r="D476" s="108">
        <v>5.03</v>
      </c>
      <c r="E476" s="108"/>
      <c r="F476" s="127"/>
      <c r="G476" s="128"/>
      <c r="H476" s="438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46"/>
      <c r="P476" s="446"/>
      <c r="Q476" s="446"/>
      <c r="R476" s="446"/>
      <c r="S476" s="446"/>
      <c r="T476" s="446"/>
      <c r="U476" s="446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38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46"/>
      <c r="P477" s="446"/>
      <c r="Q477" s="446"/>
      <c r="R477" s="446"/>
      <c r="S477" s="446"/>
      <c r="T477" s="446"/>
      <c r="U477" s="446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38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46"/>
      <c r="P478" s="446"/>
      <c r="Q478" s="446"/>
      <c r="R478" s="446"/>
      <c r="S478" s="446"/>
      <c r="T478" s="446"/>
      <c r="U478" s="446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447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38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46"/>
      <c r="P480" s="446"/>
      <c r="Q480" s="446"/>
      <c r="R480" s="446"/>
      <c r="S480" s="446"/>
      <c r="T480" s="446"/>
      <c r="U480" s="446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38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46"/>
      <c r="P481" s="446"/>
      <c r="Q481" s="446"/>
      <c r="R481" s="446"/>
      <c r="S481" s="446"/>
      <c r="T481" s="446"/>
      <c r="U481" s="446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38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46"/>
      <c r="P482" s="446"/>
      <c r="Q482" s="446"/>
      <c r="R482" s="446"/>
      <c r="S482" s="446"/>
      <c r="T482" s="446"/>
      <c r="U482" s="446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38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46"/>
      <c r="P483" s="446"/>
      <c r="Q483" s="446"/>
      <c r="R483" s="446"/>
      <c r="S483" s="446"/>
      <c r="T483" s="446"/>
      <c r="U483" s="446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38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46"/>
      <c r="P484" s="446"/>
      <c r="Q484" s="446"/>
      <c r="R484" s="446"/>
      <c r="S484" s="446"/>
      <c r="T484" s="446"/>
      <c r="U484" s="446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38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46"/>
      <c r="P485" s="446"/>
      <c r="Q485" s="446"/>
      <c r="R485" s="446"/>
      <c r="S485" s="446"/>
      <c r="T485" s="446"/>
      <c r="U485" s="446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38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46"/>
      <c r="P486" s="446"/>
      <c r="Q486" s="446"/>
      <c r="R486" s="446"/>
      <c r="S486" s="446"/>
      <c r="T486" s="446"/>
      <c r="U486" s="446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38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46"/>
      <c r="P487" s="446"/>
      <c r="Q487" s="446"/>
      <c r="R487" s="446"/>
      <c r="S487" s="446"/>
      <c r="T487" s="446"/>
      <c r="U487" s="446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38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46"/>
      <c r="P488" s="446"/>
      <c r="Q488" s="446"/>
      <c r="R488" s="446"/>
      <c r="S488" s="446"/>
      <c r="T488" s="446"/>
      <c r="U488" s="446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38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46"/>
      <c r="P489" s="446"/>
      <c r="Q489" s="446"/>
      <c r="R489" s="446"/>
      <c r="S489" s="446"/>
      <c r="T489" s="446"/>
      <c r="U489" s="446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447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44"/>
      <c r="D491" s="108">
        <v>3.65</v>
      </c>
      <c r="E491" s="108"/>
      <c r="F491" s="153"/>
      <c r="G491" s="128"/>
      <c r="H491" s="438">
        <f t="shared" ref="H491:H505" si="224">D491*G491</f>
        <v>0</v>
      </c>
      <c r="I491" s="129"/>
      <c r="J491" s="130" t="str">
        <f t="array" ref="J491">IF(ISERROR(G491/I491),"",G491/I491)</f>
        <v/>
      </c>
      <c r="K491" s="438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46"/>
      <c r="P491" s="446"/>
      <c r="Q491" s="446"/>
      <c r="R491" s="446"/>
      <c r="S491" s="446"/>
      <c r="T491" s="446"/>
      <c r="U491" s="446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44"/>
      <c r="D492" s="108">
        <v>6.58</v>
      </c>
      <c r="E492" s="108"/>
      <c r="F492" s="127"/>
      <c r="G492" s="128"/>
      <c r="H492" s="438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46"/>
      <c r="P492" s="446"/>
      <c r="Q492" s="446"/>
      <c r="R492" s="446"/>
      <c r="S492" s="446"/>
      <c r="T492" s="446"/>
      <c r="U492" s="446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44"/>
      <c r="D493" s="108">
        <v>7.8</v>
      </c>
      <c r="E493" s="108"/>
      <c r="F493" s="127"/>
      <c r="G493" s="128"/>
      <c r="H493" s="438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46"/>
      <c r="P493" s="446"/>
      <c r="Q493" s="446"/>
      <c r="R493" s="446"/>
      <c r="S493" s="446"/>
      <c r="T493" s="446"/>
      <c r="U493" s="446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44"/>
      <c r="D494" s="108">
        <v>4.4000000000000004</v>
      </c>
      <c r="E494" s="108"/>
      <c r="F494" s="127"/>
      <c r="G494" s="128"/>
      <c r="H494" s="438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46"/>
      <c r="P494" s="446"/>
      <c r="Q494" s="446"/>
      <c r="R494" s="446"/>
      <c r="S494" s="446"/>
      <c r="T494" s="446"/>
      <c r="U494" s="446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38">
        <f t="shared" si="224"/>
        <v>0</v>
      </c>
      <c r="I495" s="129"/>
      <c r="J495" s="130"/>
      <c r="K495" s="131"/>
      <c r="L495" s="129"/>
      <c r="M495" s="109"/>
      <c r="N495" s="130"/>
      <c r="O495" s="446"/>
      <c r="P495" s="446"/>
      <c r="Q495" s="446"/>
      <c r="R495" s="446"/>
      <c r="S495" s="446"/>
      <c r="T495" s="446"/>
      <c r="U495" s="446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44"/>
      <c r="D496" s="108"/>
      <c r="E496" s="108"/>
      <c r="F496" s="127"/>
      <c r="G496" s="128"/>
      <c r="H496" s="438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46"/>
      <c r="P496" s="446"/>
      <c r="Q496" s="446"/>
      <c r="R496" s="446"/>
      <c r="S496" s="446"/>
      <c r="T496" s="446"/>
      <c r="U496" s="446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44" t="s">
        <v>239</v>
      </c>
      <c r="C497" s="444" t="s">
        <v>179</v>
      </c>
      <c r="D497" s="108">
        <v>6.04</v>
      </c>
      <c r="E497" s="108"/>
      <c r="F497" s="127"/>
      <c r="G497" s="128"/>
      <c r="H497" s="438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46"/>
      <c r="P497" s="446"/>
      <c r="Q497" s="446"/>
      <c r="R497" s="446"/>
      <c r="S497" s="446"/>
      <c r="T497" s="446"/>
      <c r="U497" s="446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44" t="s">
        <v>239</v>
      </c>
      <c r="C498" s="444" t="s">
        <v>186</v>
      </c>
      <c r="D498" s="108">
        <v>6.04</v>
      </c>
      <c r="E498" s="108"/>
      <c r="F498" s="127"/>
      <c r="G498" s="128"/>
      <c r="H498" s="438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46"/>
      <c r="P498" s="446"/>
      <c r="Q498" s="446"/>
      <c r="R498" s="446"/>
      <c r="S498" s="446"/>
      <c r="T498" s="446"/>
      <c r="U498" s="446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44" t="s">
        <v>443</v>
      </c>
      <c r="C499" s="444" t="s">
        <v>179</v>
      </c>
      <c r="D499" s="108"/>
      <c r="E499" s="108"/>
      <c r="F499" s="127"/>
      <c r="G499" s="128"/>
      <c r="H499" s="438">
        <f t="shared" si="224"/>
        <v>0</v>
      </c>
      <c r="I499" s="129"/>
      <c r="J499" s="130"/>
      <c r="K499" s="131"/>
      <c r="L499" s="129"/>
      <c r="M499" s="109"/>
      <c r="N499" s="130"/>
      <c r="O499" s="446"/>
      <c r="P499" s="446"/>
      <c r="Q499" s="446"/>
      <c r="R499" s="446"/>
      <c r="S499" s="446"/>
      <c r="T499" s="446"/>
      <c r="U499" s="446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44" t="s">
        <v>443</v>
      </c>
      <c r="C500" s="444" t="s">
        <v>186</v>
      </c>
      <c r="D500" s="108"/>
      <c r="E500" s="108"/>
      <c r="F500" s="127"/>
      <c r="G500" s="128"/>
      <c r="H500" s="438">
        <f t="shared" si="224"/>
        <v>0</v>
      </c>
      <c r="I500" s="129"/>
      <c r="J500" s="130"/>
      <c r="K500" s="131"/>
      <c r="L500" s="129"/>
      <c r="M500" s="109"/>
      <c r="N500" s="130"/>
      <c r="O500" s="446"/>
      <c r="P500" s="446"/>
      <c r="Q500" s="446"/>
      <c r="R500" s="446"/>
      <c r="S500" s="446"/>
      <c r="T500" s="446"/>
      <c r="U500" s="446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37" t="s">
        <v>240</v>
      </c>
      <c r="C501" s="126"/>
      <c r="D501" s="108">
        <v>7.3</v>
      </c>
      <c r="E501" s="108"/>
      <c r="F501" s="127"/>
      <c r="G501" s="128"/>
      <c r="H501" s="438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46"/>
      <c r="P501" s="446"/>
      <c r="Q501" s="446"/>
      <c r="R501" s="446"/>
      <c r="S501" s="446"/>
      <c r="T501" s="446"/>
      <c r="U501" s="446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37" t="s">
        <v>241</v>
      </c>
      <c r="C502" s="126"/>
      <c r="D502" s="108">
        <f>78*120/1000</f>
        <v>9.36</v>
      </c>
      <c r="E502" s="108"/>
      <c r="F502" s="127"/>
      <c r="G502" s="128"/>
      <c r="H502" s="438">
        <f t="shared" si="224"/>
        <v>0</v>
      </c>
      <c r="I502" s="129"/>
      <c r="J502" s="130"/>
      <c r="K502" s="131"/>
      <c r="L502" s="129"/>
      <c r="M502" s="109"/>
      <c r="N502" s="130"/>
      <c r="O502" s="446"/>
      <c r="P502" s="446"/>
      <c r="Q502" s="446"/>
      <c r="R502" s="446"/>
      <c r="S502" s="446"/>
      <c r="T502" s="446"/>
      <c r="U502" s="446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37" t="s">
        <v>242</v>
      </c>
      <c r="C503" s="126"/>
      <c r="D503" s="108">
        <v>4.5</v>
      </c>
      <c r="E503" s="108"/>
      <c r="F503" s="127"/>
      <c r="G503" s="128"/>
      <c r="H503" s="438">
        <f t="shared" si="224"/>
        <v>0</v>
      </c>
      <c r="I503" s="129"/>
      <c r="J503" s="130"/>
      <c r="K503" s="131"/>
      <c r="L503" s="129"/>
      <c r="M503" s="109"/>
      <c r="N503" s="130"/>
      <c r="O503" s="446"/>
      <c r="P503" s="446"/>
      <c r="Q503" s="446"/>
      <c r="R503" s="446"/>
      <c r="S503" s="446"/>
      <c r="T503" s="446"/>
      <c r="U503" s="446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37" t="s">
        <v>243</v>
      </c>
      <c r="C504" s="126"/>
      <c r="D504" s="108">
        <v>4.5</v>
      </c>
      <c r="E504" s="108"/>
      <c r="F504" s="127"/>
      <c r="G504" s="128"/>
      <c r="H504" s="438">
        <f t="shared" si="224"/>
        <v>0</v>
      </c>
      <c r="I504" s="129"/>
      <c r="J504" s="130"/>
      <c r="K504" s="131"/>
      <c r="L504" s="129"/>
      <c r="M504" s="109"/>
      <c r="N504" s="130"/>
      <c r="O504" s="446"/>
      <c r="P504" s="446"/>
      <c r="Q504" s="446"/>
      <c r="R504" s="446"/>
      <c r="S504" s="446"/>
      <c r="T504" s="446"/>
      <c r="U504" s="446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37"/>
      <c r="C505" s="126"/>
      <c r="D505" s="108"/>
      <c r="E505" s="108"/>
      <c r="F505" s="127"/>
      <c r="G505" s="128"/>
      <c r="H505" s="438">
        <f t="shared" si="224"/>
        <v>0</v>
      </c>
      <c r="I505" s="129"/>
      <c r="J505" s="130"/>
      <c r="K505" s="131"/>
      <c r="L505" s="129"/>
      <c r="M505" s="109"/>
      <c r="N505" s="130"/>
      <c r="O505" s="446"/>
      <c r="P505" s="446"/>
      <c r="Q505" s="446"/>
      <c r="R505" s="446"/>
      <c r="S505" s="446"/>
      <c r="T505" s="446"/>
      <c r="U505" s="446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447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0</v>
      </c>
      <c r="H507" s="154">
        <f>SUM(H370,H428,H463,H479,H490,H506)</f>
        <v>0</v>
      </c>
      <c r="I507" s="154">
        <f>SUM(I370,I428,I463,I479,I490,I506)</f>
        <v>0</v>
      </c>
      <c r="J507" s="155" t="str">
        <f t="array" ref="J507">IF(ISERROR(G507/I507),"",G507/I507)</f>
        <v/>
      </c>
      <c r="K507" s="154">
        <f>SUM(K370,K428,K463,K479,K490,K506)</f>
        <v>0</v>
      </c>
      <c r="L507" s="155" t="str">
        <f>IF(ISERROR(G507/K507),"",G507/K507)</f>
        <v/>
      </c>
      <c r="M507" s="154">
        <f t="shared" ref="M507:V507" si="237">SUM(M370,M428,M463,M479,M490,M506)</f>
        <v>0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 t="str">
        <f t="shared" ref="W507" si="238">IF(ISERROR(V507/G507),"",V507/G507)</f>
        <v/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440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440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440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440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440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440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440">
        <f>G507</f>
        <v>0</v>
      </c>
      <c r="C514" s="638" t="s">
        <v>269</v>
      </c>
      <c r="D514" s="639"/>
      <c r="E514" s="631">
        <f>H507</f>
        <v>0</v>
      </c>
      <c r="F514" s="631"/>
      <c r="G514" s="631" t="s">
        <v>270</v>
      </c>
      <c r="H514" s="631"/>
      <c r="I514" s="640" t="str">
        <f>L507</f>
        <v/>
      </c>
      <c r="J514" s="640"/>
      <c r="K514" s="628" t="s">
        <v>271</v>
      </c>
      <c r="L514" s="628"/>
      <c r="M514" s="640" t="str">
        <f>J507</f>
        <v/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440">
        <f>I507+C513</f>
        <v>1</v>
      </c>
      <c r="C515" s="641" t="s">
        <v>251</v>
      </c>
      <c r="D515" s="642"/>
      <c r="E515" s="643">
        <f>K507+I513</f>
        <v>11</v>
      </c>
      <c r="F515" s="643"/>
      <c r="G515" s="631" t="s">
        <v>274</v>
      </c>
      <c r="H515" s="631"/>
      <c r="I515" s="640">
        <f>B515-E515</f>
        <v>-10</v>
      </c>
      <c r="J515" s="640"/>
      <c r="K515" s="628" t="s">
        <v>275</v>
      </c>
      <c r="L515" s="628"/>
      <c r="M515" s="632">
        <f>IF(ISERROR(I515/E515),"",I515/E515)</f>
        <v>-0.90909090909090906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440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 t="str">
        <f t="array" ref="M516">IF(ISERROR(I516/B514),"",I516/B514)</f>
        <v/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441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12307</v>
      </c>
      <c r="D519" s="627"/>
      <c r="E519" s="673" t="s">
        <v>269</v>
      </c>
      <c r="F519" s="673"/>
      <c r="G519" s="643">
        <f>SUM(E171,E342,E514)</f>
        <v>62289.200000000012</v>
      </c>
      <c r="H519" s="643"/>
      <c r="I519" s="631" t="s">
        <v>270</v>
      </c>
      <c r="J519" s="673"/>
      <c r="K519" s="626">
        <f>IF(ISERROR(C519/G520),"",C519/G520)</f>
        <v>18.910232133329512</v>
      </c>
      <c r="L519" s="627"/>
      <c r="M519" s="631" t="s">
        <v>271</v>
      </c>
      <c r="N519" s="631"/>
      <c r="O519" s="668">
        <f t="array" ref="O519">IF(ISERROR(C519/C520),"",C519/C520)</f>
        <v>18.111846946284032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679.5</v>
      </c>
      <c r="D520" s="627"/>
      <c r="E520" s="631" t="s">
        <v>251</v>
      </c>
      <c r="F520" s="631"/>
      <c r="G520" s="643">
        <f>SUM(E172,E343,E515)</f>
        <v>650.81168296759108</v>
      </c>
      <c r="H520" s="643"/>
      <c r="I520" s="641" t="s">
        <v>274</v>
      </c>
      <c r="J520" s="642"/>
      <c r="K520" s="638">
        <f>C520-G520</f>
        <v>28.688317032408918</v>
      </c>
      <c r="L520" s="639"/>
      <c r="M520" s="638" t="s">
        <v>275</v>
      </c>
      <c r="N520" s="639"/>
      <c r="O520" s="671">
        <f>IF(ISERROR(K520/C520),"",K520/C520)</f>
        <v>4.2219745448725414E-2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41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2196</v>
      </c>
      <c r="D524" s="642"/>
      <c r="E524" s="681">
        <f>IF(ISERROR(C524/C530),"",C524/C530)</f>
        <v>0.1784350369708296</v>
      </c>
      <c r="F524" s="682"/>
      <c r="G524" s="676"/>
      <c r="H524" s="677"/>
      <c r="I524" s="683" t="s">
        <v>301</v>
      </c>
      <c r="J524" s="684"/>
      <c r="K524" s="638">
        <f t="shared" ref="K524:K529" si="239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40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5685</v>
      </c>
      <c r="D525" s="642"/>
      <c r="E525" s="681">
        <f>IF(ISERROR(C525/C530),"",C525/C530)</f>
        <v>0.46193223368814496</v>
      </c>
      <c r="F525" s="682"/>
      <c r="G525" s="676"/>
      <c r="H525" s="677"/>
      <c r="I525" s="683" t="s">
        <v>302</v>
      </c>
      <c r="J525" s="684"/>
      <c r="K525" s="638">
        <f t="shared" si="239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40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1088</v>
      </c>
      <c r="D526" s="642"/>
      <c r="E526" s="681">
        <f>IF(ISERROR(C526/C530),"",C526/C530)</f>
        <v>8.8404972779718857E-2</v>
      </c>
      <c r="F526" s="682"/>
      <c r="G526" s="676"/>
      <c r="H526" s="677"/>
      <c r="I526" s="683" t="s">
        <v>303</v>
      </c>
      <c r="J526" s="684"/>
      <c r="K526" s="638">
        <f t="shared" si="239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40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1802</v>
      </c>
      <c r="D527" s="642"/>
      <c r="E527" s="681">
        <f>IF(ISERROR(C527/C530),"",C527/C530)</f>
        <v>0.14642073616640935</v>
      </c>
      <c r="F527" s="682"/>
      <c r="G527" s="676"/>
      <c r="H527" s="677"/>
      <c r="I527" s="683" t="s">
        <v>304</v>
      </c>
      <c r="J527" s="684"/>
      <c r="K527" s="638">
        <f t="shared" si="239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40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1226</v>
      </c>
      <c r="D528" s="642"/>
      <c r="E528" s="681">
        <f>IF(ISERROR(C528/C530),"",C528/C530)</f>
        <v>9.9618103518322912E-2</v>
      </c>
      <c r="F528" s="682"/>
      <c r="G528" s="676"/>
      <c r="H528" s="677"/>
      <c r="I528" s="683" t="s">
        <v>306</v>
      </c>
      <c r="J528" s="684"/>
      <c r="K528" s="638">
        <f t="shared" si="239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40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310</v>
      </c>
      <c r="D529" s="642"/>
      <c r="E529" s="681">
        <f>IF(ISERROR(C529/C530),"",C529/C530)</f>
        <v>2.5188916876574308E-2</v>
      </c>
      <c r="F529" s="682"/>
      <c r="G529" s="676"/>
      <c r="H529" s="677"/>
      <c r="I529" s="683" t="s">
        <v>307</v>
      </c>
      <c r="J529" s="684"/>
      <c r="K529" s="638">
        <f t="shared" si="239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40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12307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444" t="s">
        <v>309</v>
      </c>
      <c r="D532" s="444" t="s">
        <v>310</v>
      </c>
      <c r="E532" s="444" t="s">
        <v>311</v>
      </c>
      <c r="F532" s="444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46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38" t="s">
        <v>322</v>
      </c>
      <c r="Q532" s="129" t="s">
        <v>323</v>
      </c>
      <c r="R532" s="109" t="s">
        <v>324</v>
      </c>
      <c r="S532" s="444" t="s">
        <v>325</v>
      </c>
      <c r="T532" s="444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+'4'!C533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45">
        <f t="array" ref="S533">IF(ISERROR(Q533/J533),"",Q533/J533)</f>
        <v>1</v>
      </c>
      <c r="T533" s="445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44</v>
      </c>
      <c r="D534" s="106">
        <f>+'4'!C534</f>
        <v>45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>
        <v>1</v>
      </c>
      <c r="Q534" s="106">
        <f>J534-K534-L534</f>
        <v>43</v>
      </c>
      <c r="R534" s="109">
        <f>Q534*11-M534-N534</f>
        <v>473</v>
      </c>
      <c r="S534" s="445">
        <f t="array" ref="S534">IF(ISERROR(Q534/J534),"",Q534/J534)</f>
        <v>0.97727272727272729</v>
      </c>
      <c r="T534" s="445">
        <f t="array" ref="T534">IF(ISERROR((O534:P534)/C534),"",SUM(O534:P534)/C534)</f>
        <v>2.2727272727272728E-2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+'4'!C535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45">
        <f t="array" ref="S535">IF(ISERROR(Q535/J535),"",Q535/J535)</f>
        <v>1</v>
      </c>
      <c r="T535" s="445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100</v>
      </c>
      <c r="D536" s="112">
        <f t="shared" ref="D536:N536" si="241">SUM(D533:D535)</f>
        <v>101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1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1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0.01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6" activePane="bottomRight" state="frozen"/>
      <selection activeCell="E487" sqref="E487"/>
      <selection pane="topRight" activeCell="E487" sqref="E487"/>
      <selection pane="bottomLeft" activeCell="E487" sqref="E487"/>
      <selection pane="bottomRight" activeCell="G40" sqref="G40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464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customHeight="1">
      <c r="A7" s="299">
        <v>30100030</v>
      </c>
      <c r="B7" s="453" t="s">
        <v>178</v>
      </c>
      <c r="C7" s="126" t="s">
        <v>179</v>
      </c>
      <c r="D7" s="108">
        <v>5.03</v>
      </c>
      <c r="E7" s="108"/>
      <c r="F7" s="127">
        <v>42740</v>
      </c>
      <c r="G7" s="128">
        <f>108*2+97+108</f>
        <v>421</v>
      </c>
      <c r="H7" s="454">
        <f t="shared" ref="H7:H27" si="0">D7*G7</f>
        <v>2117.63</v>
      </c>
      <c r="I7" s="129">
        <v>10</v>
      </c>
      <c r="J7" s="130">
        <f t="array" ref="J7">IF(ISERROR(G7/I7),"",G7/I7)</f>
        <v>42.1</v>
      </c>
      <c r="K7" s="131">
        <f t="array" ref="K7">IF(ISERROR(G7/L7),"",G7/L7)</f>
        <v>26.3125</v>
      </c>
      <c r="L7" s="129">
        <v>16</v>
      </c>
      <c r="M7" s="109">
        <f t="shared" ref="M7:M27" si="1">IF(ISERROR(I7-K7),"",I7-K7)</f>
        <v>-16.3125</v>
      </c>
      <c r="N7" s="130">
        <f>SUM(O7:U7)</f>
        <v>0</v>
      </c>
      <c r="O7" s="462"/>
      <c r="P7" s="462"/>
      <c r="Q7" s="462"/>
      <c r="R7" s="462"/>
      <c r="S7" s="462"/>
      <c r="T7" s="462"/>
      <c r="U7" s="462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45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62"/>
      <c r="Q8" s="462"/>
      <c r="R8" s="462"/>
      <c r="S8" s="462"/>
      <c r="T8" s="462"/>
      <c r="U8" s="462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45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62"/>
      <c r="P9" s="462"/>
      <c r="Q9" s="462"/>
      <c r="R9" s="462"/>
      <c r="S9" s="462"/>
      <c r="T9" s="462"/>
      <c r="U9" s="462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>
        <v>42741</v>
      </c>
      <c r="G10" s="128">
        <f>108*7</f>
        <v>756</v>
      </c>
      <c r="H10" s="454">
        <f t="shared" si="0"/>
        <v>3802.6800000000003</v>
      </c>
      <c r="I10" s="129">
        <f>11*4</f>
        <v>44</v>
      </c>
      <c r="J10" s="130">
        <f t="array" ref="J10">IF(ISERROR(G10/I10),"",G10/I10)</f>
        <v>17.181818181818183</v>
      </c>
      <c r="K10" s="131">
        <f t="array" ref="K10">IF(ISERROR(G10/L10),"",G10/L10)</f>
        <v>39.789473684210527</v>
      </c>
      <c r="L10" s="129">
        <v>19</v>
      </c>
      <c r="M10" s="109">
        <f t="shared" si="1"/>
        <v>4.2105263157894726</v>
      </c>
      <c r="N10" s="130">
        <f t="shared" si="4"/>
        <v>0</v>
      </c>
      <c r="O10" s="462"/>
      <c r="P10" s="462"/>
      <c r="Q10" s="462"/>
      <c r="R10" s="462"/>
      <c r="S10" s="462"/>
      <c r="T10" s="462"/>
      <c r="U10" s="462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5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62"/>
      <c r="P11" s="462"/>
      <c r="Q11" s="462"/>
      <c r="R11" s="462"/>
      <c r="S11" s="462"/>
      <c r="T11" s="462"/>
      <c r="U11" s="462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5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62"/>
      <c r="P12" s="462"/>
      <c r="Q12" s="462"/>
      <c r="R12" s="462"/>
      <c r="S12" s="462"/>
      <c r="T12" s="462"/>
      <c r="U12" s="462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5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62"/>
      <c r="P13" s="462"/>
      <c r="Q13" s="462"/>
      <c r="R13" s="462"/>
      <c r="S13" s="462"/>
      <c r="T13" s="462"/>
      <c r="U13" s="462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5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62"/>
      <c r="P14" s="462"/>
      <c r="Q14" s="462"/>
      <c r="R14" s="462"/>
      <c r="S14" s="462"/>
      <c r="T14" s="462"/>
      <c r="U14" s="462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>
        <v>42739</v>
      </c>
      <c r="G15" s="128">
        <v>84</v>
      </c>
      <c r="H15" s="454">
        <f t="shared" si="0"/>
        <v>423.36</v>
      </c>
      <c r="I15" s="454">
        <f>1.5*5</f>
        <v>7.5</v>
      </c>
      <c r="J15" s="130">
        <f t="array" ref="J15">IF(ISERROR(G15/I15),"",G15/I15)</f>
        <v>11.2</v>
      </c>
      <c r="K15" s="131">
        <f t="array" ref="K15">IF(ISERROR(G15/L15),"",G15/L15)</f>
        <v>4.9411764705882355</v>
      </c>
      <c r="L15" s="129">
        <v>17</v>
      </c>
      <c r="M15" s="109">
        <f t="shared" si="1"/>
        <v>2.5588235294117645</v>
      </c>
      <c r="N15" s="130">
        <f t="shared" si="4"/>
        <v>0</v>
      </c>
      <c r="O15" s="462"/>
      <c r="P15" s="462"/>
      <c r="Q15" s="462"/>
      <c r="R15" s="462"/>
      <c r="S15" s="462"/>
      <c r="T15" s="462"/>
      <c r="U15" s="462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54">
        <f t="shared" si="0"/>
        <v>0</v>
      </c>
      <c r="I16" s="45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62"/>
      <c r="P16" s="462"/>
      <c r="Q16" s="462"/>
      <c r="R16" s="462"/>
      <c r="S16" s="462"/>
      <c r="T16" s="462"/>
      <c r="U16" s="462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5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62"/>
      <c r="P17" s="462"/>
      <c r="Q17" s="462"/>
      <c r="R17" s="462"/>
      <c r="S17" s="462"/>
      <c r="T17" s="462"/>
      <c r="U17" s="462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45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62"/>
      <c r="P18" s="462"/>
      <c r="Q18" s="462"/>
      <c r="R18" s="462"/>
      <c r="S18" s="462"/>
      <c r="T18" s="462"/>
      <c r="U18" s="462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42741</v>
      </c>
      <c r="G19" s="128">
        <f>90*7+87</f>
        <v>717</v>
      </c>
      <c r="H19" s="454">
        <f t="shared" si="0"/>
        <v>3628.0199999999995</v>
      </c>
      <c r="I19" s="129">
        <f>8.5*5</f>
        <v>42.5</v>
      </c>
      <c r="J19" s="130">
        <f t="array" ref="J19">IF(ISERROR(G19/I19),"",G19/I19)</f>
        <v>16.870588235294118</v>
      </c>
      <c r="K19" s="131">
        <f t="array" ref="K19">IF(ISERROR(G19/L19),"",G19/L19)</f>
        <v>37.736842105263158</v>
      </c>
      <c r="L19" s="129">
        <v>19</v>
      </c>
      <c r="M19" s="109">
        <f t="shared" si="1"/>
        <v>4.7631578947368425</v>
      </c>
      <c r="N19" s="129">
        <f t="shared" si="4"/>
        <v>0</v>
      </c>
      <c r="O19" s="462"/>
      <c r="P19" s="462"/>
      <c r="Q19" s="462"/>
      <c r="R19" s="462"/>
      <c r="S19" s="462"/>
      <c r="T19" s="462"/>
      <c r="U19" s="462"/>
      <c r="V19" s="132">
        <f t="shared" ref="V19:V21" si="5">SUM(X19:AA19)</f>
        <v>0</v>
      </c>
      <c r="W19" s="455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45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62"/>
      <c r="P20" s="462"/>
      <c r="Q20" s="462"/>
      <c r="R20" s="462"/>
      <c r="S20" s="462"/>
      <c r="T20" s="462"/>
      <c r="U20" s="462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45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62"/>
      <c r="P21" s="462"/>
      <c r="Q21" s="462"/>
      <c r="R21" s="462"/>
      <c r="S21" s="462"/>
      <c r="T21" s="462"/>
      <c r="U21" s="462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469</v>
      </c>
      <c r="C22" s="460" t="s">
        <v>190</v>
      </c>
      <c r="D22" s="108">
        <v>4.8</v>
      </c>
      <c r="E22" s="108"/>
      <c r="F22" s="127"/>
      <c r="G22" s="128"/>
      <c r="H22" s="45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62"/>
      <c r="P22" s="462"/>
      <c r="Q22" s="462"/>
      <c r="R22" s="462"/>
      <c r="S22" s="462"/>
      <c r="T22" s="462"/>
      <c r="U22" s="462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0" t="s">
        <v>187</v>
      </c>
      <c r="D23" s="108">
        <v>4.8</v>
      </c>
      <c r="E23" s="108"/>
      <c r="F23" s="127"/>
      <c r="G23" s="128"/>
      <c r="H23" s="45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62"/>
      <c r="P23" s="462"/>
      <c r="Q23" s="462"/>
      <c r="R23" s="462"/>
      <c r="S23" s="462"/>
      <c r="T23" s="462"/>
      <c r="U23" s="462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0" t="s">
        <v>179</v>
      </c>
      <c r="D24" s="108">
        <v>4.8</v>
      </c>
      <c r="E24" s="108"/>
      <c r="F24" s="127"/>
      <c r="G24" s="128"/>
      <c r="H24" s="45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62"/>
      <c r="P24" s="462"/>
      <c r="Q24" s="462"/>
      <c r="R24" s="462"/>
      <c r="S24" s="462"/>
      <c r="T24" s="462"/>
      <c r="U24" s="462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0" t="s">
        <v>199</v>
      </c>
      <c r="D25" s="108">
        <v>4.8</v>
      </c>
      <c r="E25" s="108"/>
      <c r="F25" s="127"/>
      <c r="G25" s="128"/>
      <c r="H25" s="45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62"/>
      <c r="P25" s="462"/>
      <c r="Q25" s="462"/>
      <c r="R25" s="462"/>
      <c r="S25" s="462"/>
      <c r="T25" s="462"/>
      <c r="U25" s="462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5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62"/>
      <c r="P26" s="462"/>
      <c r="Q26" s="462"/>
      <c r="R26" s="462"/>
      <c r="S26" s="462"/>
      <c r="T26" s="462"/>
      <c r="U26" s="462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5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62"/>
      <c r="P27" s="462"/>
      <c r="Q27" s="462"/>
      <c r="R27" s="462"/>
      <c r="S27" s="462"/>
      <c r="T27" s="462"/>
      <c r="U27" s="462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463" t="s">
        <v>202</v>
      </c>
      <c r="D28" s="143"/>
      <c r="E28" s="143"/>
      <c r="F28" s="144"/>
      <c r="G28" s="145">
        <f>SUM(G7:G27)</f>
        <v>1978</v>
      </c>
      <c r="H28" s="146">
        <f>SUM(H7:H27)</f>
        <v>9971.6899999999987</v>
      </c>
      <c r="I28" s="146">
        <f>SUM(I7:I27)</f>
        <v>104</v>
      </c>
      <c r="J28" s="130">
        <f t="array" ref="J28">IF(ISERROR(G28/I28),"",G28/I28)</f>
        <v>19.01923076923077</v>
      </c>
      <c r="K28" s="146">
        <f>SUM(K7:K27)</f>
        <v>108.7799922600619</v>
      </c>
      <c r="L28" s="147"/>
      <c r="M28" s="146">
        <f t="shared" ref="M28:V28" si="10">SUM(M7:M27)</f>
        <v>-4.7799922600619205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3" t="s">
        <v>206</v>
      </c>
      <c r="C29" s="126" t="s">
        <v>199</v>
      </c>
      <c r="D29" s="108">
        <v>5.03</v>
      </c>
      <c r="E29" s="108"/>
      <c r="F29" s="127"/>
      <c r="G29" s="128"/>
      <c r="H29" s="454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58"/>
      <c r="P29" s="458"/>
      <c r="Q29" s="458"/>
      <c r="R29" s="458"/>
      <c r="S29" s="458"/>
      <c r="T29" s="458"/>
      <c r="U29" s="45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453" t="s">
        <v>425</v>
      </c>
      <c r="C30" s="187" t="s">
        <v>428</v>
      </c>
      <c r="D30" s="108">
        <v>5.03</v>
      </c>
      <c r="E30" s="108"/>
      <c r="F30" s="127">
        <v>42739</v>
      </c>
      <c r="G30" s="452">
        <f>108+108</f>
        <v>216</v>
      </c>
      <c r="H30" s="454">
        <f t="shared" si="11"/>
        <v>1086.48</v>
      </c>
      <c r="I30" s="129">
        <v>4</v>
      </c>
      <c r="J30" s="130">
        <f t="array" ref="J30">IF(ISERROR(G30/I30),"",G30/I30)</f>
        <v>54</v>
      </c>
      <c r="K30" s="131">
        <f t="array" ref="K30">IF(ISERROR(G30/L30),"",G30/L30)</f>
        <v>4.1538461538461542</v>
      </c>
      <c r="L30" s="129">
        <v>52</v>
      </c>
      <c r="M30" s="109">
        <f t="shared" ref="M30:M33" si="15">IF(ISERROR(I30-K30),"",I30-K30)</f>
        <v>-0.15384615384615419</v>
      </c>
      <c r="N30" s="130"/>
      <c r="O30" s="458"/>
      <c r="P30" s="458"/>
      <c r="Q30" s="458"/>
      <c r="R30" s="458"/>
      <c r="S30" s="458"/>
      <c r="T30" s="458"/>
      <c r="U30" s="45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53" t="s">
        <v>206</v>
      </c>
      <c r="C31" s="126" t="s">
        <v>186</v>
      </c>
      <c r="D31" s="108">
        <v>5.03</v>
      </c>
      <c r="E31" s="108"/>
      <c r="F31" s="127">
        <v>42739</v>
      </c>
      <c r="G31" s="128">
        <f>108*2+35+108</f>
        <v>359</v>
      </c>
      <c r="H31" s="454">
        <f t="shared" si="11"/>
        <v>1805.77</v>
      </c>
      <c r="I31" s="129">
        <f>1*3+3.5</f>
        <v>6.5</v>
      </c>
      <c r="J31" s="130">
        <f t="array" ref="J31">IF(ISERROR(G31/I31),"",G31/I31)</f>
        <v>55.230769230769234</v>
      </c>
      <c r="K31" s="131">
        <f t="array" ref="K31">IF(ISERROR(G31/L31),"",G31/L31)</f>
        <v>6.9038461538461542</v>
      </c>
      <c r="L31" s="129">
        <v>52</v>
      </c>
      <c r="M31" s="109">
        <f t="shared" si="15"/>
        <v>-0.40384615384615419</v>
      </c>
      <c r="N31" s="130">
        <f t="shared" ref="N31:N33" si="16">SUM(O31:U31)</f>
        <v>0</v>
      </c>
      <c r="O31" s="458"/>
      <c r="P31" s="458"/>
      <c r="Q31" s="458"/>
      <c r="R31" s="458"/>
      <c r="S31" s="458"/>
      <c r="T31" s="458"/>
      <c r="U31" s="458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3" t="s">
        <v>206</v>
      </c>
      <c r="C32" s="126" t="s">
        <v>203</v>
      </c>
      <c r="D32" s="108">
        <v>5.03</v>
      </c>
      <c r="E32" s="108"/>
      <c r="F32" s="127"/>
      <c r="G32" s="128"/>
      <c r="H32" s="45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58"/>
      <c r="P32" s="458"/>
      <c r="Q32" s="458"/>
      <c r="R32" s="458"/>
      <c r="S32" s="458"/>
      <c r="T32" s="458"/>
      <c r="U32" s="45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453" t="s">
        <v>206</v>
      </c>
      <c r="C33" s="126" t="s">
        <v>207</v>
      </c>
      <c r="D33" s="108">
        <v>5.03</v>
      </c>
      <c r="E33" s="108"/>
      <c r="F33" s="127">
        <v>42741</v>
      </c>
      <c r="G33" s="128">
        <f>108*5+30</f>
        <v>570</v>
      </c>
      <c r="H33" s="454">
        <f t="shared" si="11"/>
        <v>2867.1000000000004</v>
      </c>
      <c r="I33" s="129">
        <f>6.5*3</f>
        <v>19.5</v>
      </c>
      <c r="J33" s="130">
        <f t="array" ref="J33">IF(ISERROR(G33/I33),"",G33/I33)</f>
        <v>29.23076923076923</v>
      </c>
      <c r="K33" s="131">
        <f t="array" ref="K33">IF(ISERROR(G33/L33),"",G33/L33)</f>
        <v>10.961538461538462</v>
      </c>
      <c r="L33" s="129">
        <v>52</v>
      </c>
      <c r="M33" s="109">
        <f t="shared" si="15"/>
        <v>8.5384615384615383</v>
      </c>
      <c r="N33" s="130">
        <f t="shared" si="16"/>
        <v>0</v>
      </c>
      <c r="O33" s="458"/>
      <c r="P33" s="458"/>
      <c r="Q33" s="458"/>
      <c r="R33" s="458"/>
      <c r="S33" s="458"/>
      <c r="T33" s="458"/>
      <c r="U33" s="458"/>
      <c r="V33" s="132">
        <f t="shared" si="17"/>
        <v>0</v>
      </c>
      <c r="W33" s="133">
        <f t="shared" si="18"/>
        <v>0</v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53" t="s">
        <v>414</v>
      </c>
      <c r="C34" s="187" t="s">
        <v>415</v>
      </c>
      <c r="D34" s="108">
        <v>5.03</v>
      </c>
      <c r="E34" s="108"/>
      <c r="F34" s="127"/>
      <c r="G34" s="128"/>
      <c r="H34" s="454">
        <f t="shared" si="11"/>
        <v>0</v>
      </c>
      <c r="I34" s="129"/>
      <c r="J34" s="130"/>
      <c r="K34" s="131"/>
      <c r="L34" s="129">
        <v>52</v>
      </c>
      <c r="M34" s="109"/>
      <c r="N34" s="130"/>
      <c r="O34" s="458"/>
      <c r="P34" s="458"/>
      <c r="Q34" s="458"/>
      <c r="R34" s="458"/>
      <c r="S34" s="458"/>
      <c r="T34" s="458"/>
      <c r="U34" s="45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53" t="s">
        <v>414</v>
      </c>
      <c r="C35" s="187" t="s">
        <v>416</v>
      </c>
      <c r="D35" s="108">
        <v>5.03</v>
      </c>
      <c r="E35" s="108"/>
      <c r="F35" s="127"/>
      <c r="G35" s="128"/>
      <c r="H35" s="454">
        <f t="shared" si="11"/>
        <v>0</v>
      </c>
      <c r="I35" s="129"/>
      <c r="J35" s="130"/>
      <c r="K35" s="131"/>
      <c r="L35" s="129">
        <v>52</v>
      </c>
      <c r="M35" s="109"/>
      <c r="N35" s="130"/>
      <c r="O35" s="458"/>
      <c r="P35" s="458"/>
      <c r="Q35" s="458"/>
      <c r="R35" s="458"/>
      <c r="S35" s="458"/>
      <c r="T35" s="458"/>
      <c r="U35" s="458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453" t="s">
        <v>414</v>
      </c>
      <c r="C36" s="187" t="s">
        <v>61</v>
      </c>
      <c r="D36" s="108">
        <v>5.03</v>
      </c>
      <c r="E36" s="108"/>
      <c r="F36" s="127">
        <v>42737</v>
      </c>
      <c r="G36" s="128">
        <v>25</v>
      </c>
      <c r="H36" s="454">
        <f t="shared" si="11"/>
        <v>125.75</v>
      </c>
      <c r="I36" s="129">
        <f>1*4</f>
        <v>4</v>
      </c>
      <c r="J36" s="130">
        <f t="array" ref="J36">IF(ISERROR(G36/I36),"",G36/I36)</f>
        <v>6.25</v>
      </c>
      <c r="K36" s="131">
        <f t="array" ref="K36">IF(ISERROR(G36/L36),"",G36/L36)</f>
        <v>0.48076923076923078</v>
      </c>
      <c r="L36" s="129">
        <v>52</v>
      </c>
      <c r="M36" s="109">
        <f t="shared" ref="M36" si="19">IF(ISERROR(I36-K36),"",I36-K36)</f>
        <v>3.5192307692307692</v>
      </c>
      <c r="N36" s="130"/>
      <c r="O36" s="458"/>
      <c r="P36" s="458"/>
      <c r="Q36" s="458"/>
      <c r="R36" s="458"/>
      <c r="S36" s="458"/>
      <c r="T36" s="458"/>
      <c r="U36" s="45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3" t="s">
        <v>208</v>
      </c>
      <c r="C37" s="126" t="s">
        <v>179</v>
      </c>
      <c r="D37" s="108">
        <v>5.08</v>
      </c>
      <c r="E37" s="108"/>
      <c r="F37" s="127"/>
      <c r="G37" s="128"/>
      <c r="H37" s="45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20">IF(ISERROR(I37-K37),"",I37-K37)</f>
        <v>0</v>
      </c>
      <c r="N37" s="130">
        <f t="shared" ref="N37:N52" si="21">SUM(O37:U37)</f>
        <v>0</v>
      </c>
      <c r="O37" s="458"/>
      <c r="P37" s="458"/>
      <c r="Q37" s="458"/>
      <c r="R37" s="458"/>
      <c r="S37" s="458"/>
      <c r="T37" s="458"/>
      <c r="U37" s="458"/>
      <c r="V37" s="132">
        <f t="shared" ref="V37:V48" si="22">SUM(X37:AA37)</f>
        <v>0</v>
      </c>
      <c r="W37" s="133" t="str">
        <f t="shared" ref="W37:W48" si="23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3" t="s">
        <v>208</v>
      </c>
      <c r="C38" s="126" t="s">
        <v>204</v>
      </c>
      <c r="D38" s="108">
        <v>5.08</v>
      </c>
      <c r="E38" s="108"/>
      <c r="F38" s="127"/>
      <c r="G38" s="128"/>
      <c r="H38" s="45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20"/>
        <v>0</v>
      </c>
      <c r="N38" s="130">
        <f t="shared" si="21"/>
        <v>0</v>
      </c>
      <c r="O38" s="458"/>
      <c r="P38" s="458"/>
      <c r="Q38" s="458"/>
      <c r="R38" s="458"/>
      <c r="S38" s="458"/>
      <c r="T38" s="458"/>
      <c r="U38" s="458"/>
      <c r="V38" s="132">
        <f t="shared" si="22"/>
        <v>0</v>
      </c>
      <c r="W38" s="133" t="str">
        <f t="shared" si="23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3" t="s">
        <v>208</v>
      </c>
      <c r="C39" s="126" t="s">
        <v>205</v>
      </c>
      <c r="D39" s="108">
        <v>5.08</v>
      </c>
      <c r="E39" s="108"/>
      <c r="F39" s="127"/>
      <c r="G39" s="128"/>
      <c r="H39" s="45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20"/>
        <v>0</v>
      </c>
      <c r="N39" s="130">
        <f t="shared" si="21"/>
        <v>0</v>
      </c>
      <c r="O39" s="458"/>
      <c r="P39" s="458"/>
      <c r="Q39" s="458"/>
      <c r="R39" s="458"/>
      <c r="S39" s="458"/>
      <c r="T39" s="458"/>
      <c r="U39" s="458"/>
      <c r="V39" s="132">
        <f t="shared" si="22"/>
        <v>0</v>
      </c>
      <c r="W39" s="133" t="str">
        <f t="shared" si="23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53" t="s">
        <v>208</v>
      </c>
      <c r="C40" s="126" t="s">
        <v>186</v>
      </c>
      <c r="D40" s="108">
        <v>5.08</v>
      </c>
      <c r="E40" s="108"/>
      <c r="F40" s="127">
        <v>42740</v>
      </c>
      <c r="G40" s="128">
        <f>108*7</f>
        <v>756</v>
      </c>
      <c r="H40" s="454">
        <f t="shared" si="11"/>
        <v>3840.48</v>
      </c>
      <c r="I40" s="129">
        <f>11*3</f>
        <v>33</v>
      </c>
      <c r="J40" s="130">
        <f t="array" ref="J40">IF(ISERROR(G40/I40),"",G40/I40)</f>
        <v>22.90909090909091</v>
      </c>
      <c r="K40" s="131">
        <f t="array" ref="K40">IF(ISERROR(G40/L40),"",G40/L40)</f>
        <v>36</v>
      </c>
      <c r="L40" s="129">
        <v>21</v>
      </c>
      <c r="M40" s="109">
        <f t="shared" si="20"/>
        <v>-3</v>
      </c>
      <c r="N40" s="130">
        <f t="shared" si="21"/>
        <v>0</v>
      </c>
      <c r="O40" s="458"/>
      <c r="P40" s="458"/>
      <c r="Q40" s="458"/>
      <c r="R40" s="458"/>
      <c r="S40" s="458"/>
      <c r="T40" s="458"/>
      <c r="U40" s="458"/>
      <c r="V40" s="132">
        <f t="shared" si="22"/>
        <v>0</v>
      </c>
      <c r="W40" s="133">
        <f t="shared" si="23"/>
        <v>0</v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3" t="s">
        <v>208</v>
      </c>
      <c r="C41" s="126" t="s">
        <v>203</v>
      </c>
      <c r="D41" s="108">
        <v>5.08</v>
      </c>
      <c r="E41" s="108"/>
      <c r="F41" s="127"/>
      <c r="G41" s="128"/>
      <c r="H41" s="45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20"/>
        <v>0</v>
      </c>
      <c r="N41" s="130">
        <f t="shared" si="21"/>
        <v>0</v>
      </c>
      <c r="O41" s="458"/>
      <c r="P41" s="458"/>
      <c r="Q41" s="458"/>
      <c r="R41" s="458"/>
      <c r="S41" s="458"/>
      <c r="T41" s="458"/>
      <c r="U41" s="458"/>
      <c r="V41" s="132">
        <f t="shared" si="22"/>
        <v>0</v>
      </c>
      <c r="W41" s="133" t="str">
        <f t="shared" si="23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3" t="s">
        <v>208</v>
      </c>
      <c r="C42" s="126" t="s">
        <v>199</v>
      </c>
      <c r="D42" s="108">
        <v>5.08</v>
      </c>
      <c r="E42" s="108"/>
      <c r="F42" s="127"/>
      <c r="G42" s="128"/>
      <c r="H42" s="45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20"/>
        <v>0</v>
      </c>
      <c r="N42" s="130">
        <f t="shared" si="21"/>
        <v>0</v>
      </c>
      <c r="O42" s="462"/>
      <c r="P42" s="462"/>
      <c r="Q42" s="462"/>
      <c r="R42" s="462"/>
      <c r="S42" s="462"/>
      <c r="T42" s="462"/>
      <c r="U42" s="462"/>
      <c r="V42" s="132">
        <f t="shared" si="22"/>
        <v>0</v>
      </c>
      <c r="W42" s="133" t="str">
        <f t="shared" si="23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3" t="s">
        <v>208</v>
      </c>
      <c r="C43" s="126" t="s">
        <v>187</v>
      </c>
      <c r="D43" s="108">
        <v>5.08</v>
      </c>
      <c r="E43" s="108"/>
      <c r="F43" s="127"/>
      <c r="G43" s="128"/>
      <c r="H43" s="45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20"/>
        <v>0</v>
      </c>
      <c r="N43" s="130">
        <f t="shared" si="21"/>
        <v>0</v>
      </c>
      <c r="O43" s="458"/>
      <c r="P43" s="458"/>
      <c r="Q43" s="458"/>
      <c r="R43" s="458"/>
      <c r="S43" s="458"/>
      <c r="T43" s="458"/>
      <c r="U43" s="458"/>
      <c r="V43" s="132">
        <f t="shared" si="22"/>
        <v>0</v>
      </c>
      <c r="W43" s="133" t="str">
        <f t="shared" si="23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3" t="s">
        <v>208</v>
      </c>
      <c r="C44" s="126" t="s">
        <v>207</v>
      </c>
      <c r="D44" s="108">
        <v>5.08</v>
      </c>
      <c r="E44" s="108"/>
      <c r="F44" s="127"/>
      <c r="G44" s="128"/>
      <c r="H44" s="45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20"/>
        <v>0</v>
      </c>
      <c r="N44" s="130">
        <f t="shared" si="21"/>
        <v>0</v>
      </c>
      <c r="O44" s="462"/>
      <c r="P44" s="462"/>
      <c r="Q44" s="462"/>
      <c r="R44" s="462"/>
      <c r="S44" s="462"/>
      <c r="T44" s="462"/>
      <c r="U44" s="462"/>
      <c r="V44" s="132">
        <f t="shared" si="22"/>
        <v>0</v>
      </c>
      <c r="W44" s="133" t="str">
        <f t="shared" si="23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3" t="s">
        <v>209</v>
      </c>
      <c r="C45" s="126" t="s">
        <v>194</v>
      </c>
      <c r="D45" s="108">
        <v>5.03</v>
      </c>
      <c r="E45" s="108"/>
      <c r="F45" s="127"/>
      <c r="G45" s="128"/>
      <c r="H45" s="45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20"/>
        <v>0</v>
      </c>
      <c r="N45" s="130">
        <f t="shared" si="21"/>
        <v>0</v>
      </c>
      <c r="O45" s="458"/>
      <c r="P45" s="458"/>
      <c r="Q45" s="458"/>
      <c r="R45" s="458"/>
      <c r="S45" s="458"/>
      <c r="T45" s="458"/>
      <c r="U45" s="458"/>
      <c r="V45" s="132">
        <f t="shared" si="22"/>
        <v>0</v>
      </c>
      <c r="W45" s="133" t="str">
        <f t="shared" si="23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53" t="s">
        <v>209</v>
      </c>
      <c r="C46" s="126" t="s">
        <v>179</v>
      </c>
      <c r="D46" s="108">
        <v>5.03</v>
      </c>
      <c r="E46" s="108"/>
      <c r="F46" s="127"/>
      <c r="G46" s="128"/>
      <c r="H46" s="45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20"/>
        <v>0</v>
      </c>
      <c r="N46" s="130">
        <f t="shared" si="21"/>
        <v>0</v>
      </c>
      <c r="O46" s="458"/>
      <c r="P46" s="458"/>
      <c r="Q46" s="458"/>
      <c r="R46" s="458"/>
      <c r="S46" s="458"/>
      <c r="T46" s="458"/>
      <c r="U46" s="458"/>
      <c r="V46" s="132">
        <f t="shared" si="22"/>
        <v>0</v>
      </c>
      <c r="W46" s="133" t="str">
        <f t="shared" si="23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53" t="s">
        <v>209</v>
      </c>
      <c r="C47" s="126" t="s">
        <v>195</v>
      </c>
      <c r="D47" s="108">
        <v>5.03</v>
      </c>
      <c r="E47" s="108"/>
      <c r="F47" s="127">
        <v>42737</v>
      </c>
      <c r="G47" s="128">
        <v>25</v>
      </c>
      <c r="H47" s="454">
        <f t="shared" si="11"/>
        <v>125.75</v>
      </c>
      <c r="I47" s="129">
        <f>1*4</f>
        <v>4</v>
      </c>
      <c r="J47" s="130">
        <f t="array" ref="J47">IF(ISERROR(G47/I47),"",G47/I47)</f>
        <v>6.25</v>
      </c>
      <c r="K47" s="131">
        <f t="array" ref="K47">IF(ISERROR(G47/L47),"",G47/L47)</f>
        <v>0.44642857142857145</v>
      </c>
      <c r="L47" s="129">
        <v>56</v>
      </c>
      <c r="M47" s="109">
        <f t="shared" si="20"/>
        <v>3.5535714285714284</v>
      </c>
      <c r="N47" s="130">
        <f t="shared" si="21"/>
        <v>0</v>
      </c>
      <c r="O47" s="458"/>
      <c r="P47" s="458"/>
      <c r="Q47" s="458"/>
      <c r="R47" s="458"/>
      <c r="S47" s="458"/>
      <c r="T47" s="458"/>
      <c r="U47" s="458"/>
      <c r="V47" s="132">
        <f t="shared" si="22"/>
        <v>0</v>
      </c>
      <c r="W47" s="133">
        <f t="shared" si="23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3" t="s">
        <v>209</v>
      </c>
      <c r="C48" s="126" t="s">
        <v>204</v>
      </c>
      <c r="D48" s="108">
        <v>5.03</v>
      </c>
      <c r="E48" s="108"/>
      <c r="F48" s="127"/>
      <c r="G48" s="128"/>
      <c r="H48" s="454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20"/>
        <v>0</v>
      </c>
      <c r="N48" s="130">
        <f t="shared" si="21"/>
        <v>0</v>
      </c>
      <c r="O48" s="458"/>
      <c r="P48" s="458"/>
      <c r="Q48" s="458"/>
      <c r="R48" s="458"/>
      <c r="S48" s="458"/>
      <c r="T48" s="458"/>
      <c r="U48" s="458"/>
      <c r="V48" s="132">
        <f t="shared" si="22"/>
        <v>0</v>
      </c>
      <c r="W48" s="133" t="str">
        <f t="shared" si="23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3" t="s">
        <v>382</v>
      </c>
      <c r="C49" s="187" t="s">
        <v>383</v>
      </c>
      <c r="D49" s="108">
        <v>5.03</v>
      </c>
      <c r="E49" s="108"/>
      <c r="F49" s="127"/>
      <c r="G49" s="128"/>
      <c r="H49" s="45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20"/>
        <v>0</v>
      </c>
      <c r="N49" s="130">
        <f t="shared" si="21"/>
        <v>0</v>
      </c>
      <c r="O49" s="458"/>
      <c r="P49" s="458"/>
      <c r="Q49" s="458"/>
      <c r="R49" s="458"/>
      <c r="S49" s="458"/>
      <c r="T49" s="458"/>
      <c r="U49" s="45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3" t="s">
        <v>382</v>
      </c>
      <c r="C50" s="187" t="s">
        <v>384</v>
      </c>
      <c r="D50" s="108">
        <v>5.03</v>
      </c>
      <c r="E50" s="108"/>
      <c r="F50" s="127"/>
      <c r="G50" s="128"/>
      <c r="H50" s="454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20"/>
        <v>0</v>
      </c>
      <c r="N50" s="130">
        <f t="shared" si="21"/>
        <v>0</v>
      </c>
      <c r="O50" s="458"/>
      <c r="P50" s="458"/>
      <c r="Q50" s="458"/>
      <c r="R50" s="458"/>
      <c r="S50" s="458"/>
      <c r="T50" s="458"/>
      <c r="U50" s="45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3" t="s">
        <v>382</v>
      </c>
      <c r="C51" s="187" t="s">
        <v>389</v>
      </c>
      <c r="D51" s="108">
        <v>5.03</v>
      </c>
      <c r="E51" s="108"/>
      <c r="F51" s="127"/>
      <c r="G51" s="128"/>
      <c r="H51" s="454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20"/>
        <v>0</v>
      </c>
      <c r="N51" s="130">
        <f t="shared" si="21"/>
        <v>0</v>
      </c>
      <c r="O51" s="458"/>
      <c r="P51" s="458"/>
      <c r="Q51" s="458"/>
      <c r="R51" s="458"/>
      <c r="S51" s="458"/>
      <c r="T51" s="458"/>
      <c r="U51" s="45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3" t="s">
        <v>382</v>
      </c>
      <c r="C52" s="187" t="s">
        <v>391</v>
      </c>
      <c r="D52" s="108">
        <v>5.03</v>
      </c>
      <c r="E52" s="108"/>
      <c r="F52" s="127"/>
      <c r="G52" s="128"/>
      <c r="H52" s="45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20"/>
        <v>0</v>
      </c>
      <c r="N52" s="130">
        <f t="shared" si="21"/>
        <v>0</v>
      </c>
      <c r="O52" s="458"/>
      <c r="P52" s="458"/>
      <c r="Q52" s="458"/>
      <c r="R52" s="458"/>
      <c r="S52" s="458"/>
      <c r="T52" s="458"/>
      <c r="U52" s="45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3" t="s">
        <v>418</v>
      </c>
      <c r="C53" s="187" t="s">
        <v>364</v>
      </c>
      <c r="D53" s="108">
        <v>5.03</v>
      </c>
      <c r="E53" s="108"/>
      <c r="F53" s="127"/>
      <c r="G53" s="128"/>
      <c r="H53" s="45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20"/>
        <v>0</v>
      </c>
      <c r="N53" s="130"/>
      <c r="O53" s="458"/>
      <c r="P53" s="458"/>
      <c r="Q53" s="458"/>
      <c r="R53" s="458"/>
      <c r="S53" s="458"/>
      <c r="T53" s="458"/>
      <c r="U53" s="45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3" t="s">
        <v>418</v>
      </c>
      <c r="C54" s="187" t="s">
        <v>365</v>
      </c>
      <c r="D54" s="108">
        <v>5.03</v>
      </c>
      <c r="E54" s="108"/>
      <c r="F54" s="127"/>
      <c r="G54" s="128"/>
      <c r="H54" s="45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20"/>
        <v>0</v>
      </c>
      <c r="N54" s="130"/>
      <c r="O54" s="458"/>
      <c r="P54" s="458"/>
      <c r="Q54" s="458"/>
      <c r="R54" s="458"/>
      <c r="S54" s="458"/>
      <c r="T54" s="458"/>
      <c r="U54" s="45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3" t="s">
        <v>418</v>
      </c>
      <c r="C55" s="187" t="s">
        <v>366</v>
      </c>
      <c r="D55" s="108">
        <v>5.03</v>
      </c>
      <c r="E55" s="108"/>
      <c r="F55" s="127"/>
      <c r="G55" s="128"/>
      <c r="H55" s="45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20"/>
        <v>0</v>
      </c>
      <c r="N55" s="130"/>
      <c r="O55" s="458"/>
      <c r="P55" s="458"/>
      <c r="Q55" s="458"/>
      <c r="R55" s="458"/>
      <c r="S55" s="458"/>
      <c r="T55" s="458"/>
      <c r="U55" s="45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3" t="s">
        <v>418</v>
      </c>
      <c r="C56" s="187" t="s">
        <v>367</v>
      </c>
      <c r="D56" s="108">
        <v>5.03</v>
      </c>
      <c r="E56" s="108"/>
      <c r="F56" s="127"/>
      <c r="G56" s="128"/>
      <c r="H56" s="45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20"/>
        <v>0</v>
      </c>
      <c r="N56" s="130"/>
      <c r="O56" s="458"/>
      <c r="P56" s="458"/>
      <c r="Q56" s="458"/>
      <c r="R56" s="458"/>
      <c r="S56" s="458"/>
      <c r="T56" s="458"/>
      <c r="U56" s="45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5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20"/>
        <v>0</v>
      </c>
      <c r="N57" s="130">
        <f t="shared" ref="N57:N66" si="24">SUM(O57:U57)</f>
        <v>0</v>
      </c>
      <c r="O57" s="462"/>
      <c r="P57" s="462"/>
      <c r="Q57" s="462"/>
      <c r="R57" s="462"/>
      <c r="S57" s="462"/>
      <c r="T57" s="462"/>
      <c r="U57" s="462"/>
      <c r="V57" s="132">
        <f t="shared" ref="V57:V66" si="25">SUM(X57:AA57)</f>
        <v>0</v>
      </c>
      <c r="W57" s="133" t="str">
        <f t="shared" ref="W57:W66" si="26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5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20"/>
        <v>0</v>
      </c>
      <c r="N58" s="130">
        <f t="shared" si="24"/>
        <v>0</v>
      </c>
      <c r="O58" s="462"/>
      <c r="P58" s="462"/>
      <c r="Q58" s="462"/>
      <c r="R58" s="462"/>
      <c r="S58" s="462"/>
      <c r="T58" s="462"/>
      <c r="U58" s="462"/>
      <c r="V58" s="132">
        <f t="shared" si="25"/>
        <v>0</v>
      </c>
      <c r="W58" s="133" t="str">
        <f t="shared" si="26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28">
        <f>80+108*2+110+41</f>
        <v>447</v>
      </c>
      <c r="H59" s="454">
        <f t="shared" si="11"/>
        <v>2248.4100000000003</v>
      </c>
      <c r="I59" s="129">
        <f>1+1+8.5*4</f>
        <v>36</v>
      </c>
      <c r="J59" s="130">
        <f t="array" ref="J59">IF(ISERROR(G59/I59),"",G59/I59)</f>
        <v>12.416666666666666</v>
      </c>
      <c r="K59" s="131">
        <f t="array" ref="K59">IF(ISERROR(G59/L59),"",G59/L59)</f>
        <v>11.175000000000001</v>
      </c>
      <c r="L59" s="129">
        <v>40</v>
      </c>
      <c r="M59" s="109">
        <f t="shared" si="20"/>
        <v>24.824999999999999</v>
      </c>
      <c r="N59" s="130">
        <f t="shared" si="24"/>
        <v>0</v>
      </c>
      <c r="O59" s="462"/>
      <c r="P59" s="462"/>
      <c r="Q59" s="462"/>
      <c r="R59" s="462"/>
      <c r="S59" s="462"/>
      <c r="T59" s="462"/>
      <c r="U59" s="462"/>
      <c r="V59" s="132">
        <f t="shared" si="25"/>
        <v>0</v>
      </c>
      <c r="W59" s="133">
        <f t="shared" si="26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5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0"/>
        <v>0</v>
      </c>
      <c r="N60" s="130">
        <f t="shared" si="24"/>
        <v>0</v>
      </c>
      <c r="O60" s="462"/>
      <c r="P60" s="462"/>
      <c r="Q60" s="462"/>
      <c r="R60" s="462"/>
      <c r="S60" s="462"/>
      <c r="T60" s="462"/>
      <c r="U60" s="462"/>
      <c r="V60" s="132">
        <f t="shared" si="25"/>
        <v>0</v>
      </c>
      <c r="W60" s="133" t="str">
        <f t="shared" si="26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5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0"/>
        <v>0</v>
      </c>
      <c r="N61" s="130">
        <f t="shared" si="24"/>
        <v>0</v>
      </c>
      <c r="O61" s="462"/>
      <c r="P61" s="462"/>
      <c r="Q61" s="462"/>
      <c r="R61" s="462"/>
      <c r="S61" s="462"/>
      <c r="T61" s="462"/>
      <c r="U61" s="462"/>
      <c r="V61" s="132">
        <f t="shared" si="25"/>
        <v>0</v>
      </c>
      <c r="W61" s="133" t="str">
        <f t="shared" si="26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5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0"/>
        <v>0</v>
      </c>
      <c r="N62" s="130">
        <f t="shared" si="24"/>
        <v>0</v>
      </c>
      <c r="O62" s="462"/>
      <c r="P62" s="462"/>
      <c r="Q62" s="462"/>
      <c r="R62" s="462"/>
      <c r="S62" s="462"/>
      <c r="T62" s="462"/>
      <c r="U62" s="462"/>
      <c r="V62" s="132">
        <f t="shared" si="25"/>
        <v>0</v>
      </c>
      <c r="W62" s="133" t="str">
        <f t="shared" si="26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5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0"/>
        <v>0</v>
      </c>
      <c r="N63" s="130">
        <f t="shared" si="24"/>
        <v>0</v>
      </c>
      <c r="O63" s="462"/>
      <c r="P63" s="462"/>
      <c r="Q63" s="462"/>
      <c r="R63" s="462"/>
      <c r="S63" s="462"/>
      <c r="T63" s="462"/>
      <c r="U63" s="462"/>
      <c r="V63" s="132">
        <f t="shared" si="25"/>
        <v>0</v>
      </c>
      <c r="W63" s="133" t="str">
        <f t="shared" si="26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5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0"/>
        <v>0</v>
      </c>
      <c r="N64" s="130">
        <f t="shared" si="24"/>
        <v>0</v>
      </c>
      <c r="O64" s="462"/>
      <c r="P64" s="462"/>
      <c r="Q64" s="462"/>
      <c r="R64" s="462"/>
      <c r="S64" s="462"/>
      <c r="T64" s="462"/>
      <c r="U64" s="462"/>
      <c r="V64" s="132">
        <f t="shared" si="25"/>
        <v>0</v>
      </c>
      <c r="W64" s="133" t="str">
        <f t="shared" si="26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5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0"/>
        <v>0</v>
      </c>
      <c r="N65" s="130">
        <f t="shared" si="24"/>
        <v>0</v>
      </c>
      <c r="O65" s="462"/>
      <c r="P65" s="462"/>
      <c r="Q65" s="462"/>
      <c r="R65" s="462"/>
      <c r="S65" s="462"/>
      <c r="T65" s="462"/>
      <c r="U65" s="462"/>
      <c r="V65" s="132">
        <f t="shared" si="25"/>
        <v>0</v>
      </c>
      <c r="W65" s="133" t="str">
        <f t="shared" si="26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5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0"/>
        <v>0</v>
      </c>
      <c r="N66" s="130">
        <f t="shared" si="24"/>
        <v>0</v>
      </c>
      <c r="O66" s="462"/>
      <c r="P66" s="462"/>
      <c r="Q66" s="462"/>
      <c r="R66" s="462"/>
      <c r="S66" s="462"/>
      <c r="T66" s="462"/>
      <c r="U66" s="462"/>
      <c r="V66" s="132">
        <f t="shared" si="25"/>
        <v>0</v>
      </c>
      <c r="W66" s="133" t="str">
        <f t="shared" si="26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5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62"/>
      <c r="P67" s="462"/>
      <c r="Q67" s="462"/>
      <c r="R67" s="462"/>
      <c r="S67" s="462"/>
      <c r="T67" s="462"/>
      <c r="U67" s="462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5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62"/>
      <c r="P68" s="462"/>
      <c r="Q68" s="462"/>
      <c r="R68" s="462"/>
      <c r="S68" s="462"/>
      <c r="T68" s="462"/>
      <c r="U68" s="462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5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7">IF(ISERROR(I69-K69),"",I69-K69)</f>
        <v>0</v>
      </c>
      <c r="N69" s="130">
        <f t="shared" ref="N69:N70" si="28">SUM(O69:U69)</f>
        <v>0</v>
      </c>
      <c r="O69" s="462"/>
      <c r="P69" s="462"/>
      <c r="Q69" s="462"/>
      <c r="R69" s="462"/>
      <c r="S69" s="462"/>
      <c r="T69" s="462"/>
      <c r="U69" s="462"/>
      <c r="V69" s="132">
        <f t="shared" ref="V69:V70" si="29">SUM(X69:AA69)</f>
        <v>0</v>
      </c>
      <c r="W69" s="133" t="str">
        <f t="shared" ref="W69:W70" si="30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5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7"/>
        <v>0</v>
      </c>
      <c r="N70" s="130">
        <f t="shared" si="28"/>
        <v>0</v>
      </c>
      <c r="O70" s="462"/>
      <c r="P70" s="462"/>
      <c r="Q70" s="462"/>
      <c r="R70" s="462"/>
      <c r="S70" s="462"/>
      <c r="T70" s="462"/>
      <c r="U70" s="462"/>
      <c r="V70" s="132">
        <f t="shared" si="29"/>
        <v>0</v>
      </c>
      <c r="W70" s="133" t="str">
        <f t="shared" si="30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454">
        <f t="shared" si="11"/>
        <v>0</v>
      </c>
      <c r="I71" s="129"/>
      <c r="J71" s="130"/>
      <c r="K71" s="131"/>
      <c r="L71" s="129"/>
      <c r="M71" s="109"/>
      <c r="N71" s="130"/>
      <c r="O71" s="462"/>
      <c r="P71" s="462"/>
      <c r="Q71" s="462"/>
      <c r="R71" s="462"/>
      <c r="S71" s="462"/>
      <c r="T71" s="462"/>
      <c r="U71" s="462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5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1">IF(ISERROR(I72-K72),"",I72-K72)</f>
        <v/>
      </c>
      <c r="N72" s="130">
        <f t="shared" ref="N72:N75" si="32">SUM(O72:U72)</f>
        <v>0</v>
      </c>
      <c r="O72" s="462"/>
      <c r="P72" s="462"/>
      <c r="Q72" s="462"/>
      <c r="R72" s="462"/>
      <c r="S72" s="462"/>
      <c r="T72" s="462"/>
      <c r="U72" s="462"/>
      <c r="V72" s="132">
        <f t="shared" ref="V72:V75" si="33">SUM(X72:AA72)</f>
        <v>0</v>
      </c>
      <c r="W72" s="133" t="str">
        <f t="shared" ref="W72:W75" si="34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5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1"/>
        <v/>
      </c>
      <c r="N73" s="130">
        <f t="shared" si="32"/>
        <v>0</v>
      </c>
      <c r="O73" s="462"/>
      <c r="P73" s="462"/>
      <c r="Q73" s="462"/>
      <c r="R73" s="462"/>
      <c r="S73" s="462"/>
      <c r="T73" s="462"/>
      <c r="U73" s="462"/>
      <c r="V73" s="132">
        <f t="shared" si="33"/>
        <v>0</v>
      </c>
      <c r="W73" s="133" t="str">
        <f t="shared" si="34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5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1"/>
        <v/>
      </c>
      <c r="N74" s="130">
        <f t="shared" si="32"/>
        <v>0</v>
      </c>
      <c r="O74" s="462"/>
      <c r="P74" s="462"/>
      <c r="Q74" s="462"/>
      <c r="R74" s="462"/>
      <c r="S74" s="462"/>
      <c r="T74" s="462"/>
      <c r="U74" s="462"/>
      <c r="V74" s="132">
        <f t="shared" si="33"/>
        <v>0</v>
      </c>
      <c r="W74" s="133" t="str">
        <f t="shared" si="34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5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1"/>
        <v/>
      </c>
      <c r="N75" s="130">
        <f t="shared" si="32"/>
        <v>0</v>
      </c>
      <c r="O75" s="462"/>
      <c r="P75" s="462"/>
      <c r="Q75" s="462"/>
      <c r="R75" s="462"/>
      <c r="S75" s="462"/>
      <c r="T75" s="462"/>
      <c r="U75" s="462"/>
      <c r="V75" s="132">
        <f t="shared" si="33"/>
        <v>0</v>
      </c>
      <c r="W75" s="133" t="str">
        <f t="shared" si="34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5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1"/>
        <v>0</v>
      </c>
      <c r="N76" s="130"/>
      <c r="O76" s="462"/>
      <c r="P76" s="462"/>
      <c r="Q76" s="462"/>
      <c r="R76" s="462"/>
      <c r="S76" s="462"/>
      <c r="T76" s="462"/>
      <c r="U76" s="462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5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1"/>
        <v>0</v>
      </c>
      <c r="N77" s="130"/>
      <c r="O77" s="462"/>
      <c r="P77" s="462"/>
      <c r="Q77" s="462"/>
      <c r="R77" s="462"/>
      <c r="S77" s="462"/>
      <c r="T77" s="462"/>
      <c r="U77" s="462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5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1"/>
        <v>0</v>
      </c>
      <c r="N78" s="130"/>
      <c r="O78" s="462"/>
      <c r="P78" s="462"/>
      <c r="Q78" s="462"/>
      <c r="R78" s="462"/>
      <c r="S78" s="462"/>
      <c r="T78" s="462"/>
      <c r="U78" s="462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5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1"/>
        <v>0</v>
      </c>
      <c r="N79" s="130"/>
      <c r="O79" s="462"/>
      <c r="P79" s="462"/>
      <c r="Q79" s="462"/>
      <c r="R79" s="462"/>
      <c r="S79" s="462"/>
      <c r="T79" s="462"/>
      <c r="U79" s="462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5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62"/>
      <c r="P80" s="462"/>
      <c r="Q80" s="462"/>
      <c r="R80" s="462"/>
      <c r="S80" s="462"/>
      <c r="T80" s="462"/>
      <c r="U80" s="462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5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62"/>
      <c r="P81" s="462"/>
      <c r="Q81" s="462"/>
      <c r="R81" s="462"/>
      <c r="S81" s="462"/>
      <c r="T81" s="462"/>
      <c r="U81" s="462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5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62"/>
      <c r="P82" s="462"/>
      <c r="Q82" s="462"/>
      <c r="R82" s="462"/>
      <c r="S82" s="462"/>
      <c r="T82" s="462"/>
      <c r="U82" s="462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5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62"/>
      <c r="P83" s="462"/>
      <c r="Q83" s="462"/>
      <c r="R83" s="462"/>
      <c r="S83" s="462"/>
      <c r="T83" s="462"/>
      <c r="U83" s="462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5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62"/>
      <c r="P84" s="462"/>
      <c r="Q84" s="462"/>
      <c r="R84" s="462"/>
      <c r="S84" s="462"/>
      <c r="T84" s="462"/>
      <c r="U84" s="462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5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62"/>
      <c r="P85" s="462"/>
      <c r="Q85" s="462"/>
      <c r="R85" s="462"/>
      <c r="S85" s="462"/>
      <c r="T85" s="462"/>
      <c r="U85" s="462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63" t="s">
        <v>202</v>
      </c>
      <c r="D86" s="143"/>
      <c r="E86" s="143"/>
      <c r="F86" s="144"/>
      <c r="G86" s="145">
        <f>SUM(G29:G85)</f>
        <v>2398</v>
      </c>
      <c r="H86" s="146">
        <f>SUM(H29:H85)</f>
        <v>12099.74</v>
      </c>
      <c r="I86" s="146">
        <f>SUM(I29:I85)</f>
        <v>107</v>
      </c>
      <c r="J86" s="130">
        <f t="array" ref="J86">IF(ISERROR(G86/I86),"",G86/I86)</f>
        <v>22.411214953271028</v>
      </c>
      <c r="K86" s="146">
        <f>SUM(K29:K85)</f>
        <v>70.121428571428567</v>
      </c>
      <c r="L86" s="147"/>
      <c r="M86" s="150">
        <f t="shared" ref="M86:V86" si="35">SUM(M29:M85)</f>
        <v>36.878571428571426</v>
      </c>
      <c r="N86" s="146">
        <f t="shared" si="35"/>
        <v>0</v>
      </c>
      <c r="O86" s="148">
        <f t="shared" si="35"/>
        <v>0</v>
      </c>
      <c r="P86" s="148">
        <f t="shared" si="35"/>
        <v>0</v>
      </c>
      <c r="Q86" s="148">
        <f t="shared" si="35"/>
        <v>0</v>
      </c>
      <c r="R86" s="148">
        <f t="shared" si="35"/>
        <v>0</v>
      </c>
      <c r="S86" s="148">
        <f t="shared" si="35"/>
        <v>0</v>
      </c>
      <c r="T86" s="148">
        <f t="shared" si="35"/>
        <v>0</v>
      </c>
      <c r="U86" s="148">
        <f t="shared" si="35"/>
        <v>0</v>
      </c>
      <c r="V86" s="149">
        <f t="shared" si="35"/>
        <v>0</v>
      </c>
      <c r="W86" s="133">
        <f t="shared" ref="W86:W93" si="36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3" t="s">
        <v>217</v>
      </c>
      <c r="C87" s="126" t="s">
        <v>179</v>
      </c>
      <c r="D87" s="108">
        <v>5.03</v>
      </c>
      <c r="E87" s="108"/>
      <c r="F87" s="127"/>
      <c r="G87" s="128"/>
      <c r="H87" s="454">
        <f t="shared" ref="H87:H120" si="37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8">IF(ISERROR(I87-K87),"",I87-K87)</f>
        <v>0</v>
      </c>
      <c r="N87" s="130">
        <f t="shared" ref="N87:N93" si="39">SUM(O87:U87)</f>
        <v>0</v>
      </c>
      <c r="O87" s="462"/>
      <c r="P87" s="462"/>
      <c r="Q87" s="462"/>
      <c r="R87" s="462"/>
      <c r="S87" s="462"/>
      <c r="T87" s="462"/>
      <c r="U87" s="462"/>
      <c r="V87" s="132">
        <f t="shared" ref="V87:V93" si="40">SUM(X87:AA87)</f>
        <v>0</v>
      </c>
      <c r="W87" s="133" t="str">
        <f t="shared" si="36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3" t="s">
        <v>217</v>
      </c>
      <c r="C88" s="126" t="s">
        <v>186</v>
      </c>
      <c r="D88" s="108">
        <v>5.03</v>
      </c>
      <c r="E88" s="108"/>
      <c r="F88" s="127"/>
      <c r="G88" s="128"/>
      <c r="H88" s="454">
        <f t="shared" si="37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8"/>
        <v>0</v>
      </c>
      <c r="N88" s="130">
        <f t="shared" si="39"/>
        <v>0</v>
      </c>
      <c r="O88" s="462"/>
      <c r="P88" s="462"/>
      <c r="Q88" s="462"/>
      <c r="R88" s="462"/>
      <c r="S88" s="462"/>
      <c r="T88" s="462"/>
      <c r="U88" s="462"/>
      <c r="V88" s="132">
        <f t="shared" si="40"/>
        <v>0</v>
      </c>
      <c r="W88" s="133" t="str">
        <f t="shared" si="36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3" t="s">
        <v>217</v>
      </c>
      <c r="C89" s="126" t="s">
        <v>204</v>
      </c>
      <c r="D89" s="108">
        <v>5.03</v>
      </c>
      <c r="E89" s="108"/>
      <c r="F89" s="127"/>
      <c r="G89" s="128"/>
      <c r="H89" s="454">
        <f t="shared" si="37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8"/>
        <v>0</v>
      </c>
      <c r="N89" s="130">
        <f t="shared" si="39"/>
        <v>0</v>
      </c>
      <c r="O89" s="462"/>
      <c r="P89" s="462"/>
      <c r="Q89" s="462"/>
      <c r="R89" s="462"/>
      <c r="S89" s="462"/>
      <c r="T89" s="462"/>
      <c r="U89" s="462"/>
      <c r="V89" s="132">
        <f t="shared" si="40"/>
        <v>0</v>
      </c>
      <c r="W89" s="133" t="str">
        <f t="shared" si="36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54">
        <f t="shared" si="37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8"/>
        <v>0</v>
      </c>
      <c r="N90" s="130">
        <f t="shared" si="39"/>
        <v>0</v>
      </c>
      <c r="O90" s="462"/>
      <c r="P90" s="462"/>
      <c r="Q90" s="462"/>
      <c r="R90" s="462"/>
      <c r="S90" s="462"/>
      <c r="T90" s="462"/>
      <c r="U90" s="462"/>
      <c r="V90" s="132">
        <f t="shared" si="40"/>
        <v>0</v>
      </c>
      <c r="W90" s="133" t="str">
        <f t="shared" si="36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54">
        <f t="shared" si="37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8"/>
        <v>0</v>
      </c>
      <c r="N91" s="130">
        <f t="shared" si="39"/>
        <v>0</v>
      </c>
      <c r="O91" s="462"/>
      <c r="P91" s="462"/>
      <c r="Q91" s="462"/>
      <c r="R91" s="462"/>
      <c r="S91" s="462"/>
      <c r="T91" s="462"/>
      <c r="U91" s="462"/>
      <c r="V91" s="132">
        <f t="shared" si="40"/>
        <v>0</v>
      </c>
      <c r="W91" s="133" t="str">
        <f t="shared" si="36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54">
        <f t="shared" si="37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8"/>
        <v>0</v>
      </c>
      <c r="N92" s="130">
        <f t="shared" si="39"/>
        <v>0</v>
      </c>
      <c r="O92" s="462"/>
      <c r="P92" s="462"/>
      <c r="Q92" s="462"/>
      <c r="R92" s="462"/>
      <c r="S92" s="462"/>
      <c r="T92" s="462"/>
      <c r="U92" s="462"/>
      <c r="V92" s="132">
        <f t="shared" si="40"/>
        <v>0</v>
      </c>
      <c r="W92" s="133" t="str">
        <f t="shared" si="36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54">
        <f t="shared" si="37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8"/>
        <v>0</v>
      </c>
      <c r="N93" s="130">
        <f t="shared" si="39"/>
        <v>0</v>
      </c>
      <c r="O93" s="462"/>
      <c r="P93" s="462"/>
      <c r="Q93" s="462"/>
      <c r="R93" s="462"/>
      <c r="S93" s="462"/>
      <c r="T93" s="462"/>
      <c r="U93" s="462"/>
      <c r="V93" s="132">
        <f t="shared" si="40"/>
        <v>0</v>
      </c>
      <c r="W93" s="133" t="str">
        <f t="shared" si="36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54">
        <f t="shared" si="37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8"/>
        <v>0</v>
      </c>
      <c r="N94" s="130"/>
      <c r="O94" s="462"/>
      <c r="P94" s="462"/>
      <c r="Q94" s="462"/>
      <c r="R94" s="462"/>
      <c r="S94" s="462"/>
      <c r="T94" s="462"/>
      <c r="U94" s="462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54">
        <f t="shared" si="37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8"/>
        <v>0</v>
      </c>
      <c r="N95" s="130">
        <f t="shared" ref="N95:N114" si="41">SUM(O95:U95)</f>
        <v>0</v>
      </c>
      <c r="O95" s="462"/>
      <c r="P95" s="462"/>
      <c r="Q95" s="462"/>
      <c r="R95" s="462"/>
      <c r="S95" s="462"/>
      <c r="T95" s="462"/>
      <c r="U95" s="462"/>
      <c r="V95" s="132">
        <f t="shared" ref="V95:V102" si="42">SUM(X95:AA95)</f>
        <v>0</v>
      </c>
      <c r="W95" s="133" t="str">
        <f t="shared" ref="W95:W106" si="43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54">
        <f t="shared" si="37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8"/>
        <v>0</v>
      </c>
      <c r="N96" s="130">
        <f t="shared" si="41"/>
        <v>0</v>
      </c>
      <c r="O96" s="462"/>
      <c r="P96" s="462"/>
      <c r="Q96" s="462"/>
      <c r="R96" s="462"/>
      <c r="S96" s="462"/>
      <c r="T96" s="462"/>
      <c r="U96" s="462"/>
      <c r="V96" s="132">
        <f t="shared" si="42"/>
        <v>0</v>
      </c>
      <c r="W96" s="133" t="str">
        <f t="shared" si="43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54">
        <f t="shared" si="37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8"/>
        <v>0</v>
      </c>
      <c r="N97" s="130">
        <f t="shared" si="41"/>
        <v>0</v>
      </c>
      <c r="O97" s="462"/>
      <c r="P97" s="462"/>
      <c r="Q97" s="462"/>
      <c r="R97" s="462"/>
      <c r="S97" s="462"/>
      <c r="T97" s="462"/>
      <c r="U97" s="462"/>
      <c r="V97" s="132">
        <f t="shared" si="42"/>
        <v>0</v>
      </c>
      <c r="W97" s="133" t="str">
        <f t="shared" si="43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54">
        <f t="shared" si="37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8"/>
        <v>0</v>
      </c>
      <c r="N98" s="130">
        <f t="shared" si="41"/>
        <v>0</v>
      </c>
      <c r="O98" s="462"/>
      <c r="P98" s="462"/>
      <c r="Q98" s="462"/>
      <c r="R98" s="462"/>
      <c r="S98" s="462"/>
      <c r="T98" s="462"/>
      <c r="U98" s="462"/>
      <c r="V98" s="132">
        <f t="shared" si="42"/>
        <v>0</v>
      </c>
      <c r="W98" s="133" t="str">
        <f t="shared" si="43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54">
        <f t="shared" si="37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8"/>
        <v>0</v>
      </c>
      <c r="N99" s="130">
        <f t="shared" si="41"/>
        <v>0</v>
      </c>
      <c r="O99" s="462"/>
      <c r="P99" s="462"/>
      <c r="Q99" s="462"/>
      <c r="R99" s="462"/>
      <c r="S99" s="462"/>
      <c r="T99" s="462"/>
      <c r="U99" s="462"/>
      <c r="V99" s="132">
        <f t="shared" si="42"/>
        <v>0</v>
      </c>
      <c r="W99" s="133" t="str">
        <f t="shared" si="43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54">
        <f t="shared" si="37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8"/>
        <v/>
      </c>
      <c r="N100" s="130">
        <f t="shared" si="41"/>
        <v>0</v>
      </c>
      <c r="O100" s="462"/>
      <c r="P100" s="462"/>
      <c r="Q100" s="462"/>
      <c r="R100" s="462"/>
      <c r="S100" s="462"/>
      <c r="T100" s="462"/>
      <c r="U100" s="462"/>
      <c r="V100" s="132">
        <f t="shared" si="42"/>
        <v>0</v>
      </c>
      <c r="W100" s="133" t="str">
        <f t="shared" si="43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54">
        <f t="shared" si="37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8"/>
        <v/>
      </c>
      <c r="N101" s="130">
        <f t="shared" si="41"/>
        <v>0</v>
      </c>
      <c r="O101" s="462"/>
      <c r="P101" s="462"/>
      <c r="Q101" s="462"/>
      <c r="R101" s="462"/>
      <c r="S101" s="462"/>
      <c r="T101" s="462"/>
      <c r="U101" s="462"/>
      <c r="V101" s="132">
        <f t="shared" si="42"/>
        <v>0</v>
      </c>
      <c r="W101" s="133" t="str">
        <f t="shared" si="43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54">
        <f t="shared" si="37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8"/>
        <v/>
      </c>
      <c r="N102" s="130">
        <f t="shared" si="41"/>
        <v>0</v>
      </c>
      <c r="O102" s="462"/>
      <c r="P102" s="462"/>
      <c r="Q102" s="462"/>
      <c r="R102" s="462"/>
      <c r="S102" s="462"/>
      <c r="T102" s="462"/>
      <c r="U102" s="462"/>
      <c r="V102" s="132">
        <f t="shared" si="42"/>
        <v>0</v>
      </c>
      <c r="W102" s="133" t="str">
        <f t="shared" si="43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3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54">
        <f t="shared" si="37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8"/>
        <v>0</v>
      </c>
      <c r="N103" s="130">
        <f t="shared" si="41"/>
        <v>0</v>
      </c>
      <c r="O103" s="462"/>
      <c r="P103" s="462"/>
      <c r="Q103" s="462"/>
      <c r="R103" s="462"/>
      <c r="S103" s="462"/>
      <c r="T103" s="462"/>
      <c r="U103" s="462"/>
      <c r="V103" s="132">
        <f t="shared" ref="V103:V106" si="44">SUM(X103:AA103)</f>
        <v>0</v>
      </c>
      <c r="W103" s="133" t="str">
        <f t="shared" si="43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3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54">
        <f t="shared" si="37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8"/>
        <v>0</v>
      </c>
      <c r="N104" s="130">
        <f t="shared" si="41"/>
        <v>0</v>
      </c>
      <c r="O104" s="462"/>
      <c r="P104" s="462"/>
      <c r="Q104" s="462"/>
      <c r="R104" s="462"/>
      <c r="S104" s="462"/>
      <c r="T104" s="462"/>
      <c r="U104" s="462"/>
      <c r="V104" s="132">
        <f t="shared" si="44"/>
        <v>0</v>
      </c>
      <c r="W104" s="133" t="str">
        <f t="shared" si="43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3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54">
        <f t="shared" si="37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8"/>
        <v>0</v>
      </c>
      <c r="N105" s="130">
        <f t="shared" si="41"/>
        <v>0</v>
      </c>
      <c r="O105" s="462"/>
      <c r="P105" s="462"/>
      <c r="Q105" s="462"/>
      <c r="R105" s="462"/>
      <c r="S105" s="462"/>
      <c r="T105" s="462"/>
      <c r="U105" s="462"/>
      <c r="V105" s="132">
        <f t="shared" si="44"/>
        <v>0</v>
      </c>
      <c r="W105" s="133" t="str">
        <f t="shared" si="43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3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54">
        <f t="shared" si="37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8"/>
        <v>0</v>
      </c>
      <c r="N106" s="130">
        <f t="shared" si="41"/>
        <v>0</v>
      </c>
      <c r="O106" s="462"/>
      <c r="P106" s="462"/>
      <c r="Q106" s="462"/>
      <c r="R106" s="462"/>
      <c r="S106" s="462"/>
      <c r="T106" s="462"/>
      <c r="U106" s="462"/>
      <c r="V106" s="132">
        <f t="shared" si="44"/>
        <v>0</v>
      </c>
      <c r="W106" s="133" t="str">
        <f t="shared" si="43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53" t="s">
        <v>393</v>
      </c>
      <c r="C107" s="187" t="s">
        <v>395</v>
      </c>
      <c r="D107" s="108">
        <v>5</v>
      </c>
      <c r="E107" s="108"/>
      <c r="F107" s="127"/>
      <c r="G107" s="128"/>
      <c r="H107" s="454">
        <f t="shared" si="37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8"/>
        <v>0</v>
      </c>
      <c r="N107" s="130">
        <f t="shared" si="41"/>
        <v>0</v>
      </c>
      <c r="O107" s="462"/>
      <c r="P107" s="462"/>
      <c r="Q107" s="462"/>
      <c r="R107" s="462"/>
      <c r="S107" s="462"/>
      <c r="T107" s="462"/>
      <c r="U107" s="462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3" t="s">
        <v>393</v>
      </c>
      <c r="C108" s="187" t="s">
        <v>402</v>
      </c>
      <c r="D108" s="108">
        <v>5</v>
      </c>
      <c r="E108" s="108"/>
      <c r="F108" s="127"/>
      <c r="G108" s="128"/>
      <c r="H108" s="454">
        <f t="shared" si="37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8"/>
        <v>0</v>
      </c>
      <c r="N108" s="130">
        <f t="shared" si="41"/>
        <v>0</v>
      </c>
      <c r="O108" s="462"/>
      <c r="P108" s="462"/>
      <c r="Q108" s="462"/>
      <c r="R108" s="462"/>
      <c r="S108" s="462"/>
      <c r="T108" s="462"/>
      <c r="U108" s="462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53" t="s">
        <v>404</v>
      </c>
      <c r="C109" s="187" t="s">
        <v>405</v>
      </c>
      <c r="D109" s="108">
        <v>5</v>
      </c>
      <c r="E109" s="108"/>
      <c r="F109" s="127"/>
      <c r="G109" s="128"/>
      <c r="H109" s="454">
        <f t="shared" si="37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8"/>
        <v>0</v>
      </c>
      <c r="N109" s="130">
        <f t="shared" si="41"/>
        <v>0</v>
      </c>
      <c r="O109" s="462"/>
      <c r="P109" s="462"/>
      <c r="Q109" s="462"/>
      <c r="R109" s="462"/>
      <c r="S109" s="462"/>
      <c r="T109" s="462"/>
      <c r="U109" s="462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3" t="s">
        <v>492</v>
      </c>
      <c r="C110" s="187" t="s">
        <v>372</v>
      </c>
      <c r="D110" s="108">
        <v>5</v>
      </c>
      <c r="E110" s="108"/>
      <c r="F110" s="127"/>
      <c r="G110" s="128"/>
      <c r="H110" s="454">
        <f t="shared" si="37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8"/>
        <v>0</v>
      </c>
      <c r="N110" s="130">
        <f t="shared" si="41"/>
        <v>0</v>
      </c>
      <c r="O110" s="462"/>
      <c r="P110" s="462"/>
      <c r="Q110" s="462"/>
      <c r="R110" s="462"/>
      <c r="S110" s="462"/>
      <c r="T110" s="462"/>
      <c r="U110" s="462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3" t="s">
        <v>343</v>
      </c>
      <c r="C111" s="126" t="s">
        <v>345</v>
      </c>
      <c r="D111" s="108">
        <v>5</v>
      </c>
      <c r="E111" s="108"/>
      <c r="F111" s="127"/>
      <c r="G111" s="128"/>
      <c r="H111" s="454">
        <f t="shared" si="37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8"/>
        <v>0</v>
      </c>
      <c r="N111" s="130">
        <f t="shared" si="41"/>
        <v>0</v>
      </c>
      <c r="O111" s="462"/>
      <c r="P111" s="462"/>
      <c r="Q111" s="462"/>
      <c r="R111" s="462"/>
      <c r="S111" s="462"/>
      <c r="T111" s="462"/>
      <c r="U111" s="462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453" t="s">
        <v>343</v>
      </c>
      <c r="C112" s="126" t="s">
        <v>347</v>
      </c>
      <c r="D112" s="108">
        <v>5</v>
      </c>
      <c r="E112" s="108"/>
      <c r="F112" s="127">
        <v>42737</v>
      </c>
      <c r="G112" s="128">
        <f>84+90+90</f>
        <v>264</v>
      </c>
      <c r="H112" s="454">
        <f t="shared" si="37"/>
        <v>1320</v>
      </c>
      <c r="I112" s="129">
        <v>53</v>
      </c>
      <c r="J112" s="130">
        <f t="array" ref="J112">IF(ISERROR(G112/I112),"",G112/I112)</f>
        <v>4.9811320754716979</v>
      </c>
      <c r="K112" s="131">
        <f t="array" ref="K112">IF(ISERROR(G112/L112),"",G112/L112)</f>
        <v>52.8</v>
      </c>
      <c r="L112" s="129">
        <v>5</v>
      </c>
      <c r="M112" s="109">
        <f t="shared" si="38"/>
        <v>0.20000000000000284</v>
      </c>
      <c r="N112" s="130">
        <f t="shared" si="41"/>
        <v>0</v>
      </c>
      <c r="O112" s="462"/>
      <c r="P112" s="462"/>
      <c r="Q112" s="462"/>
      <c r="R112" s="462"/>
      <c r="S112" s="462"/>
      <c r="T112" s="462"/>
      <c r="U112" s="462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54">
        <f t="shared" si="37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8"/>
        <v>0</v>
      </c>
      <c r="N113" s="130">
        <f t="shared" si="41"/>
        <v>0</v>
      </c>
      <c r="O113" s="462"/>
      <c r="P113" s="462"/>
      <c r="Q113" s="462"/>
      <c r="R113" s="462"/>
      <c r="S113" s="462"/>
      <c r="T113" s="462"/>
      <c r="U113" s="462"/>
      <c r="V113" s="132">
        <f t="shared" ref="V113:V114" si="45">SUM(X113:AA113)</f>
        <v>0</v>
      </c>
      <c r="W113" s="133" t="str">
        <f t="shared" ref="W113:W114" si="46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54">
        <f t="shared" si="37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8"/>
        <v>0</v>
      </c>
      <c r="N114" s="130">
        <f t="shared" si="41"/>
        <v>0</v>
      </c>
      <c r="O114" s="462"/>
      <c r="P114" s="462"/>
      <c r="Q114" s="462"/>
      <c r="R114" s="462"/>
      <c r="S114" s="462"/>
      <c r="T114" s="462"/>
      <c r="U114" s="462"/>
      <c r="V114" s="132">
        <f t="shared" si="45"/>
        <v>0</v>
      </c>
      <c r="W114" s="133" t="str">
        <f t="shared" si="46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54">
        <f t="shared" si="37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62"/>
      <c r="P115" s="462"/>
      <c r="Q115" s="462"/>
      <c r="R115" s="462"/>
      <c r="S115" s="462"/>
      <c r="T115" s="462"/>
      <c r="U115" s="462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54">
        <f t="shared" si="37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62"/>
      <c r="P116" s="462"/>
      <c r="Q116" s="462"/>
      <c r="R116" s="462"/>
      <c r="S116" s="462"/>
      <c r="T116" s="462"/>
      <c r="U116" s="462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54">
        <f t="shared" si="37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62"/>
      <c r="P117" s="462"/>
      <c r="Q117" s="462"/>
      <c r="R117" s="462"/>
      <c r="S117" s="462"/>
      <c r="T117" s="462"/>
      <c r="U117" s="462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54">
        <f t="shared" si="37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7">IF(ISERROR(I118-K118),"",I118-K118)</f>
        <v>0</v>
      </c>
      <c r="N118" s="130">
        <f t="shared" ref="N118:N120" si="48">SUM(O118:U118)</f>
        <v>0</v>
      </c>
      <c r="O118" s="462"/>
      <c r="P118" s="462"/>
      <c r="Q118" s="462"/>
      <c r="R118" s="462"/>
      <c r="S118" s="462"/>
      <c r="T118" s="462"/>
      <c r="U118" s="462"/>
      <c r="V118" s="132">
        <f t="shared" ref="V118:V120" si="49">SUM(X118:AA118)</f>
        <v>0</v>
      </c>
      <c r="W118" s="133" t="str">
        <f t="shared" ref="W118:W142" si="50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54">
        <f t="shared" si="37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7"/>
        <v>0</v>
      </c>
      <c r="N119" s="130">
        <f t="shared" si="48"/>
        <v>0</v>
      </c>
      <c r="O119" s="462"/>
      <c r="P119" s="462"/>
      <c r="Q119" s="462"/>
      <c r="R119" s="462"/>
      <c r="S119" s="462"/>
      <c r="T119" s="462"/>
      <c r="U119" s="462"/>
      <c r="V119" s="132">
        <f t="shared" si="49"/>
        <v>0</v>
      </c>
      <c r="W119" s="133" t="str">
        <f t="shared" si="50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54">
        <f t="shared" si="37"/>
        <v>0</v>
      </c>
      <c r="I120" s="129"/>
      <c r="J120" s="130" t="str">
        <f t="array" ref="J120">IF(ISERROR(G120/I120),"",G120/I120)</f>
        <v/>
      </c>
      <c r="K120" s="454">
        <f t="array" ref="K120">IF(ISERROR(G120/L120),"",G120/L120)</f>
        <v>0</v>
      </c>
      <c r="L120" s="129">
        <v>9</v>
      </c>
      <c r="M120" s="109">
        <f t="shared" si="47"/>
        <v>0</v>
      </c>
      <c r="N120" s="130">
        <f t="shared" si="48"/>
        <v>0</v>
      </c>
      <c r="O120" s="462"/>
      <c r="P120" s="462"/>
      <c r="Q120" s="462"/>
      <c r="R120" s="462"/>
      <c r="S120" s="462"/>
      <c r="T120" s="462"/>
      <c r="U120" s="462"/>
      <c r="V120" s="132">
        <f t="shared" si="49"/>
        <v>0</v>
      </c>
      <c r="W120" s="133" t="str">
        <f t="shared" si="50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463" t="s">
        <v>202</v>
      </c>
      <c r="D121" s="143"/>
      <c r="E121" s="143"/>
      <c r="F121" s="144"/>
      <c r="G121" s="145">
        <f>SUM(G87:G120)</f>
        <v>264</v>
      </c>
      <c r="H121" s="146">
        <f>SUM(H87:H120)</f>
        <v>1320</v>
      </c>
      <c r="I121" s="146">
        <f>SUM(I87:I120)</f>
        <v>53</v>
      </c>
      <c r="J121" s="130">
        <f t="array" ref="J121">IF(ISERROR(G121/I121),"",G121/I121)</f>
        <v>4.9811320754716979</v>
      </c>
      <c r="K121" s="146">
        <f>SUM(K87:K120)</f>
        <v>52.8</v>
      </c>
      <c r="L121" s="147"/>
      <c r="M121" s="150">
        <f t="shared" ref="M121:V121" si="51">SUM(M87:M120)</f>
        <v>0.20000000000000284</v>
      </c>
      <c r="N121" s="146">
        <f t="shared" si="51"/>
        <v>0</v>
      </c>
      <c r="O121" s="148">
        <f t="shared" si="51"/>
        <v>0</v>
      </c>
      <c r="P121" s="148">
        <f t="shared" si="51"/>
        <v>0</v>
      </c>
      <c r="Q121" s="148">
        <f t="shared" si="51"/>
        <v>0</v>
      </c>
      <c r="R121" s="148">
        <f t="shared" si="51"/>
        <v>0</v>
      </c>
      <c r="S121" s="148">
        <f t="shared" si="51"/>
        <v>0</v>
      </c>
      <c r="T121" s="148">
        <f t="shared" si="51"/>
        <v>0</v>
      </c>
      <c r="U121" s="148">
        <f t="shared" si="51"/>
        <v>0</v>
      </c>
      <c r="V121" s="149">
        <f t="shared" si="51"/>
        <v>0</v>
      </c>
      <c r="W121" s="133">
        <f t="shared" si="50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54">
        <f t="shared" ref="H122:H136" si="52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3">IF(ISERROR(I122-K122),"",I122-K122)</f>
        <v>0</v>
      </c>
      <c r="N122" s="130">
        <f t="shared" ref="N122:N136" si="54">SUM(O122:U122)</f>
        <v>0</v>
      </c>
      <c r="O122" s="462"/>
      <c r="P122" s="462"/>
      <c r="Q122" s="462"/>
      <c r="R122" s="462"/>
      <c r="S122" s="462"/>
      <c r="T122" s="462"/>
      <c r="U122" s="462"/>
      <c r="V122" s="132">
        <f t="shared" ref="V122:V136" si="55">SUM(X122:AA122)</f>
        <v>0</v>
      </c>
      <c r="W122" s="133" t="str">
        <f t="shared" si="50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54">
        <f t="shared" si="52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3"/>
        <v>0</v>
      </c>
      <c r="N123" s="130">
        <f t="shared" si="54"/>
        <v>0</v>
      </c>
      <c r="O123" s="462"/>
      <c r="P123" s="462"/>
      <c r="Q123" s="462"/>
      <c r="R123" s="462"/>
      <c r="S123" s="462"/>
      <c r="T123" s="462"/>
      <c r="U123" s="462"/>
      <c r="V123" s="132">
        <f t="shared" si="55"/>
        <v>0</v>
      </c>
      <c r="W123" s="133" t="str">
        <f t="shared" si="50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54">
        <f t="shared" si="52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3"/>
        <v>0</v>
      </c>
      <c r="N124" s="130">
        <f t="shared" si="54"/>
        <v>0</v>
      </c>
      <c r="O124" s="462"/>
      <c r="P124" s="462"/>
      <c r="Q124" s="462"/>
      <c r="R124" s="462"/>
      <c r="S124" s="462"/>
      <c r="T124" s="462"/>
      <c r="U124" s="462"/>
      <c r="V124" s="132">
        <f t="shared" si="55"/>
        <v>0</v>
      </c>
      <c r="W124" s="133" t="str">
        <f t="shared" si="50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54">
        <f t="shared" si="52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3"/>
        <v>0</v>
      </c>
      <c r="N125" s="130">
        <f t="shared" si="54"/>
        <v>0</v>
      </c>
      <c r="O125" s="462"/>
      <c r="P125" s="462"/>
      <c r="Q125" s="462"/>
      <c r="R125" s="462"/>
      <c r="S125" s="462"/>
      <c r="T125" s="462"/>
      <c r="U125" s="462"/>
      <c r="V125" s="132">
        <f t="shared" si="55"/>
        <v>0</v>
      </c>
      <c r="W125" s="133" t="str">
        <f t="shared" si="50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9" t="s">
        <v>203</v>
      </c>
      <c r="D126" s="108">
        <v>5.03</v>
      </c>
      <c r="E126" s="108"/>
      <c r="F126" s="127"/>
      <c r="G126" s="128"/>
      <c r="H126" s="454">
        <f t="shared" si="52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3"/>
        <v>0</v>
      </c>
      <c r="N126" s="130">
        <f t="shared" si="54"/>
        <v>0</v>
      </c>
      <c r="O126" s="462"/>
      <c r="P126" s="462"/>
      <c r="Q126" s="462"/>
      <c r="R126" s="462"/>
      <c r="S126" s="462"/>
      <c r="T126" s="462"/>
      <c r="U126" s="462"/>
      <c r="V126" s="132">
        <f t="shared" si="55"/>
        <v>0</v>
      </c>
      <c r="W126" s="133" t="str">
        <f t="shared" si="50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54">
        <f t="shared" si="52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3"/>
        <v>0</v>
      </c>
      <c r="N127" s="130">
        <f t="shared" si="54"/>
        <v>0</v>
      </c>
      <c r="O127" s="462"/>
      <c r="P127" s="462"/>
      <c r="Q127" s="462"/>
      <c r="R127" s="462"/>
      <c r="S127" s="462"/>
      <c r="T127" s="462"/>
      <c r="U127" s="462"/>
      <c r="V127" s="132">
        <f t="shared" si="55"/>
        <v>0</v>
      </c>
      <c r="W127" s="133" t="str">
        <f t="shared" si="50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54">
        <f t="shared" si="52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3"/>
        <v>0</v>
      </c>
      <c r="N128" s="130">
        <f t="shared" si="54"/>
        <v>0</v>
      </c>
      <c r="O128" s="462"/>
      <c r="P128" s="462"/>
      <c r="Q128" s="462"/>
      <c r="R128" s="462"/>
      <c r="S128" s="462"/>
      <c r="T128" s="462"/>
      <c r="U128" s="462"/>
      <c r="V128" s="132">
        <f t="shared" si="55"/>
        <v>0</v>
      </c>
      <c r="W128" s="133" t="str">
        <f t="shared" si="50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9" t="s">
        <v>228</v>
      </c>
      <c r="D129" s="108">
        <v>5.03</v>
      </c>
      <c r="E129" s="108"/>
      <c r="F129" s="127"/>
      <c r="G129" s="128"/>
      <c r="H129" s="454">
        <f t="shared" si="52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3"/>
        <v>0</v>
      </c>
      <c r="N129" s="130">
        <f t="shared" si="54"/>
        <v>0</v>
      </c>
      <c r="O129" s="462"/>
      <c r="P129" s="462"/>
      <c r="Q129" s="462"/>
      <c r="R129" s="462"/>
      <c r="S129" s="462"/>
      <c r="T129" s="462"/>
      <c r="U129" s="462"/>
      <c r="V129" s="132">
        <f t="shared" si="55"/>
        <v>0</v>
      </c>
      <c r="W129" s="133" t="str">
        <f t="shared" si="50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9" t="s">
        <v>212</v>
      </c>
      <c r="D130" s="108">
        <v>5.03</v>
      </c>
      <c r="E130" s="108"/>
      <c r="F130" s="127"/>
      <c r="G130" s="128"/>
      <c r="H130" s="454">
        <f t="shared" si="52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3"/>
        <v/>
      </c>
      <c r="N130" s="130">
        <f t="shared" si="54"/>
        <v>0</v>
      </c>
      <c r="O130" s="462"/>
      <c r="P130" s="462"/>
      <c r="Q130" s="462"/>
      <c r="R130" s="462"/>
      <c r="S130" s="462"/>
      <c r="T130" s="462"/>
      <c r="U130" s="462"/>
      <c r="V130" s="132">
        <f t="shared" si="55"/>
        <v>0</v>
      </c>
      <c r="W130" s="133" t="str">
        <f t="shared" si="50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9" t="s">
        <v>203</v>
      </c>
      <c r="D131" s="108">
        <v>5.03</v>
      </c>
      <c r="E131" s="108"/>
      <c r="F131" s="127"/>
      <c r="G131" s="128"/>
      <c r="H131" s="454">
        <f t="shared" si="52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3"/>
        <v/>
      </c>
      <c r="N131" s="130">
        <f t="shared" si="54"/>
        <v>0</v>
      </c>
      <c r="O131" s="462"/>
      <c r="P131" s="462"/>
      <c r="Q131" s="462"/>
      <c r="R131" s="462"/>
      <c r="S131" s="462"/>
      <c r="T131" s="462"/>
      <c r="U131" s="462"/>
      <c r="V131" s="132">
        <f t="shared" si="55"/>
        <v>0</v>
      </c>
      <c r="W131" s="133" t="str">
        <f t="shared" si="50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9" t="s">
        <v>186</v>
      </c>
      <c r="D132" s="108">
        <v>5.03</v>
      </c>
      <c r="E132" s="108"/>
      <c r="F132" s="127"/>
      <c r="G132" s="128"/>
      <c r="H132" s="454">
        <f t="shared" si="52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3"/>
        <v/>
      </c>
      <c r="N132" s="130">
        <f t="shared" si="54"/>
        <v>0</v>
      </c>
      <c r="O132" s="462"/>
      <c r="P132" s="462"/>
      <c r="Q132" s="462"/>
      <c r="R132" s="462"/>
      <c r="S132" s="462"/>
      <c r="T132" s="462"/>
      <c r="U132" s="462"/>
      <c r="V132" s="132">
        <f t="shared" si="55"/>
        <v>0</v>
      </c>
      <c r="W132" s="133" t="str">
        <f t="shared" si="50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9" t="s">
        <v>228</v>
      </c>
      <c r="D133" s="108">
        <v>5.03</v>
      </c>
      <c r="E133" s="108"/>
      <c r="F133" s="127"/>
      <c r="G133" s="128"/>
      <c r="H133" s="454">
        <f t="shared" si="52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3"/>
        <v/>
      </c>
      <c r="N133" s="130">
        <f t="shared" si="54"/>
        <v>0</v>
      </c>
      <c r="O133" s="462"/>
      <c r="P133" s="462"/>
      <c r="Q133" s="462"/>
      <c r="R133" s="462"/>
      <c r="S133" s="462"/>
      <c r="T133" s="462"/>
      <c r="U133" s="462"/>
      <c r="V133" s="132">
        <f t="shared" si="55"/>
        <v>0</v>
      </c>
      <c r="W133" s="133" t="str">
        <f t="shared" si="50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9" t="s">
        <v>199</v>
      </c>
      <c r="D134" s="108">
        <v>5.03</v>
      </c>
      <c r="E134" s="108"/>
      <c r="F134" s="127"/>
      <c r="G134" s="128"/>
      <c r="H134" s="454">
        <f t="shared" si="52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3"/>
        <v/>
      </c>
      <c r="N134" s="130">
        <f t="shared" si="54"/>
        <v>0</v>
      </c>
      <c r="O134" s="462"/>
      <c r="P134" s="462"/>
      <c r="Q134" s="462"/>
      <c r="R134" s="462"/>
      <c r="S134" s="462"/>
      <c r="T134" s="462"/>
      <c r="U134" s="462"/>
      <c r="V134" s="132">
        <f t="shared" si="55"/>
        <v>0</v>
      </c>
      <c r="W134" s="133" t="str">
        <f t="shared" si="50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42740</v>
      </c>
      <c r="G135" s="128">
        <f>90*10</f>
        <v>900</v>
      </c>
      <c r="H135" s="454">
        <f t="shared" si="52"/>
        <v>4554</v>
      </c>
      <c r="I135" s="129">
        <f>11*3</f>
        <v>33</v>
      </c>
      <c r="J135" s="130">
        <f t="array" ref="J135">IF(ISERROR(G135/I135),"",G135/I135)</f>
        <v>27.272727272727273</v>
      </c>
      <c r="K135" s="131">
        <f t="array" ref="K135">IF(ISERROR(G135/L135),"",G135/L135)</f>
        <v>36</v>
      </c>
      <c r="L135" s="129">
        <v>25</v>
      </c>
      <c r="M135" s="109">
        <f t="shared" si="53"/>
        <v>-3</v>
      </c>
      <c r="N135" s="130">
        <f t="shared" si="54"/>
        <v>0</v>
      </c>
      <c r="O135" s="462"/>
      <c r="P135" s="462"/>
      <c r="Q135" s="462"/>
      <c r="R135" s="462"/>
      <c r="S135" s="462"/>
      <c r="T135" s="462"/>
      <c r="U135" s="462"/>
      <c r="V135" s="132">
        <f t="shared" si="55"/>
        <v>0</v>
      </c>
      <c r="W135" s="133">
        <f t="shared" si="50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54">
        <f t="shared" si="52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3"/>
        <v>0</v>
      </c>
      <c r="N136" s="130">
        <f t="shared" si="54"/>
        <v>0</v>
      </c>
      <c r="O136" s="462"/>
      <c r="P136" s="462"/>
      <c r="Q136" s="462"/>
      <c r="R136" s="462"/>
      <c r="S136" s="462"/>
      <c r="T136" s="462"/>
      <c r="U136" s="462"/>
      <c r="V136" s="132">
        <f t="shared" si="55"/>
        <v>0</v>
      </c>
      <c r="W136" s="133" t="str">
        <f t="shared" si="50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463" t="s">
        <v>202</v>
      </c>
      <c r="D137" s="143"/>
      <c r="E137" s="143"/>
      <c r="F137" s="144"/>
      <c r="G137" s="145">
        <f>SUM(G122:G136)</f>
        <v>900</v>
      </c>
      <c r="H137" s="146">
        <f>SUM(H122:H136)</f>
        <v>4554</v>
      </c>
      <c r="I137" s="146">
        <f>SUM(I122:I136)</f>
        <v>33</v>
      </c>
      <c r="J137" s="130">
        <f t="array" ref="J137">IF(ISERROR(G137/I137),"",G137/I137)</f>
        <v>27.272727272727273</v>
      </c>
      <c r="K137" s="146">
        <f>SUM(K122:K136)</f>
        <v>36</v>
      </c>
      <c r="L137" s="147"/>
      <c r="M137" s="150">
        <f>SUM(M122:M136)</f>
        <v>-3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50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54">
        <f t="shared" ref="H138:H147" si="56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57">IF(ISERROR(I138-K138),"",I138-K138)</f>
        <v>0</v>
      </c>
      <c r="N138" s="130">
        <f t="shared" ref="N138:N142" si="58">SUM(O138:U138)</f>
        <v>0</v>
      </c>
      <c r="O138" s="462"/>
      <c r="P138" s="462"/>
      <c r="Q138" s="462"/>
      <c r="R138" s="462"/>
      <c r="S138" s="462"/>
      <c r="T138" s="462"/>
      <c r="U138" s="462"/>
      <c r="V138" s="132">
        <f t="shared" ref="V138:V142" si="59">SUM(X138:AA138)</f>
        <v>0</v>
      </c>
      <c r="W138" s="133" t="str">
        <f t="shared" si="50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54">
        <f t="shared" si="56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7"/>
        <v>0</v>
      </c>
      <c r="N139" s="130">
        <f t="shared" si="58"/>
        <v>0</v>
      </c>
      <c r="O139" s="462"/>
      <c r="P139" s="462"/>
      <c r="Q139" s="462"/>
      <c r="R139" s="462"/>
      <c r="S139" s="462"/>
      <c r="T139" s="462"/>
      <c r="U139" s="462"/>
      <c r="V139" s="132">
        <f t="shared" si="59"/>
        <v>0</v>
      </c>
      <c r="W139" s="133" t="str">
        <f t="shared" si="50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54">
        <f t="shared" si="56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7"/>
        <v>0</v>
      </c>
      <c r="N140" s="130">
        <f t="shared" si="58"/>
        <v>0</v>
      </c>
      <c r="O140" s="462"/>
      <c r="P140" s="462"/>
      <c r="Q140" s="462"/>
      <c r="R140" s="462"/>
      <c r="S140" s="462"/>
      <c r="T140" s="462"/>
      <c r="U140" s="462"/>
      <c r="V140" s="132">
        <f t="shared" si="59"/>
        <v>0</v>
      </c>
      <c r="W140" s="133" t="str">
        <f t="shared" si="50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423</v>
      </c>
      <c r="C141" s="126" t="s">
        <v>195</v>
      </c>
      <c r="D141" s="108">
        <v>5.04</v>
      </c>
      <c r="E141" s="108"/>
      <c r="F141" s="127"/>
      <c r="G141" s="128"/>
      <c r="H141" s="454">
        <f t="shared" si="56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7"/>
        <v>0</v>
      </c>
      <c r="N141" s="130">
        <f t="shared" si="58"/>
        <v>0</v>
      </c>
      <c r="O141" s="462"/>
      <c r="P141" s="462"/>
      <c r="Q141" s="462"/>
      <c r="R141" s="462"/>
      <c r="S141" s="462"/>
      <c r="T141" s="462"/>
      <c r="U141" s="462"/>
      <c r="V141" s="132">
        <f t="shared" si="59"/>
        <v>0</v>
      </c>
      <c r="W141" s="133" t="str">
        <f t="shared" si="50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54">
        <f t="shared" si="56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7"/>
        <v>0</v>
      </c>
      <c r="N142" s="130">
        <f t="shared" si="58"/>
        <v>0</v>
      </c>
      <c r="O142" s="462"/>
      <c r="P142" s="462"/>
      <c r="Q142" s="462"/>
      <c r="R142" s="462"/>
      <c r="S142" s="462"/>
      <c r="T142" s="462"/>
      <c r="U142" s="462"/>
      <c r="V142" s="132">
        <f t="shared" si="59"/>
        <v>0</v>
      </c>
      <c r="W142" s="133" t="str">
        <f t="shared" si="50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28">
        <f>90*6</f>
        <v>540</v>
      </c>
      <c r="H143" s="454">
        <f t="shared" si="56"/>
        <v>2721.6</v>
      </c>
      <c r="I143" s="129">
        <f>10*4</f>
        <v>40</v>
      </c>
      <c r="J143" s="130">
        <f t="array" ref="J143">IF(ISERROR(G143/I143),"",G143/I143)</f>
        <v>13.5</v>
      </c>
      <c r="K143" s="131">
        <f t="array" ref="K143">IF(ISERROR(G143/L143),"",G143/L143)</f>
        <v>40</v>
      </c>
      <c r="L143" s="129">
        <v>13.5</v>
      </c>
      <c r="M143" s="109">
        <f t="shared" si="57"/>
        <v>0</v>
      </c>
      <c r="N143" s="130"/>
      <c r="O143" s="462"/>
      <c r="P143" s="462"/>
      <c r="Q143" s="462"/>
      <c r="R143" s="462"/>
      <c r="S143" s="462"/>
      <c r="T143" s="462"/>
      <c r="U143" s="462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516</v>
      </c>
      <c r="D144" s="108">
        <v>5.04</v>
      </c>
      <c r="E144" s="108"/>
      <c r="F144" s="127">
        <v>42737</v>
      </c>
      <c r="G144" s="128">
        <v>3</v>
      </c>
      <c r="H144" s="454">
        <f t="shared" si="56"/>
        <v>15.120000000000001</v>
      </c>
      <c r="I144" s="129">
        <v>0.22</v>
      </c>
      <c r="J144" s="130">
        <f t="array" ref="J144">IF(ISERROR(G144/I144),"",G144/I144)</f>
        <v>13.636363636363637</v>
      </c>
      <c r="K144" s="131">
        <f t="array" ref="K144">IF(ISERROR(G144/L144),"",G144/L144)</f>
        <v>0.22222222222222221</v>
      </c>
      <c r="L144" s="129">
        <v>13.5</v>
      </c>
      <c r="M144" s="109">
        <f t="shared" si="57"/>
        <v>-2.2222222222222088E-3</v>
      </c>
      <c r="N144" s="130"/>
      <c r="O144" s="462"/>
      <c r="P144" s="462"/>
      <c r="Q144" s="462"/>
      <c r="R144" s="462"/>
      <c r="S144" s="462"/>
      <c r="T144" s="462"/>
      <c r="U144" s="462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517</v>
      </c>
      <c r="D145" s="108">
        <v>5.04</v>
      </c>
      <c r="E145" s="108"/>
      <c r="F145" s="127"/>
      <c r="G145" s="128"/>
      <c r="H145" s="454">
        <f t="shared" si="56"/>
        <v>0</v>
      </c>
      <c r="I145" s="129"/>
      <c r="J145" s="130" t="str">
        <f t="array" ref="J145">IF(ISERROR(G145/I145),"",G145/I145)</f>
        <v/>
      </c>
      <c r="K145" s="131">
        <f t="array" ref="K145">IF(ISERROR(G145/L145),"",G145/L145)</f>
        <v>0</v>
      </c>
      <c r="L145" s="129">
        <v>13.5</v>
      </c>
      <c r="M145" s="109">
        <f t="shared" si="57"/>
        <v>0</v>
      </c>
      <c r="N145" s="130"/>
      <c r="O145" s="462"/>
      <c r="P145" s="462"/>
      <c r="Q145" s="462"/>
      <c r="R145" s="462"/>
      <c r="S145" s="462"/>
      <c r="T145" s="462"/>
      <c r="U145" s="462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>
        <v>42737</v>
      </c>
      <c r="G146" s="128">
        <v>58</v>
      </c>
      <c r="H146" s="454">
        <f t="shared" si="56"/>
        <v>292.32</v>
      </c>
      <c r="I146" s="129">
        <f>1*4</f>
        <v>4</v>
      </c>
      <c r="J146" s="130">
        <f t="array" ref="J146">IF(ISERROR(G146/I146),"",G146/I146)</f>
        <v>14.5</v>
      </c>
      <c r="K146" s="131">
        <f t="array" ref="K146">IF(ISERROR(G146/L146),"",G146/L146)</f>
        <v>4.2962962962962967</v>
      </c>
      <c r="L146" s="129">
        <v>13.5</v>
      </c>
      <c r="M146" s="109">
        <f t="shared" si="57"/>
        <v>-0.29629629629629672</v>
      </c>
      <c r="N146" s="130"/>
      <c r="O146" s="462"/>
      <c r="P146" s="462"/>
      <c r="Q146" s="462"/>
      <c r="R146" s="462"/>
      <c r="S146" s="462"/>
      <c r="T146" s="462"/>
      <c r="U146" s="462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54">
        <f t="shared" si="56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60">IF(ISERROR(I147-K147),"",I147-K147)</f>
        <v>0</v>
      </c>
      <c r="N147" s="130">
        <f t="shared" ref="N147" si="61">SUM(O147:U147)</f>
        <v>0</v>
      </c>
      <c r="O147" s="462"/>
      <c r="P147" s="462"/>
      <c r="Q147" s="462"/>
      <c r="R147" s="462"/>
      <c r="S147" s="462"/>
      <c r="T147" s="462"/>
      <c r="U147" s="462"/>
      <c r="V147" s="132">
        <f t="shared" ref="V147" si="62">SUM(X147:AA147)</f>
        <v>0</v>
      </c>
      <c r="W147" s="133" t="str">
        <f t="shared" ref="W147:W152" si="63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463" t="s">
        <v>202</v>
      </c>
      <c r="D148" s="143"/>
      <c r="E148" s="143"/>
      <c r="F148" s="144"/>
      <c r="G148" s="145">
        <f>SUM(G138:G147)</f>
        <v>601</v>
      </c>
      <c r="H148" s="146">
        <f>SUM(H138:H147)</f>
        <v>3029.04</v>
      </c>
      <c r="I148" s="146">
        <f>SUM(I138:I147)</f>
        <v>44.22</v>
      </c>
      <c r="J148" s="130">
        <f t="array" ref="J148">IF(ISERROR(G148/I148),"",G148/I148)</f>
        <v>13.591135232926279</v>
      </c>
      <c r="K148" s="146">
        <f>SUM(K138:K147)</f>
        <v>44.518518518518519</v>
      </c>
      <c r="L148" s="147"/>
      <c r="M148" s="150">
        <f>SUM(M138:M147)</f>
        <v>-0.29851851851851896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3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60"/>
      <c r="D149" s="108">
        <v>3.65</v>
      </c>
      <c r="E149" s="108"/>
      <c r="F149" s="153"/>
      <c r="G149" s="128"/>
      <c r="H149" s="454">
        <f t="shared" ref="H149:H162" si="64">D149*G149</f>
        <v>0</v>
      </c>
      <c r="I149" s="129"/>
      <c r="J149" s="130" t="str">
        <f t="array" ref="J149">IF(ISERROR(G149/I149),"",G149/I149)</f>
        <v/>
      </c>
      <c r="K149" s="454">
        <f t="array" ref="K149">IF(ISERROR(G149/L149),"",G149/L149)</f>
        <v>0</v>
      </c>
      <c r="L149" s="129">
        <v>5</v>
      </c>
      <c r="M149" s="109">
        <f t="shared" ref="M149:M152" si="65">IF(ISERROR(I149-K149),"",I149-K149)</f>
        <v>0</v>
      </c>
      <c r="N149" s="130">
        <f t="shared" ref="N149:N152" si="66">SUM(O149:U149)</f>
        <v>0</v>
      </c>
      <c r="O149" s="462"/>
      <c r="P149" s="462"/>
      <c r="Q149" s="462"/>
      <c r="R149" s="462"/>
      <c r="S149" s="462"/>
      <c r="T149" s="462"/>
      <c r="U149" s="462"/>
      <c r="V149" s="132">
        <f t="shared" ref="V149:V152" si="67">SUM(X149:AA149)</f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60"/>
      <c r="D150" s="108">
        <v>6.58</v>
      </c>
      <c r="E150" s="108"/>
      <c r="F150" s="127">
        <v>42738</v>
      </c>
      <c r="G150" s="128">
        <f>19+16</f>
        <v>35</v>
      </c>
      <c r="H150" s="454">
        <f t="shared" si="64"/>
        <v>230.3</v>
      </c>
      <c r="I150" s="129">
        <v>7</v>
      </c>
      <c r="J150" s="130">
        <f t="array" ref="J150">IF(ISERROR(G150/I150),"",G150/I150)</f>
        <v>5</v>
      </c>
      <c r="K150" s="131">
        <f t="array" ref="K150">IF(ISERROR(G150/L150),"",G150/L150)</f>
        <v>7</v>
      </c>
      <c r="L150" s="129">
        <v>5</v>
      </c>
      <c r="M150" s="109">
        <f t="shared" si="65"/>
        <v>0</v>
      </c>
      <c r="N150" s="130">
        <f t="shared" si="66"/>
        <v>0</v>
      </c>
      <c r="O150" s="462"/>
      <c r="P150" s="462"/>
      <c r="Q150" s="462"/>
      <c r="R150" s="462"/>
      <c r="S150" s="462"/>
      <c r="T150" s="462"/>
      <c r="U150" s="462"/>
      <c r="V150" s="132">
        <f t="shared" si="67"/>
        <v>0</v>
      </c>
      <c r="W150" s="133">
        <f t="shared" si="63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60"/>
      <c r="D151" s="108">
        <v>7.8</v>
      </c>
      <c r="E151" s="108"/>
      <c r="F151" s="127">
        <v>42738</v>
      </c>
      <c r="G151" s="128">
        <f>32*2+25</f>
        <v>89</v>
      </c>
      <c r="H151" s="454">
        <f t="shared" si="64"/>
        <v>694.19999999999993</v>
      </c>
      <c r="I151" s="129">
        <v>19</v>
      </c>
      <c r="J151" s="130">
        <f t="array" ref="J151">IF(ISERROR(G151/I151),"",G151/I151)</f>
        <v>4.6842105263157894</v>
      </c>
      <c r="K151" s="131">
        <f t="array" ref="K151">IF(ISERROR(G151/L151),"",G151/L151)</f>
        <v>19.347826086956523</v>
      </c>
      <c r="L151" s="129">
        <v>4.5999999999999996</v>
      </c>
      <c r="M151" s="109">
        <f t="shared" si="65"/>
        <v>-0.34782608695652328</v>
      </c>
      <c r="N151" s="130">
        <f t="shared" si="66"/>
        <v>0</v>
      </c>
      <c r="O151" s="462"/>
      <c r="P151" s="462"/>
      <c r="Q151" s="462"/>
      <c r="R151" s="462"/>
      <c r="S151" s="462"/>
      <c r="T151" s="462"/>
      <c r="U151" s="462"/>
      <c r="V151" s="132">
        <f t="shared" si="67"/>
        <v>0</v>
      </c>
      <c r="W151" s="133">
        <f t="shared" si="63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60"/>
      <c r="D152" s="108">
        <v>4.4000000000000004</v>
      </c>
      <c r="E152" s="108"/>
      <c r="F152" s="127">
        <v>42738</v>
      </c>
      <c r="G152" s="128">
        <f>64+71</f>
        <v>135</v>
      </c>
      <c r="H152" s="454">
        <f t="shared" si="64"/>
        <v>594</v>
      </c>
      <c r="I152" s="129">
        <v>23</v>
      </c>
      <c r="J152" s="130">
        <f t="array" ref="J152">IF(ISERROR(G152/I152),"",G152/I152)</f>
        <v>5.8695652173913047</v>
      </c>
      <c r="K152" s="131">
        <f t="array" ref="K152">IF(ISERROR(G152/L152),"",G152/L152)</f>
        <v>23.27586206896552</v>
      </c>
      <c r="L152" s="129">
        <v>5.8</v>
      </c>
      <c r="M152" s="109">
        <f t="shared" si="65"/>
        <v>-0.27586206896551957</v>
      </c>
      <c r="N152" s="130">
        <f t="shared" si="66"/>
        <v>0</v>
      </c>
      <c r="O152" s="462"/>
      <c r="P152" s="462"/>
      <c r="Q152" s="462"/>
      <c r="R152" s="462"/>
      <c r="S152" s="462"/>
      <c r="T152" s="462"/>
      <c r="U152" s="462"/>
      <c r="V152" s="132">
        <f t="shared" si="67"/>
        <v>0</v>
      </c>
      <c r="W152" s="133">
        <f t="shared" si="63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54">
        <f t="shared" si="64"/>
        <v>0</v>
      </c>
      <c r="I153" s="129"/>
      <c r="J153" s="130"/>
      <c r="K153" s="131"/>
      <c r="L153" s="129">
        <v>6</v>
      </c>
      <c r="M153" s="109"/>
      <c r="N153" s="130"/>
      <c r="O153" s="462"/>
      <c r="P153" s="462"/>
      <c r="Q153" s="462"/>
      <c r="R153" s="462"/>
      <c r="S153" s="462"/>
      <c r="T153" s="462"/>
      <c r="U153" s="462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60" t="s">
        <v>499</v>
      </c>
      <c r="C154" s="460" t="s">
        <v>179</v>
      </c>
      <c r="D154" s="108">
        <v>6.04</v>
      </c>
      <c r="E154" s="108"/>
      <c r="F154" s="127"/>
      <c r="G154" s="128"/>
      <c r="H154" s="45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8">IF(ISERROR(I154-K154),"",I154-K154)</f>
        <v>0</v>
      </c>
      <c r="N154" s="130">
        <f t="shared" ref="N154:N155" si="69">SUM(O154:U154)</f>
        <v>0</v>
      </c>
      <c r="O154" s="462"/>
      <c r="P154" s="462"/>
      <c r="Q154" s="462"/>
      <c r="R154" s="462"/>
      <c r="S154" s="462"/>
      <c r="T154" s="462"/>
      <c r="U154" s="462"/>
      <c r="V154" s="132">
        <f t="shared" ref="V154:V155" si="70">SUM(X154:AA154)</f>
        <v>0</v>
      </c>
      <c r="W154" s="133" t="str">
        <f t="shared" ref="W154:W155" si="71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60" t="s">
        <v>239</v>
      </c>
      <c r="C155" s="460" t="s">
        <v>186</v>
      </c>
      <c r="D155" s="108">
        <v>6.04</v>
      </c>
      <c r="E155" s="108"/>
      <c r="F155" s="127"/>
      <c r="G155" s="128"/>
      <c r="H155" s="454">
        <f t="shared" si="64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8"/>
        <v>0</v>
      </c>
      <c r="N155" s="130">
        <f t="shared" si="69"/>
        <v>0</v>
      </c>
      <c r="O155" s="462"/>
      <c r="P155" s="462"/>
      <c r="Q155" s="462"/>
      <c r="R155" s="462"/>
      <c r="S155" s="462"/>
      <c r="T155" s="462"/>
      <c r="U155" s="462"/>
      <c r="V155" s="132">
        <f t="shared" si="70"/>
        <v>0</v>
      </c>
      <c r="W155" s="133" t="str">
        <f t="shared" si="71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60" t="s">
        <v>443</v>
      </c>
      <c r="C156" s="460" t="s">
        <v>179</v>
      </c>
      <c r="D156" s="108">
        <v>6</v>
      </c>
      <c r="E156" s="108"/>
      <c r="F156" s="127"/>
      <c r="G156" s="128"/>
      <c r="H156" s="454">
        <f t="shared" si="64"/>
        <v>0</v>
      </c>
      <c r="I156" s="129"/>
      <c r="J156" s="130"/>
      <c r="K156" s="131"/>
      <c r="L156" s="129"/>
      <c r="M156" s="109"/>
      <c r="N156" s="130"/>
      <c r="O156" s="462"/>
      <c r="P156" s="462"/>
      <c r="Q156" s="462"/>
      <c r="R156" s="462"/>
      <c r="S156" s="462"/>
      <c r="T156" s="462"/>
      <c r="U156" s="462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60" t="s">
        <v>443</v>
      </c>
      <c r="C157" s="460" t="s">
        <v>60</v>
      </c>
      <c r="D157" s="108">
        <v>6</v>
      </c>
      <c r="E157" s="108"/>
      <c r="F157" s="127"/>
      <c r="G157" s="128"/>
      <c r="H157" s="454">
        <f t="shared" si="64"/>
        <v>0</v>
      </c>
      <c r="I157" s="129"/>
      <c r="J157" s="130"/>
      <c r="K157" s="131"/>
      <c r="L157" s="129">
        <v>6</v>
      </c>
      <c r="M157" s="109"/>
      <c r="N157" s="130"/>
      <c r="O157" s="462"/>
      <c r="P157" s="462"/>
      <c r="Q157" s="462"/>
      <c r="R157" s="462"/>
      <c r="S157" s="462"/>
      <c r="T157" s="462"/>
      <c r="U157" s="462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53" t="s">
        <v>240</v>
      </c>
      <c r="C158" s="126"/>
      <c r="D158" s="108">
        <v>7.3</v>
      </c>
      <c r="E158" s="108"/>
      <c r="F158" s="127"/>
      <c r="G158" s="128"/>
      <c r="H158" s="45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2">IF(ISERROR(I158-K158),"",I158-K158)</f>
        <v/>
      </c>
      <c r="N158" s="130">
        <f t="shared" ref="N158:N159" si="73">SUM(O158:U158)</f>
        <v>0</v>
      </c>
      <c r="O158" s="462"/>
      <c r="P158" s="462"/>
      <c r="Q158" s="462"/>
      <c r="R158" s="462"/>
      <c r="S158" s="462"/>
      <c r="T158" s="462"/>
      <c r="U158" s="462"/>
      <c r="V158" s="132">
        <f t="shared" ref="V158:V159" si="74">SUM(X158:AA158)</f>
        <v>0</v>
      </c>
      <c r="W158" s="133" t="str">
        <f t="shared" ref="W158:W159" si="75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53" t="s">
        <v>241</v>
      </c>
      <c r="C159" s="126"/>
      <c r="D159" s="108">
        <f>78*120/1000</f>
        <v>9.36</v>
      </c>
      <c r="E159" s="108"/>
      <c r="F159" s="127"/>
      <c r="G159" s="128"/>
      <c r="H159" s="454">
        <f t="shared" si="64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3"/>
        <v>0</v>
      </c>
      <c r="O159" s="462"/>
      <c r="P159" s="462"/>
      <c r="Q159" s="462"/>
      <c r="R159" s="462"/>
      <c r="S159" s="462"/>
      <c r="T159" s="462"/>
      <c r="U159" s="462"/>
      <c r="V159" s="132">
        <f t="shared" si="74"/>
        <v>0</v>
      </c>
      <c r="W159" s="133" t="str">
        <f t="shared" si="75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53" t="s">
        <v>242</v>
      </c>
      <c r="C160" s="126"/>
      <c r="D160" s="108">
        <v>4.5</v>
      </c>
      <c r="E160" s="108"/>
      <c r="F160" s="127"/>
      <c r="G160" s="128"/>
      <c r="H160" s="454">
        <f t="shared" si="64"/>
        <v>0</v>
      </c>
      <c r="I160" s="129"/>
      <c r="J160" s="130"/>
      <c r="K160" s="131"/>
      <c r="L160" s="129"/>
      <c r="M160" s="109"/>
      <c r="N160" s="130"/>
      <c r="O160" s="462"/>
      <c r="P160" s="462"/>
      <c r="Q160" s="462"/>
      <c r="R160" s="462"/>
      <c r="S160" s="462"/>
      <c r="T160" s="462"/>
      <c r="U160" s="462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53" t="s">
        <v>243</v>
      </c>
      <c r="C161" s="126"/>
      <c r="D161" s="108">
        <v>4.5</v>
      </c>
      <c r="E161" s="108"/>
      <c r="F161" s="127"/>
      <c r="G161" s="128"/>
      <c r="H161" s="454">
        <f t="shared" si="64"/>
        <v>0</v>
      </c>
      <c r="I161" s="129"/>
      <c r="J161" s="130"/>
      <c r="K161" s="131"/>
      <c r="L161" s="129"/>
      <c r="M161" s="109"/>
      <c r="N161" s="130"/>
      <c r="O161" s="462"/>
      <c r="P161" s="462"/>
      <c r="Q161" s="462"/>
      <c r="R161" s="462"/>
      <c r="S161" s="462"/>
      <c r="T161" s="462"/>
      <c r="U161" s="462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437</v>
      </c>
      <c r="C162" s="126"/>
      <c r="D162" s="108">
        <v>5.03</v>
      </c>
      <c r="E162" s="108"/>
      <c r="F162" s="127"/>
      <c r="G162" s="128"/>
      <c r="H162" s="454">
        <f t="shared" si="64"/>
        <v>0</v>
      </c>
      <c r="I162" s="129"/>
      <c r="J162" s="130"/>
      <c r="K162" s="131"/>
      <c r="L162" s="129"/>
      <c r="M162" s="109"/>
      <c r="N162" s="130"/>
      <c r="O162" s="462"/>
      <c r="P162" s="462"/>
      <c r="Q162" s="462"/>
      <c r="R162" s="462"/>
      <c r="S162" s="462"/>
      <c r="T162" s="462"/>
      <c r="U162" s="462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463" t="s">
        <v>202</v>
      </c>
      <c r="D163" s="143"/>
      <c r="E163" s="143"/>
      <c r="F163" s="144"/>
      <c r="G163" s="145">
        <f>SUM(G149:G161)</f>
        <v>259</v>
      </c>
      <c r="H163" s="146">
        <f>SUM(H149:H159)</f>
        <v>1518.5</v>
      </c>
      <c r="I163" s="146">
        <f>SUM(I149:I161)</f>
        <v>49</v>
      </c>
      <c r="J163" s="130">
        <f t="array" ref="J163">IF(ISERROR(G163/I163),"",G163/I163)</f>
        <v>5.2857142857142856</v>
      </c>
      <c r="K163" s="146">
        <f>SUM(K149:K159)</f>
        <v>49.623688155922039</v>
      </c>
      <c r="L163" s="147"/>
      <c r="M163" s="150">
        <f t="shared" ref="M163:V163" si="76">SUM(M149:M159)</f>
        <v>-0.62368815592204285</v>
      </c>
      <c r="N163" s="146">
        <f t="shared" si="76"/>
        <v>0</v>
      </c>
      <c r="O163" s="148">
        <f t="shared" si="76"/>
        <v>0</v>
      </c>
      <c r="P163" s="148">
        <f t="shared" si="76"/>
        <v>0</v>
      </c>
      <c r="Q163" s="148">
        <f t="shared" si="76"/>
        <v>0</v>
      </c>
      <c r="R163" s="148">
        <f t="shared" si="76"/>
        <v>0</v>
      </c>
      <c r="S163" s="148">
        <f t="shared" si="76"/>
        <v>0</v>
      </c>
      <c r="T163" s="148">
        <f t="shared" si="76"/>
        <v>0</v>
      </c>
      <c r="U163" s="148">
        <f t="shared" si="76"/>
        <v>0</v>
      </c>
      <c r="V163" s="149">
        <f t="shared" si="76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6400</v>
      </c>
      <c r="H164" s="154">
        <f>SUM(H28,H86,H121,H137,H148,H163)</f>
        <v>32492.97</v>
      </c>
      <c r="I164" s="154">
        <f>SUM(I28,I86,I121,I137,I148,I163)</f>
        <v>390.22</v>
      </c>
      <c r="J164" s="155">
        <f t="array" ref="J164">IF(ISERROR(G164/I164),"",G164/I164)</f>
        <v>16.401004561529394</v>
      </c>
      <c r="K164" s="154">
        <f>SUM(K28,K86,K121,K137,K148,K163)</f>
        <v>361.84362750593101</v>
      </c>
      <c r="L164" s="155">
        <f>IF(ISERROR(G164/K164),"",G164/K164)</f>
        <v>17.687198318547413</v>
      </c>
      <c r="M164" s="154">
        <f t="shared" ref="M164:AA164" si="77">SUM(M28,M86,M121,M137,M148,M163)</f>
        <v>28.376372494068942</v>
      </c>
      <c r="N164" s="154">
        <f t="shared" si="77"/>
        <v>0</v>
      </c>
      <c r="O164" s="154">
        <f t="shared" si="77"/>
        <v>0</v>
      </c>
      <c r="P164" s="154">
        <f t="shared" si="77"/>
        <v>0</v>
      </c>
      <c r="Q164" s="154">
        <f t="shared" si="77"/>
        <v>0</v>
      </c>
      <c r="R164" s="154">
        <f t="shared" si="77"/>
        <v>0</v>
      </c>
      <c r="S164" s="154">
        <f t="shared" si="77"/>
        <v>0</v>
      </c>
      <c r="T164" s="154">
        <f t="shared" si="77"/>
        <v>0</v>
      </c>
      <c r="U164" s="154">
        <f t="shared" si="77"/>
        <v>0</v>
      </c>
      <c r="V164" s="154">
        <f t="shared" si="77"/>
        <v>0</v>
      </c>
      <c r="W164" s="154">
        <f t="shared" si="77"/>
        <v>0</v>
      </c>
      <c r="X164" s="154">
        <f t="shared" si="77"/>
        <v>0</v>
      </c>
      <c r="Y164" s="154">
        <f t="shared" si="77"/>
        <v>0</v>
      </c>
      <c r="Z164" s="154">
        <f t="shared" si="77"/>
        <v>0</v>
      </c>
      <c r="AA164" s="154">
        <f t="shared" si="77"/>
        <v>0</v>
      </c>
    </row>
    <row r="165" spans="1:27" ht="20.100000000000001" customHeight="1">
      <c r="A165" s="623" t="s">
        <v>476</v>
      </c>
      <c r="B165" s="456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456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456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456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456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456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456">
        <f>G164</f>
        <v>6400</v>
      </c>
      <c r="C171" s="638" t="s">
        <v>269</v>
      </c>
      <c r="D171" s="639"/>
      <c r="E171" s="631">
        <f>H164</f>
        <v>32492.97</v>
      </c>
      <c r="F171" s="631"/>
      <c r="G171" s="631" t="s">
        <v>270</v>
      </c>
      <c r="H171" s="631"/>
      <c r="I171" s="640">
        <f>L164</f>
        <v>17.687198318547413</v>
      </c>
      <c r="J171" s="640"/>
      <c r="K171" s="628" t="s">
        <v>271</v>
      </c>
      <c r="L171" s="628"/>
      <c r="M171" s="640">
        <f>J164</f>
        <v>16.401004561529394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456">
        <f>I164+C170</f>
        <v>394.22</v>
      </c>
      <c r="C172" s="641" t="s">
        <v>251</v>
      </c>
      <c r="D172" s="642"/>
      <c r="E172" s="643">
        <f>K164+I170</f>
        <v>402.84362750593101</v>
      </c>
      <c r="F172" s="643"/>
      <c r="G172" s="631" t="s">
        <v>274</v>
      </c>
      <c r="H172" s="631"/>
      <c r="I172" s="640">
        <f>B172-E172</f>
        <v>-8.6236275059309833</v>
      </c>
      <c r="J172" s="640"/>
      <c r="K172" s="628" t="s">
        <v>275</v>
      </c>
      <c r="L172" s="628"/>
      <c r="M172" s="632">
        <f>IF(ISERROR(I172/E172),"",I172/E172)</f>
        <v>-2.1406885742046446E-2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456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543</v>
      </c>
      <c r="H177" s="460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453" t="s">
        <v>178</v>
      </c>
      <c r="C178" s="126" t="s">
        <v>179</v>
      </c>
      <c r="D178" s="108">
        <v>5.03</v>
      </c>
      <c r="E178" s="108"/>
      <c r="F178" s="127"/>
      <c r="G178" s="128"/>
      <c r="H178" s="454">
        <f t="shared" ref="H178:H187" si="78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9">IF(ISERROR(I178-K178),"",I178-K178)</f>
        <v>0</v>
      </c>
      <c r="N178" s="130">
        <f>SUM(O178:U178)</f>
        <v>0</v>
      </c>
      <c r="O178" s="462"/>
      <c r="P178" s="462"/>
      <c r="Q178" s="462"/>
      <c r="R178" s="462"/>
      <c r="S178" s="462"/>
      <c r="T178" s="462"/>
      <c r="U178" s="462"/>
      <c r="V178" s="132">
        <f t="shared" ref="V178:V183" si="80">SUM(X178:AA178)</f>
        <v>0</v>
      </c>
      <c r="W178" s="133" t="str">
        <f t="shared" ref="W178:W183" si="81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5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ref="N179:N187" si="82">SUM(O179:U179)</f>
        <v>0</v>
      </c>
      <c r="O179" s="462"/>
      <c r="P179" s="462"/>
      <c r="Q179" s="462"/>
      <c r="R179" s="462"/>
      <c r="S179" s="462"/>
      <c r="T179" s="462"/>
      <c r="U179" s="462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5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62"/>
      <c r="P180" s="462"/>
      <c r="Q180" s="462"/>
      <c r="R180" s="462"/>
      <c r="S180" s="462"/>
      <c r="T180" s="462"/>
      <c r="U180" s="462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42741</v>
      </c>
      <c r="G181" s="128">
        <f>108*5+108+2</f>
        <v>650</v>
      </c>
      <c r="H181" s="454">
        <f t="shared" si="78"/>
        <v>3269.5</v>
      </c>
      <c r="I181" s="129">
        <f>11.5*4</f>
        <v>46</v>
      </c>
      <c r="J181" s="130">
        <f t="array" ref="J181">IF(ISERROR(G181/I181),"",G181/I181)</f>
        <v>14.130434782608695</v>
      </c>
      <c r="K181" s="131">
        <f t="array" ref="K181">IF(ISERROR(G181/L181),"",G181/L181)</f>
        <v>34.210526315789473</v>
      </c>
      <c r="L181" s="129">
        <v>19</v>
      </c>
      <c r="M181" s="109">
        <f t="shared" si="79"/>
        <v>11.789473684210527</v>
      </c>
      <c r="N181" s="130">
        <f t="shared" si="82"/>
        <v>0</v>
      </c>
      <c r="O181" s="462"/>
      <c r="P181" s="462"/>
      <c r="Q181" s="462"/>
      <c r="R181" s="462"/>
      <c r="S181" s="462"/>
      <c r="T181" s="462"/>
      <c r="U181" s="462"/>
      <c r="V181" s="132">
        <f t="shared" si="80"/>
        <v>0</v>
      </c>
      <c r="W181" s="133">
        <f t="shared" si="81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54">
        <f t="shared" si="78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9"/>
        <v>0</v>
      </c>
      <c r="N182" s="130">
        <f t="shared" si="82"/>
        <v>0</v>
      </c>
      <c r="O182" s="462"/>
      <c r="P182" s="462"/>
      <c r="Q182" s="462"/>
      <c r="R182" s="462"/>
      <c r="S182" s="462"/>
      <c r="T182" s="462"/>
      <c r="U182" s="462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42739</v>
      </c>
      <c r="G183" s="128">
        <f>43+57</f>
        <v>100</v>
      </c>
      <c r="H183" s="454">
        <f t="shared" si="78"/>
        <v>504</v>
      </c>
      <c r="I183" s="138">
        <v>5</v>
      </c>
      <c r="J183" s="130">
        <f t="array" ref="J183">IF(ISERROR(G183/I183),"",G183/I183)</f>
        <v>20</v>
      </c>
      <c r="K183" s="131">
        <f t="array" ref="K183">IF(ISERROR(G183/L183),"",G183/L183)</f>
        <v>5.2631578947368425</v>
      </c>
      <c r="L183" s="129">
        <v>19</v>
      </c>
      <c r="M183" s="109">
        <f t="shared" si="79"/>
        <v>-0.26315789473684248</v>
      </c>
      <c r="N183" s="130">
        <f t="shared" si="82"/>
        <v>0</v>
      </c>
      <c r="O183" s="462"/>
      <c r="P183" s="462"/>
      <c r="Q183" s="462"/>
      <c r="R183" s="462"/>
      <c r="S183" s="462"/>
      <c r="T183" s="462"/>
      <c r="U183" s="462"/>
      <c r="V183" s="132">
        <f t="shared" si="80"/>
        <v>0</v>
      </c>
      <c r="W183" s="133">
        <f t="shared" si="81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5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62"/>
      <c r="P184" s="462"/>
      <c r="Q184" s="462"/>
      <c r="R184" s="462"/>
      <c r="S184" s="462"/>
      <c r="T184" s="462"/>
      <c r="U184" s="462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54">
        <f t="shared" si="78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9"/>
        <v>0</v>
      </c>
      <c r="N185" s="130">
        <f t="shared" si="82"/>
        <v>0</v>
      </c>
      <c r="O185" s="462"/>
      <c r="P185" s="462"/>
      <c r="Q185" s="462"/>
      <c r="R185" s="462"/>
      <c r="S185" s="462"/>
      <c r="T185" s="462"/>
      <c r="U185" s="462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54">
        <f t="shared" si="78"/>
        <v>0</v>
      </c>
      <c r="I186" s="45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62"/>
      <c r="P186" s="462"/>
      <c r="Q186" s="462"/>
      <c r="R186" s="462"/>
      <c r="S186" s="462"/>
      <c r="T186" s="462"/>
      <c r="U186" s="462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42375</v>
      </c>
      <c r="G187" s="128">
        <f>100*3+102</f>
        <v>402</v>
      </c>
      <c r="H187" s="454">
        <f t="shared" si="78"/>
        <v>2026.08</v>
      </c>
      <c r="I187" s="454">
        <f>7*5</f>
        <v>35</v>
      </c>
      <c r="J187" s="130">
        <f t="array" ref="J187">IF(ISERROR(G187/I187),"",G187/I187)</f>
        <v>11.485714285714286</v>
      </c>
      <c r="K187" s="131">
        <f t="array" ref="K187">IF(ISERROR(G187/L187),"",G187/L187)</f>
        <v>23.647058823529413</v>
      </c>
      <c r="L187" s="129">
        <v>17</v>
      </c>
      <c r="M187" s="109">
        <f t="shared" si="79"/>
        <v>11.352941176470587</v>
      </c>
      <c r="N187" s="130">
        <f t="shared" si="82"/>
        <v>0</v>
      </c>
      <c r="O187" s="462"/>
      <c r="P187" s="462"/>
      <c r="Q187" s="462"/>
      <c r="R187" s="462"/>
      <c r="S187" s="462"/>
      <c r="T187" s="462"/>
      <c r="U187" s="462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5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62"/>
      <c r="P188" s="462"/>
      <c r="Q188" s="462"/>
      <c r="R188" s="462"/>
      <c r="S188" s="462"/>
      <c r="T188" s="462"/>
      <c r="U188" s="462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54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62"/>
      <c r="P189" s="462"/>
      <c r="Q189" s="462"/>
      <c r="R189" s="462"/>
      <c r="S189" s="462"/>
      <c r="T189" s="462"/>
      <c r="U189" s="462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42741</v>
      </c>
      <c r="G190" s="128">
        <f>90*2+21+90</f>
        <v>291</v>
      </c>
      <c r="H190" s="454">
        <f t="shared" ref="H190:H198" si="83">D190*G190</f>
        <v>1472.4599999999998</v>
      </c>
      <c r="I190" s="129">
        <f>4*5</f>
        <v>20</v>
      </c>
      <c r="J190" s="130">
        <f t="array" ref="J190">IF(ISERROR(G190/I190),"",G190/I190)</f>
        <v>14.55</v>
      </c>
      <c r="K190" s="131">
        <f t="array" ref="K190">IF(ISERROR(G190/L190),"",G190/L190)</f>
        <v>15.315789473684211</v>
      </c>
      <c r="L190" s="129">
        <v>19</v>
      </c>
      <c r="M190" s="109">
        <f t="shared" ref="M190:M198" si="84">IF(ISERROR(I190-K190),"",I190-K190)</f>
        <v>4.6842105263157894</v>
      </c>
      <c r="N190" s="130">
        <f t="shared" ref="N190:N192" si="85">SUM(O190:U190)</f>
        <v>0</v>
      </c>
      <c r="O190" s="462"/>
      <c r="P190" s="462"/>
      <c r="Q190" s="462"/>
      <c r="R190" s="462"/>
      <c r="S190" s="462"/>
      <c r="T190" s="462"/>
      <c r="U190" s="462"/>
      <c r="V190" s="132">
        <f t="shared" ref="V190:V192" si="86">SUM(X190:AA190)</f>
        <v>0</v>
      </c>
      <c r="W190" s="133">
        <f t="shared" ref="W190:W192" si="87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54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62"/>
      <c r="P191" s="462"/>
      <c r="Q191" s="462"/>
      <c r="R191" s="462"/>
      <c r="S191" s="462"/>
      <c r="T191" s="462"/>
      <c r="U191" s="462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54">
        <f t="shared" si="83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4"/>
        <v>0</v>
      </c>
      <c r="N192" s="130">
        <f t="shared" si="85"/>
        <v>0</v>
      </c>
      <c r="O192" s="462"/>
      <c r="P192" s="462"/>
      <c r="Q192" s="462"/>
      <c r="R192" s="462"/>
      <c r="S192" s="462"/>
      <c r="T192" s="462"/>
      <c r="U192" s="462"/>
      <c r="V192" s="132">
        <f t="shared" si="86"/>
        <v>0</v>
      </c>
      <c r="W192" s="133" t="str">
        <f t="shared" si="87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60" t="s">
        <v>190</v>
      </c>
      <c r="D193" s="108">
        <v>4.8</v>
      </c>
      <c r="E193" s="108"/>
      <c r="F193" s="127"/>
      <c r="G193" s="128"/>
      <c r="H193" s="45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62"/>
      <c r="P193" s="462"/>
      <c r="Q193" s="462"/>
      <c r="R193" s="462"/>
      <c r="S193" s="462"/>
      <c r="T193" s="462"/>
      <c r="U193" s="462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60" t="s">
        <v>187</v>
      </c>
      <c r="D194" s="108">
        <v>4.8</v>
      </c>
      <c r="E194" s="108"/>
      <c r="F194" s="127"/>
      <c r="G194" s="128"/>
      <c r="H194" s="45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62"/>
      <c r="P194" s="462"/>
      <c r="Q194" s="462"/>
      <c r="R194" s="462"/>
      <c r="S194" s="462"/>
      <c r="T194" s="462"/>
      <c r="U194" s="462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60" t="s">
        <v>179</v>
      </c>
      <c r="D195" s="108">
        <v>4.8</v>
      </c>
      <c r="E195" s="108"/>
      <c r="F195" s="127"/>
      <c r="G195" s="128"/>
      <c r="H195" s="45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62"/>
      <c r="P195" s="462"/>
      <c r="Q195" s="462"/>
      <c r="R195" s="462"/>
      <c r="S195" s="462"/>
      <c r="T195" s="462"/>
      <c r="U195" s="462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60" t="s">
        <v>199</v>
      </c>
      <c r="D196" s="108">
        <v>4.8</v>
      </c>
      <c r="E196" s="108"/>
      <c r="F196" s="127"/>
      <c r="G196" s="128"/>
      <c r="H196" s="454">
        <f t="shared" si="83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4"/>
        <v>0</v>
      </c>
      <c r="N196" s="130"/>
      <c r="O196" s="462"/>
      <c r="P196" s="462"/>
      <c r="Q196" s="462"/>
      <c r="R196" s="462"/>
      <c r="S196" s="462"/>
      <c r="T196" s="462"/>
      <c r="U196" s="462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5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ref="N197:N198" si="88">SUM(O197:U197)</f>
        <v>0</v>
      </c>
      <c r="O197" s="462"/>
      <c r="P197" s="462"/>
      <c r="Q197" s="462"/>
      <c r="R197" s="462"/>
      <c r="S197" s="462"/>
      <c r="T197" s="462"/>
      <c r="U197" s="462"/>
      <c r="V197" s="132">
        <f t="shared" ref="V197:V198" si="89">SUM(X197:AA197)</f>
        <v>0</v>
      </c>
      <c r="W197" s="133" t="str">
        <f t="shared" ref="W197:W198" si="90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54">
        <f t="shared" si="83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4"/>
        <v>0</v>
      </c>
      <c r="N198" s="130">
        <f t="shared" si="88"/>
        <v>0</v>
      </c>
      <c r="O198" s="462"/>
      <c r="P198" s="462"/>
      <c r="Q198" s="462"/>
      <c r="R198" s="462"/>
      <c r="S198" s="462"/>
      <c r="T198" s="462"/>
      <c r="U198" s="462"/>
      <c r="V198" s="132">
        <f t="shared" si="89"/>
        <v>0</v>
      </c>
      <c r="W198" s="133" t="str">
        <f t="shared" si="90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463" t="s">
        <v>202</v>
      </c>
      <c r="D199" s="143"/>
      <c r="E199" s="143"/>
      <c r="F199" s="144"/>
      <c r="G199" s="145">
        <f>SUM(G178:G198)</f>
        <v>1443</v>
      </c>
      <c r="H199" s="146">
        <f>SUM(H178:H198)</f>
        <v>7272.04</v>
      </c>
      <c r="I199" s="146">
        <f>SUM(I178:I198)</f>
        <v>106</v>
      </c>
      <c r="J199" s="130">
        <f t="array" ref="J199">IF(ISERROR(G199/I199),"",G199/I199)</f>
        <v>13.613207547169811</v>
      </c>
      <c r="K199" s="146">
        <f>SUM(K178:K198)</f>
        <v>78.43653250773994</v>
      </c>
      <c r="L199" s="147"/>
      <c r="M199" s="150">
        <f t="shared" ref="M199:AA199" si="91">SUM(M178:M198)</f>
        <v>27.56346749226006</v>
      </c>
      <c r="N199" s="146">
        <f t="shared" si="91"/>
        <v>0</v>
      </c>
      <c r="O199" s="148">
        <f t="shared" si="91"/>
        <v>0</v>
      </c>
      <c r="P199" s="148">
        <f t="shared" si="91"/>
        <v>0</v>
      </c>
      <c r="Q199" s="148">
        <f t="shared" si="91"/>
        <v>0</v>
      </c>
      <c r="R199" s="148">
        <f t="shared" si="91"/>
        <v>0</v>
      </c>
      <c r="S199" s="148">
        <f t="shared" si="91"/>
        <v>0</v>
      </c>
      <c r="T199" s="148">
        <f t="shared" si="91"/>
        <v>0</v>
      </c>
      <c r="U199" s="148">
        <f t="shared" si="91"/>
        <v>0</v>
      </c>
      <c r="V199" s="149">
        <f t="shared" si="91"/>
        <v>0</v>
      </c>
      <c r="W199" s="133">
        <f t="shared" si="91"/>
        <v>0</v>
      </c>
      <c r="X199" s="149">
        <f t="shared" si="91"/>
        <v>0</v>
      </c>
      <c r="Y199" s="149">
        <f t="shared" si="91"/>
        <v>0</v>
      </c>
      <c r="Z199" s="149">
        <f t="shared" si="91"/>
        <v>0</v>
      </c>
      <c r="AA199" s="149">
        <f t="shared" si="91"/>
        <v>0</v>
      </c>
    </row>
    <row r="200" spans="1:27" ht="20.100000000000001" hidden="1" customHeight="1">
      <c r="A200" s="300">
        <v>30100012</v>
      </c>
      <c r="B200" s="453" t="s">
        <v>206</v>
      </c>
      <c r="C200" s="126" t="s">
        <v>199</v>
      </c>
      <c r="D200" s="108">
        <v>5.03</v>
      </c>
      <c r="E200" s="108"/>
      <c r="F200" s="127"/>
      <c r="G200" s="128"/>
      <c r="H200" s="454">
        <f t="shared" ref="H200:H256" si="92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3">IF(ISERROR(I200-K200),"",I200-K200)</f>
        <v>0</v>
      </c>
      <c r="N200" s="130">
        <f t="shared" ref="N200" si="94">SUM(O200:U200)</f>
        <v>0</v>
      </c>
      <c r="O200" s="458"/>
      <c r="P200" s="458"/>
      <c r="Q200" s="458"/>
      <c r="R200" s="458"/>
      <c r="S200" s="458"/>
      <c r="T200" s="458"/>
      <c r="U200" s="458"/>
      <c r="V200" s="132">
        <f t="shared" ref="V200" si="95">SUM(X200:AA200)</f>
        <v>0</v>
      </c>
      <c r="W200" s="133" t="str">
        <f t="shared" ref="W200" si="96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53" t="s">
        <v>425</v>
      </c>
      <c r="C201" s="187" t="s">
        <v>428</v>
      </c>
      <c r="D201" s="108">
        <v>5.03</v>
      </c>
      <c r="E201" s="108"/>
      <c r="F201" s="127"/>
      <c r="G201" s="128"/>
      <c r="H201" s="454">
        <f t="shared" si="92"/>
        <v>0</v>
      </c>
      <c r="I201" s="129"/>
      <c r="J201" s="130"/>
      <c r="K201" s="131"/>
      <c r="L201" s="129">
        <v>52</v>
      </c>
      <c r="M201" s="109"/>
      <c r="N201" s="130"/>
      <c r="O201" s="458"/>
      <c r="P201" s="458"/>
      <c r="Q201" s="458"/>
      <c r="R201" s="458"/>
      <c r="S201" s="458"/>
      <c r="T201" s="458"/>
      <c r="U201" s="458"/>
      <c r="V201" s="132"/>
      <c r="W201" s="133"/>
      <c r="X201" s="132"/>
      <c r="Y201" s="132"/>
      <c r="Z201" s="132"/>
      <c r="AA201" s="132"/>
    </row>
    <row r="202" spans="1:27" ht="20.100000000000001" hidden="1" customHeight="1">
      <c r="A202" s="300">
        <v>30100010</v>
      </c>
      <c r="B202" s="453" t="s">
        <v>206</v>
      </c>
      <c r="C202" s="126" t="s">
        <v>186</v>
      </c>
      <c r="D202" s="108">
        <v>5.03</v>
      </c>
      <c r="E202" s="108"/>
      <c r="F202" s="127"/>
      <c r="G202" s="128"/>
      <c r="H202" s="45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 t="shared" ref="M202" si="97">IF(ISERROR(I202-K202),"",I202-K202)</f>
        <v>0</v>
      </c>
      <c r="N202" s="130">
        <f t="shared" ref="N202:N204" si="98">SUM(O202:U202)</f>
        <v>0</v>
      </c>
      <c r="O202" s="458"/>
      <c r="P202" s="458"/>
      <c r="Q202" s="458"/>
      <c r="R202" s="458"/>
      <c r="S202" s="458"/>
      <c r="T202" s="458"/>
      <c r="U202" s="458"/>
      <c r="V202" s="132">
        <f t="shared" ref="V202:V204" si="99">SUM(X202:AA202)</f>
        <v>0</v>
      </c>
      <c r="W202" s="133" t="str">
        <f t="shared" ref="W202:W204" si="100">IF(ISERROR(V202/G202),"",V202/G202)</f>
        <v/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53" t="s">
        <v>206</v>
      </c>
      <c r="C203" s="126" t="s">
        <v>203</v>
      </c>
      <c r="D203" s="108">
        <v>5.03</v>
      </c>
      <c r="E203" s="108"/>
      <c r="F203" s="127"/>
      <c r="G203" s="128"/>
      <c r="H203" s="45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8"/>
        <v>0</v>
      </c>
      <c r="O203" s="458"/>
      <c r="P203" s="458"/>
      <c r="Q203" s="458"/>
      <c r="R203" s="458"/>
      <c r="S203" s="458"/>
      <c r="T203" s="458"/>
      <c r="U203" s="458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53" t="s">
        <v>206</v>
      </c>
      <c r="C204" s="126" t="s">
        <v>207</v>
      </c>
      <c r="D204" s="108">
        <v>5.03</v>
      </c>
      <c r="E204" s="108"/>
      <c r="F204" s="127">
        <v>42741</v>
      </c>
      <c r="G204" s="128">
        <f>108*3+94</f>
        <v>418</v>
      </c>
      <c r="H204" s="454">
        <f t="shared" si="92"/>
        <v>2102.54</v>
      </c>
      <c r="I204" s="129">
        <v>4.5</v>
      </c>
      <c r="J204" s="130">
        <f t="array" ref="J204">IF(ISERROR(G204/I204),"",G204/I204)</f>
        <v>92.888888888888886</v>
      </c>
      <c r="K204" s="131">
        <f t="array" ref="K204">IF(ISERROR(G204/L204),"",G204/L204)</f>
        <v>8.0384615384615383</v>
      </c>
      <c r="L204" s="129">
        <v>52</v>
      </c>
      <c r="M204" s="109">
        <f t="shared" ref="M204:M205" si="101">IF(ISERROR(I204-K204),"",I204-K204)</f>
        <v>-3.5384615384615383</v>
      </c>
      <c r="N204" s="130">
        <f t="shared" si="98"/>
        <v>0</v>
      </c>
      <c r="O204" s="458"/>
      <c r="P204" s="458"/>
      <c r="Q204" s="458"/>
      <c r="R204" s="458"/>
      <c r="S204" s="458"/>
      <c r="T204" s="458"/>
      <c r="U204" s="458"/>
      <c r="V204" s="132">
        <f t="shared" si="99"/>
        <v>0</v>
      </c>
      <c r="W204" s="133">
        <f t="shared" si="100"/>
        <v>0</v>
      </c>
      <c r="X204" s="132"/>
      <c r="Y204" s="132"/>
      <c r="Z204" s="132"/>
      <c r="AA204" s="132"/>
    </row>
    <row r="205" spans="1:27" ht="20.100000000000001" customHeight="1">
      <c r="A205" s="300">
        <v>30100016</v>
      </c>
      <c r="B205" s="453" t="s">
        <v>414</v>
      </c>
      <c r="C205" s="187" t="s">
        <v>415</v>
      </c>
      <c r="D205" s="108">
        <v>5.03</v>
      </c>
      <c r="E205" s="108"/>
      <c r="F205" s="127">
        <v>42741</v>
      </c>
      <c r="G205" s="128">
        <f>108*7+60</f>
        <v>816</v>
      </c>
      <c r="H205" s="454">
        <f t="shared" si="92"/>
        <v>4104.4800000000005</v>
      </c>
      <c r="I205" s="129">
        <v>7</v>
      </c>
      <c r="J205" s="130">
        <f t="array" ref="J205">IF(ISERROR(G205/I205),"",G205/I205)</f>
        <v>116.57142857142857</v>
      </c>
      <c r="K205" s="131">
        <f t="array" ref="K205">IF(ISERROR(G205/L205),"",G205/L205)</f>
        <v>15.692307692307692</v>
      </c>
      <c r="L205" s="129">
        <v>52</v>
      </c>
      <c r="M205" s="109">
        <f t="shared" si="101"/>
        <v>-8.6923076923076916</v>
      </c>
      <c r="N205" s="130"/>
      <c r="O205" s="458"/>
      <c r="P205" s="458"/>
      <c r="Q205" s="458"/>
      <c r="R205" s="458"/>
      <c r="S205" s="458"/>
      <c r="T205" s="458"/>
      <c r="U205" s="45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53" t="s">
        <v>414</v>
      </c>
      <c r="C206" s="187" t="s">
        <v>416</v>
      </c>
      <c r="D206" s="108">
        <v>5.03</v>
      </c>
      <c r="E206" s="108"/>
      <c r="F206" s="127"/>
      <c r="G206" s="128"/>
      <c r="H206" s="45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58"/>
      <c r="P206" s="458"/>
      <c r="Q206" s="458"/>
      <c r="R206" s="458"/>
      <c r="S206" s="458"/>
      <c r="T206" s="458"/>
      <c r="U206" s="45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53" t="s">
        <v>414</v>
      </c>
      <c r="C207" s="187" t="s">
        <v>61</v>
      </c>
      <c r="D207" s="108">
        <v>5.03</v>
      </c>
      <c r="E207" s="108"/>
      <c r="F207" s="127"/>
      <c r="G207" s="128"/>
      <c r="H207" s="454">
        <f t="shared" si="92"/>
        <v>0</v>
      </c>
      <c r="I207" s="129"/>
      <c r="J207" s="130"/>
      <c r="K207" s="131"/>
      <c r="L207" s="129">
        <v>52</v>
      </c>
      <c r="M207" s="109"/>
      <c r="N207" s="130"/>
      <c r="O207" s="458"/>
      <c r="P207" s="458"/>
      <c r="Q207" s="458"/>
      <c r="R207" s="458"/>
      <c r="S207" s="458"/>
      <c r="T207" s="458"/>
      <c r="U207" s="458"/>
      <c r="V207" s="132"/>
      <c r="W207" s="133"/>
      <c r="X207" s="132"/>
      <c r="Y207" s="132"/>
      <c r="Z207" s="132"/>
      <c r="AA207" s="132"/>
    </row>
    <row r="208" spans="1:27" ht="20.100000000000001" customHeight="1">
      <c r="A208" s="300">
        <v>30100027</v>
      </c>
      <c r="B208" s="453" t="s">
        <v>208</v>
      </c>
      <c r="C208" s="126" t="s">
        <v>179</v>
      </c>
      <c r="D208" s="108">
        <v>5.08</v>
      </c>
      <c r="E208" s="108"/>
      <c r="F208" s="127">
        <v>42742</v>
      </c>
      <c r="G208" s="128">
        <v>98</v>
      </c>
      <c r="H208" s="454">
        <f t="shared" si="92"/>
        <v>497.84000000000003</v>
      </c>
      <c r="I208" s="129">
        <f>2*3</f>
        <v>6</v>
      </c>
      <c r="J208" s="130">
        <f t="array" ref="J208">IF(ISERROR(G208/I208),"",G208/I208)</f>
        <v>16.333333333333332</v>
      </c>
      <c r="K208" s="131">
        <f t="array" ref="K208">IF(ISERROR(G208/L208),"",G208/L208)</f>
        <v>4.666666666666667</v>
      </c>
      <c r="L208" s="129">
        <v>21</v>
      </c>
      <c r="M208" s="109">
        <f t="shared" ref="M208:M237" si="102">IF(ISERROR(I208-K208),"",I208-K208)</f>
        <v>1.333333333333333</v>
      </c>
      <c r="N208" s="130">
        <f t="shared" ref="N208:N237" si="103">SUM(O208:U208)</f>
        <v>0</v>
      </c>
      <c r="O208" s="458"/>
      <c r="P208" s="458"/>
      <c r="Q208" s="458"/>
      <c r="R208" s="458"/>
      <c r="S208" s="458"/>
      <c r="T208" s="458"/>
      <c r="U208" s="458"/>
      <c r="V208" s="132">
        <f t="shared" ref="V208:V219" si="104">SUM(X208:AA208)</f>
        <v>0</v>
      </c>
      <c r="W208" s="133">
        <f t="shared" ref="W208:W219" si="105">IF(ISERROR(V208/G208),"",V208/G208)</f>
        <v>0</v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53" t="s">
        <v>208</v>
      </c>
      <c r="C209" s="126" t="s">
        <v>204</v>
      </c>
      <c r="D209" s="108">
        <v>5.08</v>
      </c>
      <c r="E209" s="108"/>
      <c r="F209" s="127"/>
      <c r="G209" s="128"/>
      <c r="H209" s="45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58"/>
      <c r="P209" s="458"/>
      <c r="Q209" s="458"/>
      <c r="R209" s="458"/>
      <c r="S209" s="458"/>
      <c r="T209" s="458"/>
      <c r="U209" s="458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53" t="s">
        <v>208</v>
      </c>
      <c r="C210" s="126" t="s">
        <v>205</v>
      </c>
      <c r="D210" s="108">
        <v>5.08</v>
      </c>
      <c r="E210" s="108"/>
      <c r="F210" s="127"/>
      <c r="G210" s="128"/>
      <c r="H210" s="45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58"/>
      <c r="P210" s="458"/>
      <c r="Q210" s="458"/>
      <c r="R210" s="458"/>
      <c r="S210" s="458"/>
      <c r="T210" s="458"/>
      <c r="U210" s="458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customHeight="1">
      <c r="A211" s="300">
        <v>30100022</v>
      </c>
      <c r="B211" s="453" t="s">
        <v>208</v>
      </c>
      <c r="C211" s="126" t="s">
        <v>186</v>
      </c>
      <c r="D211" s="108">
        <v>5.08</v>
      </c>
      <c r="E211" s="108"/>
      <c r="F211" s="127">
        <v>42740</v>
      </c>
      <c r="G211" s="128">
        <f>108*5+65</f>
        <v>605</v>
      </c>
      <c r="H211" s="454">
        <f t="shared" si="92"/>
        <v>3073.4</v>
      </c>
      <c r="I211" s="129">
        <f>9.5*3</f>
        <v>28.5</v>
      </c>
      <c r="J211" s="130">
        <f t="array" ref="J211">IF(ISERROR(G211/I211),"",G211/I211)</f>
        <v>21.228070175438596</v>
      </c>
      <c r="K211" s="131">
        <f t="array" ref="K211">IF(ISERROR(G211/L211),"",G211/L211)</f>
        <v>28.80952380952381</v>
      </c>
      <c r="L211" s="129">
        <v>21</v>
      </c>
      <c r="M211" s="109">
        <f t="shared" si="102"/>
        <v>-0.3095238095238102</v>
      </c>
      <c r="N211" s="130">
        <f t="shared" si="103"/>
        <v>0</v>
      </c>
      <c r="O211" s="458"/>
      <c r="P211" s="458"/>
      <c r="Q211" s="458"/>
      <c r="R211" s="458"/>
      <c r="S211" s="458"/>
      <c r="T211" s="458"/>
      <c r="U211" s="458"/>
      <c r="V211" s="132">
        <f t="shared" si="104"/>
        <v>0</v>
      </c>
      <c r="W211" s="133">
        <f t="shared" si="105"/>
        <v>0</v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53" t="s">
        <v>208</v>
      </c>
      <c r="C212" s="126" t="s">
        <v>203</v>
      </c>
      <c r="D212" s="108">
        <v>5.08</v>
      </c>
      <c r="E212" s="108"/>
      <c r="F212" s="127"/>
      <c r="G212" s="128"/>
      <c r="H212" s="45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30100026</v>
      </c>
      <c r="B213" s="453" t="s">
        <v>208</v>
      </c>
      <c r="C213" s="126" t="s">
        <v>199</v>
      </c>
      <c r="D213" s="108">
        <v>5.08</v>
      </c>
      <c r="E213" s="108"/>
      <c r="F213" s="127"/>
      <c r="G213" s="128"/>
      <c r="H213" s="45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53" t="s">
        <v>208</v>
      </c>
      <c r="C214" s="126" t="s">
        <v>187</v>
      </c>
      <c r="D214" s="108">
        <v>5.08</v>
      </c>
      <c r="E214" s="108"/>
      <c r="F214" s="127"/>
      <c r="G214" s="128"/>
      <c r="H214" s="45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30100028</v>
      </c>
      <c r="B215" s="453" t="s">
        <v>208</v>
      </c>
      <c r="C215" s="126" t="s">
        <v>207</v>
      </c>
      <c r="D215" s="108">
        <v>5.08</v>
      </c>
      <c r="E215" s="108"/>
      <c r="F215" s="127"/>
      <c r="G215" s="128"/>
      <c r="H215" s="45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21</v>
      </c>
      <c r="M215" s="109">
        <f t="shared" si="102"/>
        <v>0</v>
      </c>
      <c r="N215" s="130">
        <f t="shared" si="103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53" t="s">
        <v>209</v>
      </c>
      <c r="C216" s="126" t="s">
        <v>194</v>
      </c>
      <c r="D216" s="108">
        <v>5.03</v>
      </c>
      <c r="E216" s="108"/>
      <c r="F216" s="127"/>
      <c r="G216" s="128"/>
      <c r="H216" s="45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58"/>
      <c r="P216" s="458"/>
      <c r="Q216" s="458"/>
      <c r="R216" s="458"/>
      <c r="S216" s="458"/>
      <c r="T216" s="458"/>
      <c r="U216" s="458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53" t="s">
        <v>209</v>
      </c>
      <c r="C217" s="126" t="s">
        <v>179</v>
      </c>
      <c r="D217" s="108">
        <v>5.03</v>
      </c>
      <c r="E217" s="108"/>
      <c r="F217" s="127"/>
      <c r="G217" s="128"/>
      <c r="H217" s="45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58"/>
      <c r="P217" s="458"/>
      <c r="Q217" s="458"/>
      <c r="R217" s="458"/>
      <c r="S217" s="458"/>
      <c r="T217" s="458"/>
      <c r="U217" s="458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customHeight="1">
      <c r="A218" s="300">
        <v>30100062</v>
      </c>
      <c r="B218" s="453" t="s">
        <v>209</v>
      </c>
      <c r="C218" s="126" t="s">
        <v>195</v>
      </c>
      <c r="D218" s="108">
        <v>5.03</v>
      </c>
      <c r="E218" s="108"/>
      <c r="F218" s="127">
        <v>42737</v>
      </c>
      <c r="G218" s="128">
        <v>4</v>
      </c>
      <c r="H218" s="454">
        <f t="shared" si="92"/>
        <v>20.12</v>
      </c>
      <c r="I218" s="129">
        <v>7.0000000000000007E-2</v>
      </c>
      <c r="J218" s="130">
        <f t="array" ref="J218">IF(ISERROR(G218/I218),"",G218/I218)</f>
        <v>57.142857142857139</v>
      </c>
      <c r="K218" s="131">
        <f t="array" ref="K218">IF(ISERROR(G218/L218),"",G218/L218)</f>
        <v>7.1428571428571425E-2</v>
      </c>
      <c r="L218" s="129">
        <v>56</v>
      </c>
      <c r="M218" s="109">
        <f t="shared" si="102"/>
        <v>-1.4285714285714179E-3</v>
      </c>
      <c r="N218" s="130">
        <f t="shared" si="103"/>
        <v>0</v>
      </c>
      <c r="O218" s="458"/>
      <c r="P218" s="458"/>
      <c r="Q218" s="458"/>
      <c r="R218" s="458"/>
      <c r="S218" s="458"/>
      <c r="T218" s="458"/>
      <c r="U218" s="458"/>
      <c r="V218" s="132">
        <f t="shared" si="104"/>
        <v>0</v>
      </c>
      <c r="W218" s="133">
        <f t="shared" si="105"/>
        <v>0</v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53" t="s">
        <v>209</v>
      </c>
      <c r="C219" s="126" t="s">
        <v>204</v>
      </c>
      <c r="D219" s="108">
        <v>5.03</v>
      </c>
      <c r="E219" s="108"/>
      <c r="F219" s="127"/>
      <c r="G219" s="128"/>
      <c r="H219" s="454">
        <f t="shared" si="92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2"/>
        <v>0</v>
      </c>
      <c r="N219" s="130">
        <f t="shared" si="103"/>
        <v>0</v>
      </c>
      <c r="O219" s="458"/>
      <c r="P219" s="458"/>
      <c r="Q219" s="458"/>
      <c r="R219" s="458"/>
      <c r="S219" s="458"/>
      <c r="T219" s="458"/>
      <c r="U219" s="458"/>
      <c r="V219" s="132">
        <f t="shared" si="104"/>
        <v>0</v>
      </c>
      <c r="W219" s="133" t="str">
        <f t="shared" si="105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53" t="s">
        <v>382</v>
      </c>
      <c r="C220" s="187" t="s">
        <v>383</v>
      </c>
      <c r="D220" s="108">
        <v>5.03</v>
      </c>
      <c r="E220" s="108"/>
      <c r="F220" s="127"/>
      <c r="G220" s="128"/>
      <c r="H220" s="45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58"/>
      <c r="P220" s="458"/>
      <c r="Q220" s="458"/>
      <c r="R220" s="458"/>
      <c r="S220" s="458"/>
      <c r="T220" s="458"/>
      <c r="U220" s="45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53" t="s">
        <v>382</v>
      </c>
      <c r="C221" s="187" t="s">
        <v>384</v>
      </c>
      <c r="D221" s="108">
        <v>5.03</v>
      </c>
      <c r="E221" s="108"/>
      <c r="F221" s="127"/>
      <c r="G221" s="128"/>
      <c r="H221" s="454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58"/>
      <c r="P221" s="458"/>
      <c r="Q221" s="458"/>
      <c r="R221" s="458"/>
      <c r="S221" s="458"/>
      <c r="T221" s="458"/>
      <c r="U221" s="45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53" t="s">
        <v>382</v>
      </c>
      <c r="C222" s="187" t="s">
        <v>389</v>
      </c>
      <c r="D222" s="108">
        <v>5.03</v>
      </c>
      <c r="E222" s="108"/>
      <c r="F222" s="127"/>
      <c r="G222" s="128"/>
      <c r="H222" s="454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58"/>
      <c r="P222" s="458"/>
      <c r="Q222" s="458"/>
      <c r="R222" s="458"/>
      <c r="S222" s="458"/>
      <c r="T222" s="458"/>
      <c r="U222" s="45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53" t="s">
        <v>382</v>
      </c>
      <c r="C223" s="187" t="s">
        <v>391</v>
      </c>
      <c r="D223" s="108">
        <v>5.03</v>
      </c>
      <c r="E223" s="108"/>
      <c r="F223" s="127"/>
      <c r="G223" s="128"/>
      <c r="H223" s="45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2"/>
        <v>0</v>
      </c>
      <c r="N223" s="130">
        <f t="shared" si="103"/>
        <v>0</v>
      </c>
      <c r="O223" s="458"/>
      <c r="P223" s="458"/>
      <c r="Q223" s="458"/>
      <c r="R223" s="458"/>
      <c r="S223" s="458"/>
      <c r="T223" s="458"/>
      <c r="U223" s="45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53" t="s">
        <v>418</v>
      </c>
      <c r="C224" s="187" t="s">
        <v>364</v>
      </c>
      <c r="D224" s="108">
        <v>5.03</v>
      </c>
      <c r="E224" s="108"/>
      <c r="F224" s="127"/>
      <c r="G224" s="128"/>
      <c r="H224" s="45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58"/>
      <c r="P224" s="458"/>
      <c r="Q224" s="458"/>
      <c r="R224" s="458"/>
      <c r="S224" s="458"/>
      <c r="T224" s="458"/>
      <c r="U224" s="45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53" t="s">
        <v>418</v>
      </c>
      <c r="C225" s="187" t="s">
        <v>365</v>
      </c>
      <c r="D225" s="108">
        <v>5.03</v>
      </c>
      <c r="E225" s="108"/>
      <c r="F225" s="127"/>
      <c r="G225" s="128"/>
      <c r="H225" s="45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58"/>
      <c r="P225" s="458"/>
      <c r="Q225" s="458"/>
      <c r="R225" s="458"/>
      <c r="S225" s="458"/>
      <c r="T225" s="458"/>
      <c r="U225" s="45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53" t="s">
        <v>418</v>
      </c>
      <c r="C226" s="187" t="s">
        <v>366</v>
      </c>
      <c r="D226" s="108">
        <v>5.03</v>
      </c>
      <c r="E226" s="108"/>
      <c r="F226" s="127"/>
      <c r="G226" s="128"/>
      <c r="H226" s="45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58"/>
      <c r="P226" s="458"/>
      <c r="Q226" s="458"/>
      <c r="R226" s="458"/>
      <c r="S226" s="458"/>
      <c r="T226" s="458"/>
      <c r="U226" s="45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53" t="s">
        <v>418</v>
      </c>
      <c r="C227" s="187" t="s">
        <v>367</v>
      </c>
      <c r="D227" s="108">
        <v>5.03</v>
      </c>
      <c r="E227" s="108"/>
      <c r="F227" s="127"/>
      <c r="G227" s="128"/>
      <c r="H227" s="454">
        <f t="shared" si="92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2"/>
        <v>0</v>
      </c>
      <c r="N227" s="130">
        <f t="shared" si="103"/>
        <v>0</v>
      </c>
      <c r="O227" s="458"/>
      <c r="P227" s="458"/>
      <c r="Q227" s="458"/>
      <c r="R227" s="458"/>
      <c r="S227" s="458"/>
      <c r="T227" s="458"/>
      <c r="U227" s="458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5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62"/>
      <c r="P228" s="462"/>
      <c r="Q228" s="462"/>
      <c r="R228" s="462"/>
      <c r="S228" s="462"/>
      <c r="T228" s="462"/>
      <c r="U228" s="462"/>
      <c r="V228" s="132">
        <f t="shared" ref="V228:V237" si="106">SUM(X228:AA228)</f>
        <v>0</v>
      </c>
      <c r="W228" s="133" t="str">
        <f t="shared" ref="W228:W237" si="107">IF(ISERROR(V228/G228),"",V228/G228)</f>
        <v/>
      </c>
      <c r="X228" s="132"/>
      <c r="Y228" s="132"/>
      <c r="Z228" s="132"/>
      <c r="AA228" s="132"/>
    </row>
    <row r="229" spans="1:27" ht="20.10000000000000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>
        <v>42740</v>
      </c>
      <c r="G229" s="128">
        <f>108+1+108*3+51</f>
        <v>484</v>
      </c>
      <c r="H229" s="454">
        <f t="shared" si="92"/>
        <v>2434.52</v>
      </c>
      <c r="I229" s="129">
        <v>6</v>
      </c>
      <c r="J229" s="130">
        <f t="array" ref="J229">IF(ISERROR(G229/I229),"",G229/I229)</f>
        <v>80.666666666666671</v>
      </c>
      <c r="K229" s="131">
        <f t="array" ref="K229">IF(ISERROR(G229/L229),"",G229/L229)</f>
        <v>12.1</v>
      </c>
      <c r="L229" s="129">
        <v>40</v>
      </c>
      <c r="M229" s="109">
        <f t="shared" si="102"/>
        <v>-6.1</v>
      </c>
      <c r="N229" s="130">
        <f t="shared" si="103"/>
        <v>0</v>
      </c>
      <c r="O229" s="462"/>
      <c r="P229" s="462"/>
      <c r="Q229" s="462"/>
      <c r="R229" s="462"/>
      <c r="S229" s="462"/>
      <c r="T229" s="462"/>
      <c r="U229" s="462"/>
      <c r="V229" s="132">
        <f t="shared" si="106"/>
        <v>0</v>
      </c>
      <c r="W229" s="133">
        <f t="shared" si="107"/>
        <v>0</v>
      </c>
      <c r="X229" s="132"/>
      <c r="Y229" s="132"/>
      <c r="Z229" s="132"/>
      <c r="AA229" s="132"/>
    </row>
    <row r="230" spans="1:27" ht="20.10000000000000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>
        <v>42740</v>
      </c>
      <c r="G230" s="128">
        <f>108+76</f>
        <v>184</v>
      </c>
      <c r="H230" s="454">
        <f t="shared" si="92"/>
        <v>925.5200000000001</v>
      </c>
      <c r="I230" s="129">
        <v>4.5</v>
      </c>
      <c r="J230" s="130">
        <f t="array" ref="J230">IF(ISERROR(G230/I230),"",G230/I230)</f>
        <v>40.888888888888886</v>
      </c>
      <c r="K230" s="131">
        <f t="array" ref="K230">IF(ISERROR(G230/L230),"",G230/L230)</f>
        <v>4.5999999999999996</v>
      </c>
      <c r="L230" s="129">
        <v>40</v>
      </c>
      <c r="M230" s="109">
        <f t="shared" si="102"/>
        <v>-9.9999999999999645E-2</v>
      </c>
      <c r="N230" s="130">
        <f t="shared" si="103"/>
        <v>0</v>
      </c>
      <c r="O230" s="462"/>
      <c r="P230" s="462"/>
      <c r="Q230" s="462"/>
      <c r="R230" s="462"/>
      <c r="S230" s="462"/>
      <c r="T230" s="462"/>
      <c r="U230" s="462"/>
      <c r="V230" s="132">
        <f t="shared" si="106"/>
        <v>0</v>
      </c>
      <c r="W230" s="133">
        <f t="shared" si="107"/>
        <v>0</v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5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62"/>
      <c r="P231" s="462"/>
      <c r="Q231" s="462"/>
      <c r="R231" s="462"/>
      <c r="S231" s="462"/>
      <c r="T231" s="462"/>
      <c r="U231" s="462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5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62"/>
      <c r="P232" s="462"/>
      <c r="Q232" s="462"/>
      <c r="R232" s="462"/>
      <c r="S232" s="462"/>
      <c r="T232" s="462"/>
      <c r="U232" s="462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5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62"/>
      <c r="P233" s="462"/>
      <c r="Q233" s="462"/>
      <c r="R233" s="462"/>
      <c r="S233" s="462"/>
      <c r="T233" s="462"/>
      <c r="U233" s="462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5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62"/>
      <c r="P234" s="462"/>
      <c r="Q234" s="462"/>
      <c r="R234" s="462"/>
      <c r="S234" s="462"/>
      <c r="T234" s="462"/>
      <c r="U234" s="462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5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62"/>
      <c r="P235" s="462"/>
      <c r="Q235" s="462"/>
      <c r="R235" s="462"/>
      <c r="S235" s="462"/>
      <c r="T235" s="462"/>
      <c r="U235" s="462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5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62"/>
      <c r="P236" s="462"/>
      <c r="Q236" s="462"/>
      <c r="R236" s="462"/>
      <c r="S236" s="462"/>
      <c r="T236" s="462"/>
      <c r="U236" s="462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54">
        <f t="shared" si="92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2"/>
        <v>0</v>
      </c>
      <c r="N237" s="130">
        <f t="shared" si="103"/>
        <v>0</v>
      </c>
      <c r="O237" s="462"/>
      <c r="P237" s="462"/>
      <c r="Q237" s="462"/>
      <c r="R237" s="462"/>
      <c r="S237" s="462"/>
      <c r="T237" s="462"/>
      <c r="U237" s="462"/>
      <c r="V237" s="132">
        <f t="shared" si="106"/>
        <v>0</v>
      </c>
      <c r="W237" s="133" t="str">
        <f t="shared" si="107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428</v>
      </c>
      <c r="D238" s="108">
        <v>5.03</v>
      </c>
      <c r="E238" s="108"/>
      <c r="F238" s="127"/>
      <c r="G238" s="128"/>
      <c r="H238" s="454">
        <f t="shared" si="92"/>
        <v>0</v>
      </c>
      <c r="I238" s="129"/>
      <c r="J238" s="130"/>
      <c r="K238" s="131"/>
      <c r="L238" s="129">
        <v>50</v>
      </c>
      <c r="M238" s="109"/>
      <c r="N238" s="130"/>
      <c r="O238" s="462"/>
      <c r="P238" s="462"/>
      <c r="Q238" s="462"/>
      <c r="R238" s="462"/>
      <c r="S238" s="462"/>
      <c r="T238" s="462"/>
      <c r="U238" s="462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54">
        <f t="shared" si="92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8">IF(ISERROR(I239-K239),"",I239-K239)</f>
        <v>0</v>
      </c>
      <c r="N239" s="130"/>
      <c r="O239" s="462"/>
      <c r="P239" s="462"/>
      <c r="Q239" s="462"/>
      <c r="R239" s="462"/>
      <c r="S239" s="462"/>
      <c r="T239" s="462"/>
      <c r="U239" s="462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5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ref="N240:N241" si="109">SUM(O240:U240)</f>
        <v>0</v>
      </c>
      <c r="O240" s="462"/>
      <c r="P240" s="462"/>
      <c r="Q240" s="462"/>
      <c r="R240" s="462"/>
      <c r="S240" s="462"/>
      <c r="T240" s="462"/>
      <c r="U240" s="462"/>
      <c r="V240" s="132">
        <f t="shared" ref="V240:V241" si="110">SUM(X240:AA240)</f>
        <v>0</v>
      </c>
      <c r="W240" s="133" t="str">
        <f t="shared" ref="W240:W241" si="111">IF(ISERROR(V240/G240),"",V240/G240)</f>
        <v/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54">
        <f t="shared" si="92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8"/>
        <v>0</v>
      </c>
      <c r="N241" s="130">
        <f t="shared" si="109"/>
        <v>0</v>
      </c>
      <c r="O241" s="462"/>
      <c r="P241" s="462"/>
      <c r="Q241" s="462"/>
      <c r="R241" s="462"/>
      <c r="S241" s="462"/>
      <c r="T241" s="462"/>
      <c r="U241" s="462"/>
      <c r="V241" s="132">
        <f t="shared" si="110"/>
        <v>0</v>
      </c>
      <c r="W241" s="133" t="str">
        <f t="shared" si="111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54">
        <f t="shared" si="92"/>
        <v>0</v>
      </c>
      <c r="I242" s="129"/>
      <c r="J242" s="130"/>
      <c r="K242" s="131"/>
      <c r="L242" s="129"/>
      <c r="M242" s="109">
        <f t="shared" si="108"/>
        <v>0</v>
      </c>
      <c r="N242" s="130"/>
      <c r="O242" s="462"/>
      <c r="P242" s="462"/>
      <c r="Q242" s="462"/>
      <c r="R242" s="462"/>
      <c r="S242" s="462"/>
      <c r="T242" s="462"/>
      <c r="U242" s="462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5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ref="N243:N246" si="112">SUM(O243:U243)</f>
        <v>0</v>
      </c>
      <c r="O243" s="462"/>
      <c r="P243" s="462"/>
      <c r="Q243" s="462"/>
      <c r="R243" s="462"/>
      <c r="S243" s="462"/>
      <c r="T243" s="462"/>
      <c r="U243" s="462"/>
      <c r="V243" s="132">
        <f t="shared" ref="V243:V246" si="113">SUM(X243:AA243)</f>
        <v>0</v>
      </c>
      <c r="W243" s="133" t="str">
        <f t="shared" ref="W243:W246" si="114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5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62"/>
      <c r="P244" s="462"/>
      <c r="Q244" s="462"/>
      <c r="R244" s="462"/>
      <c r="S244" s="462"/>
      <c r="T244" s="462"/>
      <c r="U244" s="462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5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62"/>
      <c r="P245" s="462"/>
      <c r="Q245" s="462"/>
      <c r="R245" s="462"/>
      <c r="S245" s="462"/>
      <c r="T245" s="462"/>
      <c r="U245" s="462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54">
        <f t="shared" si="92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8"/>
        <v/>
      </c>
      <c r="N246" s="130">
        <f t="shared" si="112"/>
        <v>0</v>
      </c>
      <c r="O246" s="462"/>
      <c r="P246" s="462"/>
      <c r="Q246" s="462"/>
      <c r="R246" s="462"/>
      <c r="S246" s="462"/>
      <c r="T246" s="462"/>
      <c r="U246" s="462"/>
      <c r="V246" s="132">
        <f t="shared" si="113"/>
        <v>0</v>
      </c>
      <c r="W246" s="133" t="str">
        <f t="shared" si="114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5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62"/>
      <c r="P247" s="462"/>
      <c r="Q247" s="462"/>
      <c r="R247" s="462"/>
      <c r="S247" s="462"/>
      <c r="T247" s="462"/>
      <c r="U247" s="462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5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62"/>
      <c r="P248" s="462"/>
      <c r="Q248" s="462"/>
      <c r="R248" s="462"/>
      <c r="S248" s="462"/>
      <c r="T248" s="462"/>
      <c r="U248" s="462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5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62"/>
      <c r="P249" s="462"/>
      <c r="Q249" s="462"/>
      <c r="R249" s="462"/>
      <c r="S249" s="462"/>
      <c r="T249" s="462"/>
      <c r="U249" s="462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54">
        <f t="shared" si="92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8"/>
        <v>0</v>
      </c>
      <c r="N250" s="130"/>
      <c r="O250" s="462"/>
      <c r="P250" s="462"/>
      <c r="Q250" s="462"/>
      <c r="R250" s="462"/>
      <c r="S250" s="462"/>
      <c r="T250" s="462"/>
      <c r="U250" s="462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5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62"/>
      <c r="P251" s="462"/>
      <c r="Q251" s="462"/>
      <c r="R251" s="462"/>
      <c r="S251" s="462"/>
      <c r="T251" s="462"/>
      <c r="U251" s="462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5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62"/>
      <c r="P252" s="462"/>
      <c r="Q252" s="462"/>
      <c r="R252" s="462"/>
      <c r="S252" s="462"/>
      <c r="T252" s="462"/>
      <c r="U252" s="462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5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62"/>
      <c r="P253" s="462"/>
      <c r="Q253" s="462"/>
      <c r="R253" s="462"/>
      <c r="S253" s="462"/>
      <c r="T253" s="462"/>
      <c r="U253" s="462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5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62"/>
      <c r="P254" s="462"/>
      <c r="Q254" s="462"/>
      <c r="R254" s="462"/>
      <c r="S254" s="462"/>
      <c r="T254" s="462"/>
      <c r="U254" s="462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5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62"/>
      <c r="P255" s="462"/>
      <c r="Q255" s="462"/>
      <c r="R255" s="462"/>
      <c r="S255" s="462"/>
      <c r="T255" s="462"/>
      <c r="U255" s="462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54">
        <f t="shared" si="92"/>
        <v>0</v>
      </c>
      <c r="I256" s="129"/>
      <c r="J256" s="130"/>
      <c r="K256" s="131"/>
      <c r="L256" s="129">
        <v>4</v>
      </c>
      <c r="M256" s="109"/>
      <c r="N256" s="130"/>
      <c r="O256" s="462"/>
      <c r="P256" s="462"/>
      <c r="Q256" s="462"/>
      <c r="R256" s="462"/>
      <c r="S256" s="462"/>
      <c r="T256" s="462"/>
      <c r="U256" s="462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63" t="s">
        <v>202</v>
      </c>
      <c r="D257" s="143"/>
      <c r="E257" s="143"/>
      <c r="F257" s="144"/>
      <c r="G257" s="145">
        <f>SUM(G200:G256)</f>
        <v>2609</v>
      </c>
      <c r="H257" s="146">
        <f>SUM(H200:H256)</f>
        <v>13158.420000000002</v>
      </c>
      <c r="I257" s="146">
        <f>SUM(I200:I256)</f>
        <v>56.57</v>
      </c>
      <c r="J257" s="130">
        <f t="array" ref="J257">IF(ISERROR(G257/I257),"",G257/I257)</f>
        <v>46.119851511401805</v>
      </c>
      <c r="K257" s="146">
        <f>SUM(K200:K256)</f>
        <v>73.978388278388266</v>
      </c>
      <c r="L257" s="147"/>
      <c r="M257" s="150">
        <f t="shared" ref="M257:V257" si="115">SUM(M200:M256)</f>
        <v>-17.40838827838828</v>
      </c>
      <c r="N257" s="146">
        <f t="shared" si="115"/>
        <v>0</v>
      </c>
      <c r="O257" s="148">
        <f t="shared" si="115"/>
        <v>0</v>
      </c>
      <c r="P257" s="148">
        <f t="shared" si="115"/>
        <v>0</v>
      </c>
      <c r="Q257" s="148">
        <f t="shared" si="115"/>
        <v>0</v>
      </c>
      <c r="R257" s="148">
        <f t="shared" si="115"/>
        <v>0</v>
      </c>
      <c r="S257" s="148">
        <f t="shared" si="115"/>
        <v>0</v>
      </c>
      <c r="T257" s="148">
        <f t="shared" si="115"/>
        <v>0</v>
      </c>
      <c r="U257" s="148">
        <f t="shared" si="115"/>
        <v>0</v>
      </c>
      <c r="V257" s="149">
        <f t="shared" si="115"/>
        <v>0</v>
      </c>
      <c r="W257" s="133">
        <f t="shared" ref="W257:W264" si="116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53" t="s">
        <v>217</v>
      </c>
      <c r="C258" s="126" t="s">
        <v>179</v>
      </c>
      <c r="D258" s="108">
        <v>5.03</v>
      </c>
      <c r="E258" s="108"/>
      <c r="F258" s="127"/>
      <c r="G258" s="128"/>
      <c r="H258" s="454">
        <f t="shared" ref="H258:H291" si="117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8">IF(ISERROR(I258-K258),"",I258-K258)</f>
        <v>0</v>
      </c>
      <c r="N258" s="130">
        <f t="shared" ref="N258:N265" si="119">SUM(O258:U258)</f>
        <v>0</v>
      </c>
      <c r="O258" s="462"/>
      <c r="P258" s="462"/>
      <c r="Q258" s="462"/>
      <c r="R258" s="462"/>
      <c r="S258" s="462"/>
      <c r="T258" s="462"/>
      <c r="U258" s="462"/>
      <c r="V258" s="132">
        <f t="shared" ref="V258:V264" si="120">SUM(X258:AA258)</f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53" t="s">
        <v>217</v>
      </c>
      <c r="C259" s="126" t="s">
        <v>186</v>
      </c>
      <c r="D259" s="108">
        <v>5.03</v>
      </c>
      <c r="E259" s="108"/>
      <c r="F259" s="127"/>
      <c r="G259" s="128"/>
      <c r="H259" s="45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62"/>
      <c r="P259" s="462"/>
      <c r="Q259" s="462"/>
      <c r="R259" s="462"/>
      <c r="S259" s="462"/>
      <c r="T259" s="462"/>
      <c r="U259" s="462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53" t="s">
        <v>217</v>
      </c>
      <c r="C260" s="126" t="s">
        <v>204</v>
      </c>
      <c r="D260" s="108">
        <v>5.03</v>
      </c>
      <c r="E260" s="108"/>
      <c r="F260" s="127"/>
      <c r="G260" s="128"/>
      <c r="H260" s="45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8"/>
        <v>0</v>
      </c>
      <c r="N260" s="130">
        <f t="shared" si="119"/>
        <v>0</v>
      </c>
      <c r="O260" s="462"/>
      <c r="P260" s="462"/>
      <c r="Q260" s="462"/>
      <c r="R260" s="462"/>
      <c r="S260" s="462"/>
      <c r="T260" s="462"/>
      <c r="U260" s="462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5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62"/>
      <c r="P261" s="462"/>
      <c r="Q261" s="462"/>
      <c r="R261" s="462"/>
      <c r="S261" s="462"/>
      <c r="T261" s="462"/>
      <c r="U261" s="462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>
        <v>42741</v>
      </c>
      <c r="G262" s="128">
        <f>108+32</f>
        <v>140</v>
      </c>
      <c r="H262" s="454">
        <f t="shared" si="117"/>
        <v>704.2</v>
      </c>
      <c r="I262" s="129">
        <f>11.5*2</f>
        <v>23</v>
      </c>
      <c r="J262" s="130">
        <f t="array" ref="J262">IF(ISERROR(G262/I262),"",G262/I262)</f>
        <v>6.0869565217391308</v>
      </c>
      <c r="K262" s="131">
        <f t="array" ref="K262">IF(ISERROR(G262/L262),"",G262/L262)</f>
        <v>15.053763440860214</v>
      </c>
      <c r="L262" s="129">
        <v>9.3000000000000007</v>
      </c>
      <c r="M262" s="109">
        <f t="shared" si="118"/>
        <v>7.9462365591397859</v>
      </c>
      <c r="N262" s="130">
        <f t="shared" si="119"/>
        <v>0</v>
      </c>
      <c r="O262" s="462"/>
      <c r="P262" s="462"/>
      <c r="Q262" s="462"/>
      <c r="R262" s="462"/>
      <c r="S262" s="462"/>
      <c r="T262" s="462"/>
      <c r="U262" s="462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5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62"/>
      <c r="P263" s="462"/>
      <c r="Q263" s="462"/>
      <c r="R263" s="462"/>
      <c r="S263" s="462"/>
      <c r="T263" s="462"/>
      <c r="U263" s="462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54">
        <f t="shared" si="117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62"/>
      <c r="P264" s="462"/>
      <c r="Q264" s="462"/>
      <c r="R264" s="462"/>
      <c r="S264" s="462"/>
      <c r="T264" s="462"/>
      <c r="U264" s="462"/>
      <c r="V264" s="132">
        <f t="shared" si="120"/>
        <v>0</v>
      </c>
      <c r="W264" s="133" t="str">
        <f t="shared" si="116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54">
        <f t="shared" si="117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8"/>
        <v>0</v>
      </c>
      <c r="N265" s="130">
        <f t="shared" si="119"/>
        <v>0</v>
      </c>
      <c r="O265" s="462"/>
      <c r="P265" s="462"/>
      <c r="Q265" s="462"/>
      <c r="R265" s="462"/>
      <c r="S265" s="462"/>
      <c r="T265" s="462"/>
      <c r="U265" s="462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5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62"/>
      <c r="P266" s="462"/>
      <c r="Q266" s="462"/>
      <c r="R266" s="462"/>
      <c r="S266" s="462"/>
      <c r="T266" s="462"/>
      <c r="U266" s="462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5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62"/>
      <c r="P267" s="462"/>
      <c r="Q267" s="462"/>
      <c r="R267" s="462"/>
      <c r="S267" s="462"/>
      <c r="T267" s="462"/>
      <c r="U267" s="462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5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62"/>
      <c r="P268" s="462"/>
      <c r="Q268" s="462"/>
      <c r="R268" s="462"/>
      <c r="S268" s="462"/>
      <c r="T268" s="462"/>
      <c r="U268" s="462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5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62"/>
      <c r="P269" s="462"/>
      <c r="Q269" s="462"/>
      <c r="R269" s="462"/>
      <c r="S269" s="462"/>
      <c r="T269" s="462"/>
      <c r="U269" s="462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54">
        <f t="shared" si="117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1">IF(ISERROR(I270-K270),"",I270-K270)</f>
        <v>0</v>
      </c>
      <c r="N270" s="130">
        <f t="shared" ref="N270:N285" si="122">SUM(O270:U270)</f>
        <v>0</v>
      </c>
      <c r="O270" s="462"/>
      <c r="P270" s="462"/>
      <c r="Q270" s="462"/>
      <c r="R270" s="462"/>
      <c r="S270" s="462"/>
      <c r="T270" s="462"/>
      <c r="U270" s="462"/>
      <c r="V270" s="132">
        <f t="shared" ref="V270:V273" si="123">SUM(X270:AA270)</f>
        <v>0</v>
      </c>
      <c r="W270" s="133" t="str">
        <f t="shared" ref="W270:W277" si="124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5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62"/>
      <c r="P271" s="462"/>
      <c r="Q271" s="462"/>
      <c r="R271" s="462"/>
      <c r="S271" s="462"/>
      <c r="T271" s="462"/>
      <c r="U271" s="462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5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62"/>
      <c r="P272" s="462"/>
      <c r="Q272" s="462"/>
      <c r="R272" s="462"/>
      <c r="S272" s="462"/>
      <c r="T272" s="462"/>
      <c r="U272" s="462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54">
        <f t="shared" si="117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1"/>
        <v/>
      </c>
      <c r="N273" s="130">
        <f t="shared" si="122"/>
        <v>0</v>
      </c>
      <c r="O273" s="462"/>
      <c r="P273" s="462"/>
      <c r="Q273" s="462"/>
      <c r="R273" s="462"/>
      <c r="S273" s="462"/>
      <c r="T273" s="462"/>
      <c r="U273" s="462"/>
      <c r="V273" s="132">
        <f t="shared" si="123"/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53" t="s">
        <v>222</v>
      </c>
      <c r="C274" s="126" t="s">
        <v>181</v>
      </c>
      <c r="D274" s="108">
        <v>9.36</v>
      </c>
      <c r="E274" s="108"/>
      <c r="F274" s="127"/>
      <c r="G274" s="128"/>
      <c r="H274" s="45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62"/>
      <c r="P274" s="462"/>
      <c r="Q274" s="462"/>
      <c r="R274" s="462"/>
      <c r="S274" s="462"/>
      <c r="T274" s="462"/>
      <c r="U274" s="462"/>
      <c r="V274" s="132">
        <f t="shared" ref="V274:V277" si="125">SUM(X274:AA274)</f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53" t="s">
        <v>222</v>
      </c>
      <c r="C275" s="126" t="s">
        <v>179</v>
      </c>
      <c r="D275" s="108">
        <v>9.36</v>
      </c>
      <c r="E275" s="108"/>
      <c r="F275" s="127"/>
      <c r="G275" s="128"/>
      <c r="H275" s="45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62"/>
      <c r="P275" s="462"/>
      <c r="Q275" s="462"/>
      <c r="R275" s="462"/>
      <c r="S275" s="462"/>
      <c r="T275" s="462"/>
      <c r="U275" s="462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53" t="s">
        <v>222</v>
      </c>
      <c r="C276" s="126" t="s">
        <v>221</v>
      </c>
      <c r="D276" s="108">
        <v>9.36</v>
      </c>
      <c r="E276" s="108"/>
      <c r="F276" s="127"/>
      <c r="G276" s="128"/>
      <c r="H276" s="45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62"/>
      <c r="P276" s="462"/>
      <c r="Q276" s="462"/>
      <c r="R276" s="462"/>
      <c r="S276" s="462"/>
      <c r="T276" s="462"/>
      <c r="U276" s="462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53" t="s">
        <v>222</v>
      </c>
      <c r="C277" s="126" t="s">
        <v>186</v>
      </c>
      <c r="D277" s="108">
        <v>9.36</v>
      </c>
      <c r="E277" s="108"/>
      <c r="F277" s="127"/>
      <c r="G277" s="128"/>
      <c r="H277" s="454">
        <f t="shared" si="117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1"/>
        <v>0</v>
      </c>
      <c r="N277" s="130">
        <f t="shared" si="122"/>
        <v>0</v>
      </c>
      <c r="O277" s="462"/>
      <c r="P277" s="462"/>
      <c r="Q277" s="462"/>
      <c r="R277" s="462"/>
      <c r="S277" s="462"/>
      <c r="T277" s="462"/>
      <c r="U277" s="462"/>
      <c r="V277" s="132">
        <f t="shared" si="125"/>
        <v>0</v>
      </c>
      <c r="W277" s="133" t="str">
        <f t="shared" si="124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53" t="s">
        <v>393</v>
      </c>
      <c r="C278" s="187" t="s">
        <v>395</v>
      </c>
      <c r="D278" s="108">
        <v>5</v>
      </c>
      <c r="E278" s="108"/>
      <c r="F278" s="127"/>
      <c r="G278" s="128"/>
      <c r="H278" s="45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62"/>
      <c r="P278" s="462"/>
      <c r="Q278" s="462"/>
      <c r="R278" s="462"/>
      <c r="S278" s="462"/>
      <c r="T278" s="462"/>
      <c r="U278" s="462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53" t="s">
        <v>393</v>
      </c>
      <c r="C279" s="187" t="s">
        <v>402</v>
      </c>
      <c r="D279" s="108">
        <v>5</v>
      </c>
      <c r="E279" s="108"/>
      <c r="F279" s="127"/>
      <c r="G279" s="128"/>
      <c r="H279" s="45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62"/>
      <c r="P279" s="462"/>
      <c r="Q279" s="462"/>
      <c r="R279" s="462"/>
      <c r="S279" s="462"/>
      <c r="T279" s="462"/>
      <c r="U279" s="462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53" t="s">
        <v>404</v>
      </c>
      <c r="C280" s="187" t="s">
        <v>405</v>
      </c>
      <c r="D280" s="108">
        <v>5</v>
      </c>
      <c r="E280" s="108"/>
      <c r="F280" s="127"/>
      <c r="G280" s="128"/>
      <c r="H280" s="45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62"/>
      <c r="P280" s="462"/>
      <c r="Q280" s="462"/>
      <c r="R280" s="462"/>
      <c r="S280" s="462"/>
      <c r="T280" s="462"/>
      <c r="U280" s="462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53" t="s">
        <v>342</v>
      </c>
      <c r="C281" s="187" t="s">
        <v>372</v>
      </c>
      <c r="D281" s="108">
        <v>5</v>
      </c>
      <c r="E281" s="108"/>
      <c r="F281" s="127"/>
      <c r="G281" s="128"/>
      <c r="H281" s="45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62"/>
      <c r="P281" s="462"/>
      <c r="Q281" s="462"/>
      <c r="R281" s="462"/>
      <c r="S281" s="462"/>
      <c r="T281" s="462"/>
      <c r="U281" s="462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53" t="s">
        <v>343</v>
      </c>
      <c r="C282" s="126" t="s">
        <v>345</v>
      </c>
      <c r="D282" s="108">
        <v>5</v>
      </c>
      <c r="E282" s="108"/>
      <c r="F282" s="127"/>
      <c r="G282" s="128"/>
      <c r="H282" s="45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62"/>
      <c r="P282" s="462"/>
      <c r="Q282" s="462"/>
      <c r="R282" s="462"/>
      <c r="S282" s="462"/>
      <c r="T282" s="462"/>
      <c r="U282" s="462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53" t="s">
        <v>343</v>
      </c>
      <c r="C283" s="126" t="s">
        <v>347</v>
      </c>
      <c r="D283" s="108">
        <v>5</v>
      </c>
      <c r="E283" s="108"/>
      <c r="F283" s="127"/>
      <c r="G283" s="128"/>
      <c r="H283" s="454">
        <f t="shared" si="117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1"/>
        <v>0</v>
      </c>
      <c r="N283" s="130">
        <f t="shared" si="122"/>
        <v>0</v>
      </c>
      <c r="O283" s="462"/>
      <c r="P283" s="462"/>
      <c r="Q283" s="462"/>
      <c r="R283" s="462"/>
      <c r="S283" s="462"/>
      <c r="T283" s="462"/>
      <c r="U283" s="462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54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62"/>
      <c r="P284" s="462"/>
      <c r="Q284" s="462"/>
      <c r="R284" s="462"/>
      <c r="S284" s="462"/>
      <c r="T284" s="462"/>
      <c r="U284" s="462"/>
      <c r="V284" s="132">
        <f t="shared" ref="V284:V285" si="126">SUM(X284:AA284)</f>
        <v>0</v>
      </c>
      <c r="W284" s="133" t="str">
        <f t="shared" ref="W284:W285" si="127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54">
        <f t="shared" si="117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1"/>
        <v>0</v>
      </c>
      <c r="N285" s="130">
        <f t="shared" si="122"/>
        <v>0</v>
      </c>
      <c r="O285" s="462"/>
      <c r="P285" s="462"/>
      <c r="Q285" s="462"/>
      <c r="R285" s="462"/>
      <c r="S285" s="462"/>
      <c r="T285" s="462"/>
      <c r="U285" s="462"/>
      <c r="V285" s="132">
        <f t="shared" si="126"/>
        <v>0</v>
      </c>
      <c r="W285" s="133" t="str">
        <f t="shared" si="127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5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62"/>
      <c r="P286" s="462"/>
      <c r="Q286" s="462"/>
      <c r="R286" s="462"/>
      <c r="S286" s="462"/>
      <c r="T286" s="462"/>
      <c r="U286" s="462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5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62"/>
      <c r="P287" s="462"/>
      <c r="Q287" s="462"/>
      <c r="R287" s="462"/>
      <c r="S287" s="462"/>
      <c r="T287" s="462"/>
      <c r="U287" s="462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54">
        <f t="shared" si="117"/>
        <v>0</v>
      </c>
      <c r="I288" s="129"/>
      <c r="J288" s="130"/>
      <c r="K288" s="131"/>
      <c r="L288" s="129">
        <v>24</v>
      </c>
      <c r="M288" s="109"/>
      <c r="N288" s="130"/>
      <c r="O288" s="462"/>
      <c r="P288" s="462"/>
      <c r="Q288" s="462"/>
      <c r="R288" s="462"/>
      <c r="S288" s="462"/>
      <c r="T288" s="462"/>
      <c r="U288" s="462"/>
      <c r="V288" s="132"/>
      <c r="W288" s="133"/>
      <c r="X288" s="132"/>
      <c r="Y288" s="132"/>
      <c r="Z288" s="132"/>
      <c r="AA288" s="132"/>
    </row>
    <row r="289" spans="1:27" ht="20.100000000000001" hidden="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/>
      <c r="G289" s="128"/>
      <c r="H289" s="45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ref="M289:M291" si="128">IF(ISERROR(I289-K289),"",I289-K289)</f>
        <v>0</v>
      </c>
      <c r="N289" s="130">
        <f t="shared" ref="N289:N291" si="129">SUM(O289:U289)</f>
        <v>0</v>
      </c>
      <c r="O289" s="462"/>
      <c r="P289" s="462"/>
      <c r="Q289" s="462"/>
      <c r="R289" s="462"/>
      <c r="S289" s="462"/>
      <c r="T289" s="462"/>
      <c r="U289" s="462"/>
      <c r="V289" s="132">
        <f t="shared" ref="V289:V291" si="130">SUM(X289:AA289)</f>
        <v>0</v>
      </c>
      <c r="W289" s="133" t="str">
        <f t="shared" ref="W289:W313" si="131">IF(ISERROR(V289/G289),"",V289/G289)</f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54">
        <f t="shared" si="117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62"/>
      <c r="P290" s="462"/>
      <c r="Q290" s="462"/>
      <c r="R290" s="462"/>
      <c r="S290" s="462"/>
      <c r="T290" s="462"/>
      <c r="U290" s="462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54">
        <f t="shared" si="117"/>
        <v>0</v>
      </c>
      <c r="I291" s="129"/>
      <c r="J291" s="130" t="str">
        <f t="array" ref="J291">IF(ISERROR(G291/I291),"",G291/I291)</f>
        <v/>
      </c>
      <c r="K291" s="454">
        <f t="array" ref="K291">IF(ISERROR(G291/L291),"",G291/L291)</f>
        <v>0</v>
      </c>
      <c r="L291" s="129">
        <v>9</v>
      </c>
      <c r="M291" s="109">
        <f t="shared" si="128"/>
        <v>0</v>
      </c>
      <c r="N291" s="130">
        <f t="shared" si="129"/>
        <v>0</v>
      </c>
      <c r="O291" s="462"/>
      <c r="P291" s="462"/>
      <c r="Q291" s="462"/>
      <c r="R291" s="462"/>
      <c r="S291" s="462"/>
      <c r="T291" s="462"/>
      <c r="U291" s="462"/>
      <c r="V291" s="132">
        <f t="shared" si="130"/>
        <v>0</v>
      </c>
      <c r="W291" s="133" t="str">
        <f t="shared" si="131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463" t="s">
        <v>202</v>
      </c>
      <c r="D292" s="143"/>
      <c r="E292" s="143"/>
      <c r="F292" s="144"/>
      <c r="G292" s="145">
        <f>SUM(G258:G291)</f>
        <v>140</v>
      </c>
      <c r="H292" s="146">
        <f>SUM(H258:H291)</f>
        <v>704.2</v>
      </c>
      <c r="I292" s="146">
        <f>SUM(I258:I291)</f>
        <v>23</v>
      </c>
      <c r="J292" s="130">
        <f t="array" ref="J292">IF(ISERROR(G292/I292),"",G292/I292)</f>
        <v>6.0869565217391308</v>
      </c>
      <c r="K292" s="146">
        <f>SUM(K258:K291)</f>
        <v>15.053763440860214</v>
      </c>
      <c r="L292" s="147"/>
      <c r="M292" s="150">
        <f t="shared" ref="M292:V292" si="132">SUM(M258:M291)</f>
        <v>7.9462365591397859</v>
      </c>
      <c r="N292" s="146">
        <f t="shared" si="132"/>
        <v>0</v>
      </c>
      <c r="O292" s="148">
        <f t="shared" si="132"/>
        <v>0</v>
      </c>
      <c r="P292" s="148">
        <f t="shared" si="132"/>
        <v>0</v>
      </c>
      <c r="Q292" s="148">
        <f t="shared" si="132"/>
        <v>0</v>
      </c>
      <c r="R292" s="148">
        <f t="shared" si="132"/>
        <v>0</v>
      </c>
      <c r="S292" s="148">
        <f t="shared" si="132"/>
        <v>0</v>
      </c>
      <c r="T292" s="148">
        <f t="shared" si="132"/>
        <v>0</v>
      </c>
      <c r="U292" s="148">
        <f t="shared" si="132"/>
        <v>0</v>
      </c>
      <c r="V292" s="149">
        <f t="shared" si="132"/>
        <v>0</v>
      </c>
      <c r="W292" s="133">
        <f t="shared" si="131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28"/>
      <c r="H293" s="454">
        <f t="shared" ref="H293:H307" si="133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4">IF(ISERROR(I293-K293),"",I293-K293)</f>
        <v>0</v>
      </c>
      <c r="N293" s="130">
        <f t="shared" ref="N293:N307" si="135">SUM(O293:U293)</f>
        <v>0</v>
      </c>
      <c r="O293" s="462"/>
      <c r="P293" s="462"/>
      <c r="Q293" s="462"/>
      <c r="R293" s="462"/>
      <c r="S293" s="462"/>
      <c r="T293" s="462"/>
      <c r="U293" s="462"/>
      <c r="V293" s="132">
        <f t="shared" ref="V293:V307" si="136">SUM(X293:AA293)</f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5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4"/>
        <v>0</v>
      </c>
      <c r="N294" s="130">
        <f t="shared" si="135"/>
        <v>0</v>
      </c>
      <c r="O294" s="462"/>
      <c r="P294" s="462"/>
      <c r="Q294" s="462"/>
      <c r="R294" s="462"/>
      <c r="S294" s="462"/>
      <c r="T294" s="462"/>
      <c r="U294" s="462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5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4"/>
        <v>0</v>
      </c>
      <c r="N295" s="130">
        <f t="shared" si="135"/>
        <v>0</v>
      </c>
      <c r="O295" s="462"/>
      <c r="P295" s="462"/>
      <c r="Q295" s="462"/>
      <c r="R295" s="462"/>
      <c r="S295" s="462"/>
      <c r="T295" s="462"/>
      <c r="U295" s="462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5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62"/>
      <c r="P296" s="462"/>
      <c r="Q296" s="462"/>
      <c r="R296" s="462"/>
      <c r="S296" s="462"/>
      <c r="T296" s="462"/>
      <c r="U296" s="462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59" t="s">
        <v>203</v>
      </c>
      <c r="D297" s="108">
        <v>5.03</v>
      </c>
      <c r="E297" s="108"/>
      <c r="F297" s="127"/>
      <c r="G297" s="128"/>
      <c r="H297" s="45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62"/>
      <c r="P297" s="462"/>
      <c r="Q297" s="462"/>
      <c r="R297" s="462"/>
      <c r="S297" s="462"/>
      <c r="T297" s="462"/>
      <c r="U297" s="462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5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62"/>
      <c r="P298" s="462"/>
      <c r="Q298" s="462"/>
      <c r="R298" s="462"/>
      <c r="S298" s="462"/>
      <c r="T298" s="462"/>
      <c r="U298" s="462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5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62"/>
      <c r="P299" s="462"/>
      <c r="Q299" s="462"/>
      <c r="R299" s="462"/>
      <c r="S299" s="462"/>
      <c r="T299" s="462"/>
      <c r="U299" s="462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59" t="s">
        <v>228</v>
      </c>
      <c r="D300" s="108">
        <v>5.03</v>
      </c>
      <c r="E300" s="108"/>
      <c r="F300" s="127"/>
      <c r="G300" s="128"/>
      <c r="H300" s="454">
        <f t="shared" si="133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4"/>
        <v>0</v>
      </c>
      <c r="N300" s="130">
        <f t="shared" si="135"/>
        <v>0</v>
      </c>
      <c r="O300" s="462"/>
      <c r="P300" s="462"/>
      <c r="Q300" s="462"/>
      <c r="R300" s="462"/>
      <c r="S300" s="462"/>
      <c r="T300" s="462"/>
      <c r="U300" s="462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59" t="s">
        <v>212</v>
      </c>
      <c r="D301" s="108">
        <v>5.03</v>
      </c>
      <c r="E301" s="108"/>
      <c r="F301" s="127"/>
      <c r="G301" s="128"/>
      <c r="H301" s="45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62"/>
      <c r="P301" s="462"/>
      <c r="Q301" s="462"/>
      <c r="R301" s="462"/>
      <c r="S301" s="462"/>
      <c r="T301" s="462"/>
      <c r="U301" s="462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59" t="s">
        <v>203</v>
      </c>
      <c r="D302" s="108">
        <v>5.03</v>
      </c>
      <c r="E302" s="108"/>
      <c r="F302" s="127"/>
      <c r="G302" s="128"/>
      <c r="H302" s="45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62"/>
      <c r="P302" s="462"/>
      <c r="Q302" s="462"/>
      <c r="R302" s="462"/>
      <c r="S302" s="462"/>
      <c r="T302" s="462"/>
      <c r="U302" s="462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59" t="s">
        <v>186</v>
      </c>
      <c r="D303" s="108">
        <v>5.03</v>
      </c>
      <c r="E303" s="108"/>
      <c r="F303" s="127"/>
      <c r="G303" s="128"/>
      <c r="H303" s="45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62"/>
      <c r="P303" s="462"/>
      <c r="Q303" s="462"/>
      <c r="R303" s="462"/>
      <c r="S303" s="462"/>
      <c r="T303" s="462"/>
      <c r="U303" s="462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59" t="s">
        <v>228</v>
      </c>
      <c r="D304" s="108">
        <v>5.03</v>
      </c>
      <c r="E304" s="108"/>
      <c r="F304" s="127"/>
      <c r="G304" s="128"/>
      <c r="H304" s="45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62"/>
      <c r="P304" s="462"/>
      <c r="Q304" s="462"/>
      <c r="R304" s="462"/>
      <c r="S304" s="462"/>
      <c r="T304" s="462"/>
      <c r="U304" s="462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59" t="s">
        <v>199</v>
      </c>
      <c r="D305" s="108">
        <v>5.03</v>
      </c>
      <c r="E305" s="108"/>
      <c r="F305" s="127"/>
      <c r="G305" s="128"/>
      <c r="H305" s="454">
        <f t="shared" si="133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4"/>
        <v/>
      </c>
      <c r="N305" s="130">
        <f t="shared" si="135"/>
        <v>0</v>
      </c>
      <c r="O305" s="462"/>
      <c r="P305" s="462"/>
      <c r="Q305" s="462"/>
      <c r="R305" s="462"/>
      <c r="S305" s="462"/>
      <c r="T305" s="462"/>
      <c r="U305" s="462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>
        <v>42740</v>
      </c>
      <c r="G306" s="128">
        <f>90*3+79</f>
        <v>349</v>
      </c>
      <c r="H306" s="454">
        <f t="shared" si="133"/>
        <v>1765.9399999999998</v>
      </c>
      <c r="I306" s="129">
        <f>3.5*4</f>
        <v>14</v>
      </c>
      <c r="J306" s="130">
        <f t="array" ref="J306">IF(ISERROR(G306/I306),"",G306/I306)</f>
        <v>24.928571428571427</v>
      </c>
      <c r="K306" s="131">
        <f t="array" ref="K306">IF(ISERROR(G306/L306),"",G306/L306)</f>
        <v>13.96</v>
      </c>
      <c r="L306" s="129">
        <v>25</v>
      </c>
      <c r="M306" s="109">
        <f t="shared" si="134"/>
        <v>3.9999999999999147E-2</v>
      </c>
      <c r="N306" s="130">
        <f t="shared" si="135"/>
        <v>0</v>
      </c>
      <c r="O306" s="462"/>
      <c r="P306" s="462"/>
      <c r="Q306" s="462"/>
      <c r="R306" s="462"/>
      <c r="S306" s="462"/>
      <c r="T306" s="462"/>
      <c r="U306" s="462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28">
        <f>90*6+63</f>
        <v>603</v>
      </c>
      <c r="H307" s="454">
        <f t="shared" si="133"/>
        <v>3051.18</v>
      </c>
      <c r="I307" s="129">
        <f>8*4</f>
        <v>32</v>
      </c>
      <c r="J307" s="130">
        <f t="array" ref="J307">IF(ISERROR(G307/I307),"",G307/I307)</f>
        <v>18.84375</v>
      </c>
      <c r="K307" s="131">
        <f t="array" ref="K307">IF(ISERROR(G307/L307),"",G307/L307)</f>
        <v>24.12</v>
      </c>
      <c r="L307" s="129">
        <v>25</v>
      </c>
      <c r="M307" s="109">
        <f t="shared" si="134"/>
        <v>7.879999999999999</v>
      </c>
      <c r="N307" s="130">
        <f t="shared" si="135"/>
        <v>0</v>
      </c>
      <c r="O307" s="462"/>
      <c r="P307" s="462"/>
      <c r="Q307" s="462"/>
      <c r="R307" s="462"/>
      <c r="S307" s="462"/>
      <c r="T307" s="462"/>
      <c r="U307" s="462"/>
      <c r="V307" s="132">
        <f t="shared" si="136"/>
        <v>0</v>
      </c>
      <c r="W307" s="133">
        <f t="shared" si="131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463" t="s">
        <v>202</v>
      </c>
      <c r="D308" s="143"/>
      <c r="E308" s="143"/>
      <c r="F308" s="144"/>
      <c r="G308" s="145">
        <f>SUM(G293:G307)</f>
        <v>952</v>
      </c>
      <c r="H308" s="146">
        <f>SUM(H293:H307)</f>
        <v>4817.12</v>
      </c>
      <c r="I308" s="146">
        <f>SUM(I293:I307)</f>
        <v>46</v>
      </c>
      <c r="J308" s="130">
        <f t="array" ref="J308">IF(ISERROR(G308/I308),"",G308/I308)</f>
        <v>20.695652173913043</v>
      </c>
      <c r="K308" s="146">
        <f>SUM(K293:K307)</f>
        <v>38.08</v>
      </c>
      <c r="L308" s="146"/>
      <c r="M308" s="150">
        <f>SUM(M293:M307)</f>
        <v>7.9199999999999982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1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54">
        <f t="shared" ref="H309:H318" si="137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4" si="138">IF(ISERROR(I309-K309),"",I309-K309)</f>
        <v>0</v>
      </c>
      <c r="N309" s="130">
        <f t="shared" ref="N309:N313" si="139">SUM(O309:U309)</f>
        <v>0</v>
      </c>
      <c r="O309" s="462"/>
      <c r="P309" s="462"/>
      <c r="Q309" s="462"/>
      <c r="R309" s="462"/>
      <c r="S309" s="462"/>
      <c r="T309" s="462"/>
      <c r="U309" s="462"/>
      <c r="V309" s="132">
        <f t="shared" ref="V309:V313" si="140">SUM(X309:AA309)</f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5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62"/>
      <c r="P310" s="462"/>
      <c r="Q310" s="462"/>
      <c r="R310" s="462"/>
      <c r="S310" s="462"/>
      <c r="T310" s="462"/>
      <c r="U310" s="462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5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62"/>
      <c r="P311" s="462"/>
      <c r="Q311" s="462"/>
      <c r="R311" s="462"/>
      <c r="S311" s="462"/>
      <c r="T311" s="462"/>
      <c r="U311" s="462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5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62"/>
      <c r="P312" s="462"/>
      <c r="Q312" s="462"/>
      <c r="R312" s="462"/>
      <c r="S312" s="462"/>
      <c r="T312" s="462"/>
      <c r="U312" s="462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54">
        <f t="shared" si="137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8"/>
        <v>0</v>
      </c>
      <c r="N313" s="130">
        <f t="shared" si="139"/>
        <v>0</v>
      </c>
      <c r="O313" s="462"/>
      <c r="P313" s="462"/>
      <c r="Q313" s="462"/>
      <c r="R313" s="462"/>
      <c r="S313" s="462"/>
      <c r="T313" s="462"/>
      <c r="U313" s="462"/>
      <c r="V313" s="132">
        <f t="shared" si="140"/>
        <v>0</v>
      </c>
      <c r="W313" s="133" t="str">
        <f t="shared" si="131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90*3+70+90*3</f>
        <v>610</v>
      </c>
      <c r="H314" s="454">
        <f t="shared" si="137"/>
        <v>3068.3</v>
      </c>
      <c r="I314" s="129">
        <f>11.5*4</f>
        <v>46</v>
      </c>
      <c r="J314" s="130">
        <f t="array" ref="J314">IF(ISERROR(G314/I314),"",G314/I314)</f>
        <v>13.260869565217391</v>
      </c>
      <c r="K314" s="131">
        <f t="array" ref="K314">IF(ISERROR(G314/L314),"",G314/L314)</f>
        <v>45.185185185185183</v>
      </c>
      <c r="L314" s="129">
        <v>13.5</v>
      </c>
      <c r="M314" s="109">
        <f t="shared" si="138"/>
        <v>0.81481481481481666</v>
      </c>
      <c r="N314" s="130"/>
      <c r="O314" s="462"/>
      <c r="P314" s="462"/>
      <c r="Q314" s="462"/>
      <c r="R314" s="462"/>
      <c r="S314" s="462"/>
      <c r="T314" s="462"/>
      <c r="U314" s="462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516</v>
      </c>
      <c r="D315" s="108">
        <v>5.03</v>
      </c>
      <c r="E315" s="108"/>
      <c r="F315" s="127"/>
      <c r="G315" s="128"/>
      <c r="H315" s="454">
        <f t="shared" si="137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/>
      <c r="N315" s="130"/>
      <c r="O315" s="462"/>
      <c r="P315" s="462"/>
      <c r="Q315" s="462"/>
      <c r="R315" s="462"/>
      <c r="S315" s="462"/>
      <c r="T315" s="462"/>
      <c r="U315" s="462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517</v>
      </c>
      <c r="D316" s="108">
        <v>5.03</v>
      </c>
      <c r="E316" s="108"/>
      <c r="F316" s="127"/>
      <c r="G316" s="128"/>
      <c r="H316" s="45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13.5</v>
      </c>
      <c r="M316" s="109"/>
      <c r="N316" s="130"/>
      <c r="O316" s="462"/>
      <c r="P316" s="462"/>
      <c r="Q316" s="462"/>
      <c r="R316" s="462"/>
      <c r="S316" s="462"/>
      <c r="T316" s="462"/>
      <c r="U316" s="462"/>
      <c r="V316" s="132"/>
      <c r="W316" s="133"/>
      <c r="X316" s="132"/>
      <c r="Y316" s="132"/>
      <c r="Z316" s="132"/>
      <c r="AA316" s="132"/>
    </row>
    <row r="317" spans="1:27" ht="20.10000000000000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>
        <v>42737</v>
      </c>
      <c r="G317" s="128">
        <v>26</v>
      </c>
      <c r="H317" s="454">
        <f t="shared" si="137"/>
        <v>130.78</v>
      </c>
      <c r="I317" s="129">
        <v>2</v>
      </c>
      <c r="J317" s="130">
        <f t="array" ref="J317">IF(ISERROR(G317/I317),"",G317/I317)</f>
        <v>13</v>
      </c>
      <c r="K317" s="131">
        <f t="array" ref="K317">IF(ISERROR(G317/L317),"",G317/L317)</f>
        <v>1.9259259259259258</v>
      </c>
      <c r="L317" s="129">
        <v>13.5</v>
      </c>
      <c r="M317" s="109">
        <f t="shared" ref="M317" si="141">IF(ISERROR(I317-K317),"",I317-K317)</f>
        <v>7.4074074074074181E-2</v>
      </c>
      <c r="N317" s="130"/>
      <c r="O317" s="462"/>
      <c r="P317" s="462"/>
      <c r="Q317" s="462"/>
      <c r="R317" s="462"/>
      <c r="S317" s="462"/>
      <c r="T317" s="462"/>
      <c r="U317" s="462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54">
        <f t="shared" si="137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2">IF(ISERROR(I318-K318),"",I318-K318)</f>
        <v>0</v>
      </c>
      <c r="N318" s="130">
        <f t="shared" ref="N318" si="143">SUM(O318:U318)</f>
        <v>0</v>
      </c>
      <c r="O318" s="462"/>
      <c r="P318" s="462"/>
      <c r="Q318" s="462"/>
      <c r="R318" s="462"/>
      <c r="S318" s="462"/>
      <c r="T318" s="462"/>
      <c r="U318" s="462"/>
      <c r="V318" s="132">
        <f t="shared" ref="V318" si="144">SUM(X318:AA318)</f>
        <v>0</v>
      </c>
      <c r="W318" s="133" t="str">
        <f t="shared" ref="W318:W323" si="145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463" t="s">
        <v>202</v>
      </c>
      <c r="D319" s="143"/>
      <c r="E319" s="143"/>
      <c r="F319" s="144"/>
      <c r="G319" s="145">
        <f>SUM(G309:G318)</f>
        <v>636</v>
      </c>
      <c r="H319" s="146">
        <f>SUM(H309:H318)</f>
        <v>3199.0800000000004</v>
      </c>
      <c r="I319" s="146">
        <f>SUM(I309:I318)</f>
        <v>48</v>
      </c>
      <c r="J319" s="130">
        <f t="array" ref="J319">IF(ISERROR(G319/I319),"",G319/I319)</f>
        <v>13.25</v>
      </c>
      <c r="K319" s="146">
        <f>SUM(K309:K318)</f>
        <v>47.111111111111107</v>
      </c>
      <c r="L319" s="147"/>
      <c r="M319" s="150">
        <f>SUM(M309:M318)</f>
        <v>0.88888888888889084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5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60"/>
      <c r="D320" s="108">
        <v>3.65</v>
      </c>
      <c r="E320" s="108"/>
      <c r="F320" s="153"/>
      <c r="G320" s="128"/>
      <c r="H320" s="454">
        <f t="shared" ref="H320:H333" si="146">D320*G320</f>
        <v>0</v>
      </c>
      <c r="I320" s="129"/>
      <c r="J320" s="130" t="str">
        <f t="array" ref="J320">IF(ISERROR(G320/I320),"",G320/I320)</f>
        <v/>
      </c>
      <c r="K320" s="454">
        <f t="array" ref="K320">IF(ISERROR(G320/L320),"",G320/L320)</f>
        <v>0</v>
      </c>
      <c r="L320" s="129">
        <v>5</v>
      </c>
      <c r="M320" s="109">
        <f t="shared" ref="M320:M323" si="147">IF(ISERROR(I320-K320),"",I320-K320)</f>
        <v>0</v>
      </c>
      <c r="N320" s="130">
        <f t="shared" ref="N320:N323" si="148">SUM(O320:U320)</f>
        <v>0</v>
      </c>
      <c r="O320" s="462"/>
      <c r="P320" s="462"/>
      <c r="Q320" s="462"/>
      <c r="R320" s="462"/>
      <c r="S320" s="462"/>
      <c r="T320" s="462"/>
      <c r="U320" s="462"/>
      <c r="V320" s="132">
        <f t="shared" ref="V320:V323" si="149">SUM(X320:AA320)</f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60"/>
      <c r="D321" s="108">
        <v>6.58</v>
      </c>
      <c r="E321" s="108"/>
      <c r="F321" s="127">
        <v>42738</v>
      </c>
      <c r="G321" s="128">
        <f>33+4+36+30</f>
        <v>103</v>
      </c>
      <c r="H321" s="454">
        <f t="shared" si="146"/>
        <v>677.74</v>
      </c>
      <c r="I321" s="129">
        <v>21</v>
      </c>
      <c r="J321" s="130">
        <f t="array" ref="J321">IF(ISERROR(G321/I321),"",G321/I321)</f>
        <v>4.9047619047619051</v>
      </c>
      <c r="K321" s="131">
        <f t="array" ref="K321">IF(ISERROR(G321/L321),"",G321/L321)</f>
        <v>20.6</v>
      </c>
      <c r="L321" s="129">
        <v>5</v>
      </c>
      <c r="M321" s="109">
        <f t="shared" si="147"/>
        <v>0.39999999999999858</v>
      </c>
      <c r="N321" s="130">
        <f t="shared" si="148"/>
        <v>0</v>
      </c>
      <c r="O321" s="462"/>
      <c r="P321" s="462"/>
      <c r="Q321" s="462"/>
      <c r="R321" s="462"/>
      <c r="S321" s="462"/>
      <c r="T321" s="462"/>
      <c r="U321" s="462"/>
      <c r="V321" s="132">
        <f t="shared" si="149"/>
        <v>0</v>
      </c>
      <c r="W321" s="133">
        <f t="shared" si="145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60"/>
      <c r="D322" s="108">
        <v>7.8</v>
      </c>
      <c r="E322" s="108"/>
      <c r="F322" s="127">
        <v>42738</v>
      </c>
      <c r="G322" s="128">
        <f>32+19+17</f>
        <v>68</v>
      </c>
      <c r="H322" s="454">
        <f t="shared" si="146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7"/>
        <v>0.21739130434782439</v>
      </c>
      <c r="N322" s="130">
        <f t="shared" si="148"/>
        <v>0</v>
      </c>
      <c r="O322" s="462"/>
      <c r="P322" s="462"/>
      <c r="Q322" s="462"/>
      <c r="R322" s="462"/>
      <c r="S322" s="462"/>
      <c r="T322" s="462"/>
      <c r="U322" s="462"/>
      <c r="V322" s="132">
        <f t="shared" si="149"/>
        <v>0</v>
      </c>
      <c r="W322" s="133">
        <f t="shared" si="145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60"/>
      <c r="D323" s="108">
        <v>4.4000000000000004</v>
      </c>
      <c r="E323" s="108"/>
      <c r="F323" s="127"/>
      <c r="G323" s="128"/>
      <c r="H323" s="454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7"/>
        <v>0</v>
      </c>
      <c r="N323" s="130">
        <f t="shared" si="148"/>
        <v>0</v>
      </c>
      <c r="O323" s="462"/>
      <c r="P323" s="462"/>
      <c r="Q323" s="462"/>
      <c r="R323" s="462"/>
      <c r="S323" s="462"/>
      <c r="T323" s="462"/>
      <c r="U323" s="462"/>
      <c r="V323" s="132">
        <f t="shared" si="149"/>
        <v>0</v>
      </c>
      <c r="W323" s="133" t="str">
        <f t="shared" si="145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60"/>
      <c r="D324" s="108"/>
      <c r="E324" s="108"/>
      <c r="F324" s="127"/>
      <c r="G324" s="128"/>
      <c r="H324" s="454">
        <f t="shared" si="146"/>
        <v>0</v>
      </c>
      <c r="I324" s="129"/>
      <c r="J324" s="130"/>
      <c r="K324" s="131"/>
      <c r="L324" s="129">
        <v>6</v>
      </c>
      <c r="M324" s="109"/>
      <c r="N324" s="130"/>
      <c r="O324" s="462"/>
      <c r="P324" s="462"/>
      <c r="Q324" s="462"/>
      <c r="R324" s="462"/>
      <c r="S324" s="462"/>
      <c r="T324" s="462"/>
      <c r="U324" s="462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60" t="s">
        <v>239</v>
      </c>
      <c r="C325" s="460" t="s">
        <v>179</v>
      </c>
      <c r="D325" s="108">
        <v>6.04</v>
      </c>
      <c r="E325" s="108"/>
      <c r="F325" s="127"/>
      <c r="G325" s="128"/>
      <c r="H325" s="454">
        <f t="shared" si="146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50">IF(ISERROR(I325-K325),"",I325-K325)</f>
        <v>0</v>
      </c>
      <c r="N325" s="130">
        <f t="shared" ref="N325:N326" si="151">SUM(O325:U325)</f>
        <v>0</v>
      </c>
      <c r="O325" s="462"/>
      <c r="P325" s="462"/>
      <c r="Q325" s="462"/>
      <c r="R325" s="462"/>
      <c r="S325" s="462"/>
      <c r="T325" s="462"/>
      <c r="U325" s="462"/>
      <c r="V325" s="132">
        <f t="shared" ref="V325:V326" si="152">SUM(X325:AA325)</f>
        <v>0</v>
      </c>
      <c r="W325" s="133" t="str">
        <f t="shared" ref="W325:W326" si="153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60" t="s">
        <v>239</v>
      </c>
      <c r="C326" s="460" t="s">
        <v>186</v>
      </c>
      <c r="D326" s="108">
        <v>6.04</v>
      </c>
      <c r="E326" s="108"/>
      <c r="F326" s="127"/>
      <c r="G326" s="128"/>
      <c r="H326" s="454">
        <f t="shared" si="146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50"/>
        <v>0</v>
      </c>
      <c r="N326" s="130">
        <f t="shared" si="151"/>
        <v>0</v>
      </c>
      <c r="O326" s="462"/>
      <c r="P326" s="462"/>
      <c r="Q326" s="462"/>
      <c r="R326" s="462"/>
      <c r="S326" s="462"/>
      <c r="T326" s="462"/>
      <c r="U326" s="462"/>
      <c r="V326" s="132">
        <f t="shared" si="152"/>
        <v>0</v>
      </c>
      <c r="W326" s="133" t="str">
        <f t="shared" si="153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60" t="s">
        <v>443</v>
      </c>
      <c r="C327" s="460" t="s">
        <v>179</v>
      </c>
      <c r="D327" s="108">
        <v>6</v>
      </c>
      <c r="E327" s="108"/>
      <c r="F327" s="127"/>
      <c r="G327" s="128"/>
      <c r="H327" s="454">
        <f t="shared" si="146"/>
        <v>0</v>
      </c>
      <c r="I327" s="129"/>
      <c r="J327" s="130"/>
      <c r="K327" s="131"/>
      <c r="L327" s="129"/>
      <c r="M327" s="109"/>
      <c r="N327" s="130"/>
      <c r="O327" s="462"/>
      <c r="P327" s="462"/>
      <c r="Q327" s="462"/>
      <c r="R327" s="462"/>
      <c r="S327" s="462"/>
      <c r="T327" s="462"/>
      <c r="U327" s="462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60" t="s">
        <v>443</v>
      </c>
      <c r="C328" s="460" t="s">
        <v>445</v>
      </c>
      <c r="D328" s="108">
        <v>6</v>
      </c>
      <c r="E328" s="108"/>
      <c r="F328" s="127"/>
      <c r="G328" s="128"/>
      <c r="H328" s="454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62"/>
      <c r="P328" s="462"/>
      <c r="Q328" s="462"/>
      <c r="R328" s="462"/>
      <c r="S328" s="462"/>
      <c r="T328" s="462"/>
      <c r="U328" s="462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53" t="s">
        <v>240</v>
      </c>
      <c r="C329" s="126"/>
      <c r="D329" s="108">
        <v>7.3</v>
      </c>
      <c r="E329" s="108"/>
      <c r="F329" s="127"/>
      <c r="G329" s="128"/>
      <c r="H329" s="454">
        <f t="shared" si="146"/>
        <v>0</v>
      </c>
      <c r="I329" s="129"/>
      <c r="J329" s="130"/>
      <c r="K329" s="131"/>
      <c r="L329" s="129"/>
      <c r="M329" s="109"/>
      <c r="N329" s="130"/>
      <c r="O329" s="462"/>
      <c r="P329" s="462"/>
      <c r="Q329" s="462"/>
      <c r="R329" s="462"/>
      <c r="S329" s="462"/>
      <c r="T329" s="462"/>
      <c r="U329" s="462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53" t="s">
        <v>241</v>
      </c>
      <c r="C330" s="126"/>
      <c r="D330" s="108">
        <f>78*120/1000</f>
        <v>9.36</v>
      </c>
      <c r="E330" s="108"/>
      <c r="F330" s="127"/>
      <c r="G330" s="128"/>
      <c r="H330" s="454">
        <f t="shared" si="146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4">SUM(O330:U330)</f>
        <v>0</v>
      </c>
      <c r="O330" s="462"/>
      <c r="P330" s="462"/>
      <c r="Q330" s="462"/>
      <c r="R330" s="462"/>
      <c r="S330" s="462"/>
      <c r="T330" s="462"/>
      <c r="U330" s="462"/>
      <c r="V330" s="132">
        <f t="shared" ref="V330" si="155">SUM(X330:AA330)</f>
        <v>0</v>
      </c>
      <c r="W330" s="133" t="str">
        <f t="shared" ref="W330" si="156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53" t="s">
        <v>242</v>
      </c>
      <c r="C331" s="126"/>
      <c r="D331" s="108">
        <v>4.5</v>
      </c>
      <c r="E331" s="108"/>
      <c r="F331" s="127"/>
      <c r="G331" s="128"/>
      <c r="H331" s="454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62"/>
      <c r="P331" s="462"/>
      <c r="Q331" s="462"/>
      <c r="R331" s="462"/>
      <c r="S331" s="462"/>
      <c r="T331" s="462"/>
      <c r="U331" s="462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53" t="s">
        <v>243</v>
      </c>
      <c r="C332" s="126"/>
      <c r="D332" s="108">
        <v>4.5</v>
      </c>
      <c r="E332" s="108"/>
      <c r="F332" s="127"/>
      <c r="G332" s="128"/>
      <c r="H332" s="454">
        <f t="shared" si="146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62"/>
      <c r="P332" s="462"/>
      <c r="Q332" s="462"/>
      <c r="R332" s="462"/>
      <c r="S332" s="462"/>
      <c r="T332" s="462"/>
      <c r="U332" s="462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54">
        <f t="shared" si="146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62"/>
      <c r="P333" s="462"/>
      <c r="Q333" s="462"/>
      <c r="R333" s="462"/>
      <c r="S333" s="462"/>
      <c r="T333" s="462"/>
      <c r="U333" s="462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463" t="s">
        <v>202</v>
      </c>
      <c r="D334" s="143"/>
      <c r="E334" s="143"/>
      <c r="F334" s="144"/>
      <c r="G334" s="145">
        <f>SUM(G320:G333)</f>
        <v>171</v>
      </c>
      <c r="H334" s="146">
        <f>SUM(H320:H330)</f>
        <v>1208.1399999999999</v>
      </c>
      <c r="I334" s="146">
        <f>SUM(I320:I333)</f>
        <v>36</v>
      </c>
      <c r="J334" s="130"/>
      <c r="K334" s="146">
        <f>SUM(K320:K330)</f>
        <v>35.382608695652181</v>
      </c>
      <c r="L334" s="147"/>
      <c r="M334" s="150">
        <f t="shared" ref="M334:AA334" si="157">SUM(M320:M330)</f>
        <v>0.61739130434782297</v>
      </c>
      <c r="N334" s="146">
        <f t="shared" si="157"/>
        <v>0</v>
      </c>
      <c r="O334" s="148">
        <f t="shared" si="157"/>
        <v>0</v>
      </c>
      <c r="P334" s="148">
        <f t="shared" si="157"/>
        <v>0</v>
      </c>
      <c r="Q334" s="148">
        <f t="shared" si="157"/>
        <v>0</v>
      </c>
      <c r="R334" s="148">
        <f t="shared" si="157"/>
        <v>0</v>
      </c>
      <c r="S334" s="148">
        <f t="shared" si="157"/>
        <v>0</v>
      </c>
      <c r="T334" s="148">
        <f t="shared" si="157"/>
        <v>0</v>
      </c>
      <c r="U334" s="148">
        <f t="shared" si="157"/>
        <v>0</v>
      </c>
      <c r="V334" s="149">
        <f t="shared" si="157"/>
        <v>0</v>
      </c>
      <c r="W334" s="133">
        <f t="shared" si="157"/>
        <v>0</v>
      </c>
      <c r="X334" s="149">
        <f t="shared" si="157"/>
        <v>0</v>
      </c>
      <c r="Y334" s="149">
        <f t="shared" si="157"/>
        <v>0</v>
      </c>
      <c r="Z334" s="149">
        <f t="shared" si="157"/>
        <v>0</v>
      </c>
      <c r="AA334" s="149">
        <f t="shared" si="157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5951</v>
      </c>
      <c r="H335" s="154">
        <f>SUM(H199,H257,H292,H308,H319,H334)</f>
        <v>30359.000000000004</v>
      </c>
      <c r="I335" s="154">
        <f>SUM(I199,I257,I292,I308,I319,I334)</f>
        <v>315.57</v>
      </c>
      <c r="J335" s="155">
        <f t="array" ref="J335">IF(ISERROR(G335/I335),"",G335/I335)</f>
        <v>18.857939601356275</v>
      </c>
      <c r="K335" s="154">
        <f>SUM(K199,K257,K292,K308,K319,K334)</f>
        <v>288.04240403375172</v>
      </c>
      <c r="L335" s="155">
        <f>IF(ISERROR(G335/K335),"",G335/K335)</f>
        <v>20.66015252151098</v>
      </c>
      <c r="M335" s="154">
        <f t="shared" ref="M335:AA335" si="158">SUM(M199,M257,M292,M308,M319,M334)</f>
        <v>27.527595966248274</v>
      </c>
      <c r="N335" s="154">
        <f t="shared" si="158"/>
        <v>0</v>
      </c>
      <c r="O335" s="154">
        <f t="shared" si="158"/>
        <v>0</v>
      </c>
      <c r="P335" s="154">
        <f t="shared" si="158"/>
        <v>0</v>
      </c>
      <c r="Q335" s="154">
        <f t="shared" si="158"/>
        <v>0</v>
      </c>
      <c r="R335" s="154">
        <f t="shared" si="158"/>
        <v>0</v>
      </c>
      <c r="S335" s="154">
        <f t="shared" si="158"/>
        <v>0</v>
      </c>
      <c r="T335" s="154">
        <f t="shared" si="158"/>
        <v>0</v>
      </c>
      <c r="U335" s="154">
        <f t="shared" si="158"/>
        <v>0</v>
      </c>
      <c r="V335" s="154">
        <f t="shared" si="158"/>
        <v>0</v>
      </c>
      <c r="W335" s="154">
        <f t="shared" si="158"/>
        <v>0</v>
      </c>
      <c r="X335" s="154">
        <f t="shared" si="158"/>
        <v>0</v>
      </c>
      <c r="Y335" s="154">
        <f t="shared" si="158"/>
        <v>0</v>
      </c>
      <c r="Z335" s="154">
        <f t="shared" si="158"/>
        <v>0</v>
      </c>
      <c r="AA335" s="154">
        <f t="shared" si="158"/>
        <v>0</v>
      </c>
    </row>
    <row r="336" spans="1:27" ht="20.100000000000001" customHeight="1">
      <c r="A336" s="623" t="s">
        <v>476</v>
      </c>
      <c r="B336" s="456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456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456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456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456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456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456">
        <f>G335</f>
        <v>5951</v>
      </c>
      <c r="C342" s="638" t="s">
        <v>269</v>
      </c>
      <c r="D342" s="639"/>
      <c r="E342" s="631">
        <f>H335</f>
        <v>30359.000000000004</v>
      </c>
      <c r="F342" s="631"/>
      <c r="G342" s="631" t="s">
        <v>270</v>
      </c>
      <c r="H342" s="631"/>
      <c r="I342" s="640">
        <f>L335</f>
        <v>20.66015252151098</v>
      </c>
      <c r="J342" s="640"/>
      <c r="K342" s="628" t="s">
        <v>271</v>
      </c>
      <c r="L342" s="628"/>
      <c r="M342" s="640">
        <f>J335</f>
        <v>18.857939601356275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456">
        <f>I335+C341</f>
        <v>317.57</v>
      </c>
      <c r="C343" s="641" t="s">
        <v>251</v>
      </c>
      <c r="D343" s="642"/>
      <c r="E343" s="643">
        <f>K335+I341</f>
        <v>318.04240403375172</v>
      </c>
      <c r="F343" s="643"/>
      <c r="G343" s="631" t="s">
        <v>274</v>
      </c>
      <c r="H343" s="631"/>
      <c r="I343" s="640">
        <f>B343-E343</f>
        <v>-0.47240403375172946</v>
      </c>
      <c r="J343" s="640"/>
      <c r="K343" s="628" t="s">
        <v>275</v>
      </c>
      <c r="L343" s="628"/>
      <c r="M343" s="632">
        <f>IF(ISERROR(I343/E343),"",I343/E343)</f>
        <v>-1.4853492105461395E-3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456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296</v>
      </c>
      <c r="H348" s="460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453" t="s">
        <v>178</v>
      </c>
      <c r="C349" s="126" t="s">
        <v>179</v>
      </c>
      <c r="D349" s="108">
        <v>5.03</v>
      </c>
      <c r="E349" s="108"/>
      <c r="F349" s="127"/>
      <c r="G349" s="128"/>
      <c r="H349" s="454">
        <f t="shared" ref="H349:H369" si="159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60">IF(ISERROR(I349-K349),"",I349-K349)</f>
        <v>0</v>
      </c>
      <c r="N349" s="130">
        <f t="shared" ref="N349:N354" si="161">SUM(O349:U349)</f>
        <v>0</v>
      </c>
      <c r="O349" s="462"/>
      <c r="P349" s="462"/>
      <c r="Q349" s="462"/>
      <c r="R349" s="462"/>
      <c r="S349" s="462"/>
      <c r="T349" s="462"/>
      <c r="U349" s="462"/>
      <c r="V349" s="132">
        <f t="shared" ref="V349:V354" si="162">SUM(X349:AA349)</f>
        <v>0</v>
      </c>
      <c r="W349" s="133" t="str">
        <f t="shared" ref="W349:W354" si="163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54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62"/>
      <c r="P350" s="462"/>
      <c r="Q350" s="462"/>
      <c r="R350" s="462"/>
      <c r="S350" s="462"/>
      <c r="T350" s="462"/>
      <c r="U350" s="462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54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60"/>
        <v>0</v>
      </c>
      <c r="N351" s="130">
        <f t="shared" si="161"/>
        <v>0</v>
      </c>
      <c r="O351" s="462"/>
      <c r="P351" s="462"/>
      <c r="Q351" s="462"/>
      <c r="R351" s="462"/>
      <c r="S351" s="462"/>
      <c r="T351" s="462"/>
      <c r="U351" s="462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54">
        <f t="shared" si="159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62"/>
      <c r="P352" s="462"/>
      <c r="Q352" s="462"/>
      <c r="R352" s="462"/>
      <c r="S352" s="462"/>
      <c r="T352" s="462"/>
      <c r="U352" s="462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54">
        <f t="shared" si="159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60"/>
        <v>0</v>
      </c>
      <c r="N353" s="130">
        <f t="shared" si="161"/>
        <v>0</v>
      </c>
      <c r="O353" s="462"/>
      <c r="P353" s="462"/>
      <c r="Q353" s="462"/>
      <c r="R353" s="462"/>
      <c r="S353" s="462"/>
      <c r="T353" s="462"/>
      <c r="U353" s="462"/>
      <c r="V353" s="132">
        <f t="shared" si="162"/>
        <v>0</v>
      </c>
      <c r="W353" s="133" t="str">
        <f t="shared" si="163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54">
        <f t="shared" si="159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60"/>
        <v>0</v>
      </c>
      <c r="N354" s="130">
        <f t="shared" si="161"/>
        <v>0</v>
      </c>
      <c r="O354" s="462"/>
      <c r="P354" s="462"/>
      <c r="Q354" s="462"/>
      <c r="R354" s="462"/>
      <c r="S354" s="462"/>
      <c r="T354" s="462"/>
      <c r="U354" s="462"/>
      <c r="V354" s="132">
        <f t="shared" si="162"/>
        <v>0</v>
      </c>
      <c r="W354" s="133" t="str">
        <f t="shared" si="163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54">
        <f t="shared" si="159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60"/>
        <v>0</v>
      </c>
      <c r="N355" s="130"/>
      <c r="O355" s="462"/>
      <c r="P355" s="462"/>
      <c r="Q355" s="462"/>
      <c r="R355" s="462"/>
      <c r="S355" s="462"/>
      <c r="T355" s="462"/>
      <c r="U355" s="462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54">
        <f t="shared" si="159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60"/>
        <v>0</v>
      </c>
      <c r="N356" s="130"/>
      <c r="O356" s="462"/>
      <c r="P356" s="462"/>
      <c r="Q356" s="462"/>
      <c r="R356" s="462"/>
      <c r="S356" s="462"/>
      <c r="T356" s="462"/>
      <c r="U356" s="462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54">
        <f t="shared" si="159"/>
        <v>0</v>
      </c>
      <c r="I357" s="454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60"/>
        <v>0</v>
      </c>
      <c r="N357" s="130">
        <f>SUM(O357:U357)</f>
        <v>0</v>
      </c>
      <c r="O357" s="462"/>
      <c r="P357" s="462"/>
      <c r="Q357" s="462"/>
      <c r="R357" s="462"/>
      <c r="S357" s="462"/>
      <c r="T357" s="462"/>
      <c r="U357" s="462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54">
        <f t="shared" si="159"/>
        <v>0</v>
      </c>
      <c r="I358" s="454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60"/>
        <v>0</v>
      </c>
      <c r="N358" s="130">
        <f>SUM(O358:U358)</f>
        <v>0</v>
      </c>
      <c r="O358" s="462"/>
      <c r="P358" s="462"/>
      <c r="Q358" s="462"/>
      <c r="R358" s="462"/>
      <c r="S358" s="462"/>
      <c r="T358" s="462"/>
      <c r="U358" s="462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466</v>
      </c>
      <c r="C359" s="126" t="s">
        <v>192</v>
      </c>
      <c r="D359" s="108">
        <v>5.03</v>
      </c>
      <c r="E359" s="108"/>
      <c r="F359" s="126"/>
      <c r="G359" s="128"/>
      <c r="H359" s="454">
        <f t="shared" si="159"/>
        <v>0</v>
      </c>
      <c r="I359" s="454"/>
      <c r="J359" s="130"/>
      <c r="K359" s="131"/>
      <c r="L359" s="129"/>
      <c r="M359" s="109"/>
      <c r="N359" s="130"/>
      <c r="O359" s="462"/>
      <c r="P359" s="462"/>
      <c r="Q359" s="462"/>
      <c r="R359" s="462"/>
      <c r="S359" s="462"/>
      <c r="T359" s="462"/>
      <c r="U359" s="462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466</v>
      </c>
      <c r="C360" s="126" t="s">
        <v>193</v>
      </c>
      <c r="D360" s="108">
        <v>5.03</v>
      </c>
      <c r="E360" s="108"/>
      <c r="F360" s="126"/>
      <c r="G360" s="128"/>
      <c r="H360" s="454">
        <f t="shared" si="159"/>
        <v>0</v>
      </c>
      <c r="I360" s="454"/>
      <c r="J360" s="130"/>
      <c r="K360" s="131"/>
      <c r="L360" s="129"/>
      <c r="M360" s="109"/>
      <c r="N360" s="130"/>
      <c r="O360" s="462"/>
      <c r="P360" s="462"/>
      <c r="Q360" s="462"/>
      <c r="R360" s="462"/>
      <c r="S360" s="462"/>
      <c r="T360" s="462"/>
      <c r="U360" s="462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54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4">IF(ISERROR(I361-K361),"",I361-K361)</f>
        <v>0</v>
      </c>
      <c r="N361" s="130">
        <f t="shared" ref="N361:N363" si="165">SUM(O361:U361)</f>
        <v>0</v>
      </c>
      <c r="O361" s="462"/>
      <c r="P361" s="462"/>
      <c r="Q361" s="462"/>
      <c r="R361" s="462"/>
      <c r="S361" s="462"/>
      <c r="T361" s="462"/>
      <c r="U361" s="462"/>
      <c r="V361" s="132">
        <f t="shared" ref="V361:V363" si="166">SUM(X361:AA361)</f>
        <v>0</v>
      </c>
      <c r="W361" s="133" t="str">
        <f t="shared" ref="W361:W363" si="167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54">
        <f t="shared" si="159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4"/>
        <v>0</v>
      </c>
      <c r="N362" s="130">
        <f t="shared" si="165"/>
        <v>0</v>
      </c>
      <c r="O362" s="462"/>
      <c r="P362" s="462"/>
      <c r="Q362" s="462"/>
      <c r="R362" s="462"/>
      <c r="S362" s="462"/>
      <c r="T362" s="462"/>
      <c r="U362" s="462"/>
      <c r="V362" s="132">
        <f t="shared" si="166"/>
        <v>0</v>
      </c>
      <c r="W362" s="133" t="str">
        <f t="shared" si="167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54">
        <f t="shared" si="159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4"/>
        <v>0</v>
      </c>
      <c r="N363" s="130">
        <f t="shared" si="165"/>
        <v>0</v>
      </c>
      <c r="O363" s="462"/>
      <c r="P363" s="462"/>
      <c r="Q363" s="462"/>
      <c r="R363" s="462"/>
      <c r="S363" s="462"/>
      <c r="T363" s="462"/>
      <c r="U363" s="462"/>
      <c r="V363" s="132">
        <f t="shared" si="166"/>
        <v>0</v>
      </c>
      <c r="W363" s="133" t="str">
        <f t="shared" si="167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60" t="s">
        <v>190</v>
      </c>
      <c r="D364" s="108">
        <v>4.8</v>
      </c>
      <c r="E364" s="108"/>
      <c r="F364" s="127"/>
      <c r="G364" s="128"/>
      <c r="H364" s="454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62"/>
      <c r="P364" s="462"/>
      <c r="Q364" s="462"/>
      <c r="R364" s="462"/>
      <c r="S364" s="462"/>
      <c r="T364" s="462"/>
      <c r="U364" s="462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60" t="s">
        <v>187</v>
      </c>
      <c r="D365" s="108">
        <v>4.8</v>
      </c>
      <c r="E365" s="108"/>
      <c r="F365" s="127"/>
      <c r="G365" s="128"/>
      <c r="H365" s="454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62"/>
      <c r="P365" s="462"/>
      <c r="Q365" s="462"/>
      <c r="R365" s="462"/>
      <c r="S365" s="462"/>
      <c r="T365" s="462"/>
      <c r="U365" s="462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60" t="s">
        <v>179</v>
      </c>
      <c r="D366" s="108">
        <v>4.8</v>
      </c>
      <c r="E366" s="108"/>
      <c r="F366" s="127"/>
      <c r="G366" s="128"/>
      <c r="H366" s="454">
        <f t="shared" si="159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4"/>
        <v>0</v>
      </c>
      <c r="N366" s="130"/>
      <c r="O366" s="462"/>
      <c r="P366" s="462"/>
      <c r="Q366" s="462"/>
      <c r="R366" s="462"/>
      <c r="S366" s="462"/>
      <c r="T366" s="462"/>
      <c r="U366" s="462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60" t="s">
        <v>199</v>
      </c>
      <c r="D367" s="108">
        <v>4.8</v>
      </c>
      <c r="E367" s="108"/>
      <c r="F367" s="127"/>
      <c r="G367" s="128"/>
      <c r="H367" s="454">
        <f t="shared" si="159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4"/>
        <v>0</v>
      </c>
      <c r="N367" s="130"/>
      <c r="O367" s="462"/>
      <c r="P367" s="462"/>
      <c r="Q367" s="462"/>
      <c r="R367" s="462"/>
      <c r="S367" s="462"/>
      <c r="T367" s="462"/>
      <c r="U367" s="462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54">
        <f t="shared" si="159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4"/>
        <v>0</v>
      </c>
      <c r="N368" s="130">
        <f t="shared" ref="N368:N369" si="168">SUM(O368:U368)</f>
        <v>0</v>
      </c>
      <c r="O368" s="462"/>
      <c r="P368" s="462"/>
      <c r="Q368" s="462"/>
      <c r="R368" s="462"/>
      <c r="S368" s="462"/>
      <c r="T368" s="462"/>
      <c r="U368" s="462"/>
      <c r="V368" s="132">
        <f t="shared" ref="V368:V369" si="169">SUM(X368:AA368)</f>
        <v>0</v>
      </c>
      <c r="W368" s="133" t="str">
        <f t="shared" ref="W368:W369" si="170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54">
        <f t="shared" si="159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4"/>
        <v>0</v>
      </c>
      <c r="N369" s="130">
        <f t="shared" si="168"/>
        <v>0</v>
      </c>
      <c r="O369" s="462"/>
      <c r="P369" s="462"/>
      <c r="Q369" s="462"/>
      <c r="R369" s="462"/>
      <c r="S369" s="462"/>
      <c r="T369" s="462"/>
      <c r="U369" s="462"/>
      <c r="V369" s="132">
        <f t="shared" si="169"/>
        <v>0</v>
      </c>
      <c r="W369" s="133" t="str">
        <f t="shared" si="170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463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71">SUM(M349:M369)</f>
        <v>0</v>
      </c>
      <c r="N370" s="146">
        <f t="shared" si="171"/>
        <v>0</v>
      </c>
      <c r="O370" s="148">
        <f t="shared" si="171"/>
        <v>0</v>
      </c>
      <c r="P370" s="148">
        <f t="shared" si="171"/>
        <v>0</v>
      </c>
      <c r="Q370" s="148">
        <f t="shared" si="171"/>
        <v>0</v>
      </c>
      <c r="R370" s="148">
        <f t="shared" si="171"/>
        <v>0</v>
      </c>
      <c r="S370" s="148">
        <f t="shared" si="171"/>
        <v>0</v>
      </c>
      <c r="T370" s="148">
        <f t="shared" si="171"/>
        <v>0</v>
      </c>
      <c r="U370" s="148">
        <f t="shared" si="171"/>
        <v>0</v>
      </c>
      <c r="V370" s="149">
        <f t="shared" si="171"/>
        <v>0</v>
      </c>
      <c r="W370" s="133">
        <f t="shared" si="171"/>
        <v>0</v>
      </c>
      <c r="X370" s="149">
        <f t="shared" si="171"/>
        <v>0</v>
      </c>
      <c r="Y370" s="149">
        <f t="shared" si="171"/>
        <v>0</v>
      </c>
      <c r="Z370" s="149">
        <f t="shared" si="171"/>
        <v>0</v>
      </c>
      <c r="AA370" s="149">
        <f t="shared" si="171"/>
        <v>0</v>
      </c>
    </row>
    <row r="371" spans="1:27" ht="20.100000000000001" hidden="1" customHeight="1">
      <c r="A371" s="300">
        <v>30100012</v>
      </c>
      <c r="B371" s="453" t="s">
        <v>206</v>
      </c>
      <c r="C371" s="126" t="s">
        <v>199</v>
      </c>
      <c r="D371" s="108">
        <v>5.03</v>
      </c>
      <c r="E371" s="108"/>
      <c r="F371" s="127"/>
      <c r="G371" s="128"/>
      <c r="H371" s="454">
        <f t="shared" ref="H371:H427" si="172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3">IF(ISERROR(I371-K371),"",I371-K371)</f>
        <v>0</v>
      </c>
      <c r="N371" s="130">
        <f t="shared" ref="N371" si="174">SUM(O371:U371)</f>
        <v>0</v>
      </c>
      <c r="O371" s="458"/>
      <c r="P371" s="458"/>
      <c r="Q371" s="458"/>
      <c r="R371" s="458"/>
      <c r="S371" s="458"/>
      <c r="T371" s="458"/>
      <c r="U371" s="458"/>
      <c r="V371" s="132">
        <f t="shared" ref="V371" si="175">SUM(X371:AA371)</f>
        <v>0</v>
      </c>
      <c r="W371" s="133" t="str">
        <f t="shared" ref="W371" si="176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53" t="s">
        <v>425</v>
      </c>
      <c r="C372" s="187" t="s">
        <v>428</v>
      </c>
      <c r="D372" s="108">
        <v>5.03</v>
      </c>
      <c r="E372" s="108"/>
      <c r="F372" s="127"/>
      <c r="G372" s="128"/>
      <c r="H372" s="454">
        <f t="shared" si="172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58"/>
      <c r="P372" s="458"/>
      <c r="Q372" s="458"/>
      <c r="R372" s="458"/>
      <c r="S372" s="458"/>
      <c r="T372" s="458"/>
      <c r="U372" s="458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53" t="s">
        <v>206</v>
      </c>
      <c r="C373" s="126" t="s">
        <v>186</v>
      </c>
      <c r="D373" s="108">
        <v>5.03</v>
      </c>
      <c r="E373" s="108"/>
      <c r="F373" s="127"/>
      <c r="G373" s="128"/>
      <c r="H373" s="454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7">IF(ISERROR(I373-K373),"",I373-K373)</f>
        <v>0</v>
      </c>
      <c r="N373" s="130">
        <f t="shared" ref="N373:N375" si="178">SUM(O373:U373)</f>
        <v>0</v>
      </c>
      <c r="O373" s="458"/>
      <c r="P373" s="458"/>
      <c r="Q373" s="458"/>
      <c r="R373" s="458"/>
      <c r="S373" s="458"/>
      <c r="T373" s="458"/>
      <c r="U373" s="458"/>
      <c r="V373" s="132">
        <f t="shared" ref="V373:V375" si="179">SUM(X373:AA373)</f>
        <v>0</v>
      </c>
      <c r="W373" s="133" t="str">
        <f t="shared" ref="W373:W375" si="180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53" t="s">
        <v>206</v>
      </c>
      <c r="C374" s="126" t="s">
        <v>203</v>
      </c>
      <c r="D374" s="108">
        <v>5.03</v>
      </c>
      <c r="E374" s="108"/>
      <c r="F374" s="127"/>
      <c r="G374" s="128"/>
      <c r="H374" s="454">
        <f t="shared" si="172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>
        <f t="shared" si="178"/>
        <v>0</v>
      </c>
      <c r="O374" s="458"/>
      <c r="P374" s="458"/>
      <c r="Q374" s="458"/>
      <c r="R374" s="458"/>
      <c r="S374" s="458"/>
      <c r="T374" s="458"/>
      <c r="U374" s="458"/>
      <c r="V374" s="132">
        <f t="shared" si="179"/>
        <v>0</v>
      </c>
      <c r="W374" s="133" t="str">
        <f t="shared" si="180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53" t="s">
        <v>206</v>
      </c>
      <c r="C375" s="126" t="s">
        <v>207</v>
      </c>
      <c r="D375" s="108">
        <v>5.03</v>
      </c>
      <c r="E375" s="108"/>
      <c r="F375" s="127"/>
      <c r="G375" s="128"/>
      <c r="H375" s="454">
        <f t="shared" si="172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>
        <f t="shared" si="178"/>
        <v>0</v>
      </c>
      <c r="O375" s="458"/>
      <c r="P375" s="458"/>
      <c r="Q375" s="458"/>
      <c r="R375" s="458"/>
      <c r="S375" s="458"/>
      <c r="T375" s="458"/>
      <c r="U375" s="458"/>
      <c r="V375" s="132">
        <f t="shared" si="179"/>
        <v>0</v>
      </c>
      <c r="W375" s="133" t="str">
        <f t="shared" si="180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53" t="s">
        <v>414</v>
      </c>
      <c r="C376" s="187" t="s">
        <v>415</v>
      </c>
      <c r="D376" s="108"/>
      <c r="E376" s="108"/>
      <c r="F376" s="127"/>
      <c r="G376" s="128"/>
      <c r="H376" s="454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58"/>
      <c r="P376" s="458"/>
      <c r="Q376" s="458"/>
      <c r="R376" s="458"/>
      <c r="S376" s="458"/>
      <c r="T376" s="458"/>
      <c r="U376" s="45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53" t="s">
        <v>414</v>
      </c>
      <c r="C377" s="187" t="s">
        <v>416</v>
      </c>
      <c r="D377" s="108"/>
      <c r="E377" s="108"/>
      <c r="F377" s="127"/>
      <c r="G377" s="128"/>
      <c r="H377" s="454">
        <f t="shared" si="172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7"/>
        <v>0</v>
      </c>
      <c r="N377" s="130"/>
      <c r="O377" s="458"/>
      <c r="P377" s="458"/>
      <c r="Q377" s="458"/>
      <c r="R377" s="458"/>
      <c r="S377" s="458"/>
      <c r="T377" s="458"/>
      <c r="U377" s="458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53" t="s">
        <v>414</v>
      </c>
      <c r="C378" s="187" t="s">
        <v>61</v>
      </c>
      <c r="D378" s="108"/>
      <c r="E378" s="108"/>
      <c r="F378" s="127"/>
      <c r="G378" s="128"/>
      <c r="H378" s="454">
        <f t="shared" si="172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7"/>
        <v>0</v>
      </c>
      <c r="N378" s="130"/>
      <c r="O378" s="458"/>
      <c r="P378" s="458"/>
      <c r="Q378" s="458"/>
      <c r="R378" s="458"/>
      <c r="S378" s="458"/>
      <c r="T378" s="458"/>
      <c r="U378" s="458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53" t="s">
        <v>208</v>
      </c>
      <c r="C379" s="126" t="s">
        <v>179</v>
      </c>
      <c r="D379" s="108">
        <v>5.08</v>
      </c>
      <c r="E379" s="108"/>
      <c r="F379" s="127"/>
      <c r="G379" s="128"/>
      <c r="H379" s="454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ref="N379:N394" si="181">SUM(O379:U379)</f>
        <v>0</v>
      </c>
      <c r="O379" s="458"/>
      <c r="P379" s="458"/>
      <c r="Q379" s="458"/>
      <c r="R379" s="458"/>
      <c r="S379" s="458"/>
      <c r="T379" s="458"/>
      <c r="U379" s="458"/>
      <c r="V379" s="132">
        <f t="shared" ref="V379:V390" si="182">SUM(X379:AA379)</f>
        <v>0</v>
      </c>
      <c r="W379" s="133" t="str">
        <f t="shared" ref="W379:W390" si="183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53" t="s">
        <v>208</v>
      </c>
      <c r="C380" s="126" t="s">
        <v>204</v>
      </c>
      <c r="D380" s="108">
        <v>5.08</v>
      </c>
      <c r="E380" s="108"/>
      <c r="F380" s="127"/>
      <c r="G380" s="128"/>
      <c r="H380" s="454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58"/>
      <c r="P380" s="458"/>
      <c r="Q380" s="458"/>
      <c r="R380" s="458"/>
      <c r="S380" s="458"/>
      <c r="T380" s="458"/>
      <c r="U380" s="45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53" t="s">
        <v>208</v>
      </c>
      <c r="C381" s="126" t="s">
        <v>205</v>
      </c>
      <c r="D381" s="108">
        <v>5.08</v>
      </c>
      <c r="E381" s="108"/>
      <c r="F381" s="127"/>
      <c r="G381" s="128"/>
      <c r="H381" s="454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58"/>
      <c r="P381" s="458"/>
      <c r="Q381" s="458"/>
      <c r="R381" s="458"/>
      <c r="S381" s="458"/>
      <c r="T381" s="458"/>
      <c r="U381" s="45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53" t="s">
        <v>208</v>
      </c>
      <c r="C382" s="126" t="s">
        <v>186</v>
      </c>
      <c r="D382" s="108">
        <v>5.08</v>
      </c>
      <c r="E382" s="108"/>
      <c r="F382" s="127"/>
      <c r="G382" s="128"/>
      <c r="H382" s="454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53" t="s">
        <v>208</v>
      </c>
      <c r="C383" s="126" t="s">
        <v>203</v>
      </c>
      <c r="D383" s="108">
        <v>5.08</v>
      </c>
      <c r="E383" s="108"/>
      <c r="F383" s="127"/>
      <c r="G383" s="128"/>
      <c r="H383" s="454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58"/>
      <c r="P383" s="458"/>
      <c r="Q383" s="458"/>
      <c r="R383" s="458"/>
      <c r="S383" s="458"/>
      <c r="T383" s="458"/>
      <c r="U383" s="45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53" t="s">
        <v>208</v>
      </c>
      <c r="C384" s="126" t="s">
        <v>199</v>
      </c>
      <c r="D384" s="108">
        <v>5.08</v>
      </c>
      <c r="E384" s="108"/>
      <c r="F384" s="127"/>
      <c r="G384" s="128"/>
      <c r="H384" s="454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62"/>
      <c r="P384" s="462"/>
      <c r="Q384" s="462"/>
      <c r="R384" s="462"/>
      <c r="S384" s="462"/>
      <c r="T384" s="462"/>
      <c r="U384" s="462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53" t="s">
        <v>208</v>
      </c>
      <c r="C385" s="126" t="s">
        <v>187</v>
      </c>
      <c r="D385" s="108">
        <v>5.08</v>
      </c>
      <c r="E385" s="108"/>
      <c r="F385" s="127"/>
      <c r="G385" s="128"/>
      <c r="H385" s="454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7"/>
        <v>0</v>
      </c>
      <c r="N385" s="130">
        <f t="shared" si="181"/>
        <v>0</v>
      </c>
      <c r="O385" s="458"/>
      <c r="P385" s="458"/>
      <c r="Q385" s="458"/>
      <c r="R385" s="458"/>
      <c r="S385" s="458"/>
      <c r="T385" s="458"/>
      <c r="U385" s="45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53" t="s">
        <v>208</v>
      </c>
      <c r="C386" s="126" t="s">
        <v>207</v>
      </c>
      <c r="D386" s="108">
        <v>5.08</v>
      </c>
      <c r="E386" s="108"/>
      <c r="F386" s="127"/>
      <c r="G386" s="128"/>
      <c r="H386" s="454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7"/>
        <v>0</v>
      </c>
      <c r="N386" s="130">
        <f t="shared" si="181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53" t="s">
        <v>209</v>
      </c>
      <c r="C387" s="126" t="s">
        <v>194</v>
      </c>
      <c r="D387" s="108">
        <v>5.03</v>
      </c>
      <c r="E387" s="108"/>
      <c r="F387" s="127"/>
      <c r="G387" s="128"/>
      <c r="H387" s="454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58"/>
      <c r="P387" s="458"/>
      <c r="Q387" s="458"/>
      <c r="R387" s="458"/>
      <c r="S387" s="458"/>
      <c r="T387" s="458"/>
      <c r="U387" s="45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53" t="s">
        <v>209</v>
      </c>
      <c r="C388" s="126" t="s">
        <v>179</v>
      </c>
      <c r="D388" s="108">
        <v>5.03</v>
      </c>
      <c r="E388" s="108"/>
      <c r="F388" s="127"/>
      <c r="G388" s="128"/>
      <c r="H388" s="454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58"/>
      <c r="P388" s="458"/>
      <c r="Q388" s="458"/>
      <c r="R388" s="458"/>
      <c r="S388" s="458"/>
      <c r="T388" s="458"/>
      <c r="U388" s="45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53" t="s">
        <v>209</v>
      </c>
      <c r="C389" s="126" t="s">
        <v>195</v>
      </c>
      <c r="D389" s="108">
        <v>5.03</v>
      </c>
      <c r="E389" s="108"/>
      <c r="F389" s="127"/>
      <c r="G389" s="128"/>
      <c r="H389" s="454">
        <f t="shared" si="172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7"/>
        <v>0</v>
      </c>
      <c r="N389" s="130">
        <f t="shared" si="181"/>
        <v>0</v>
      </c>
      <c r="O389" s="458"/>
      <c r="P389" s="458"/>
      <c r="Q389" s="458"/>
      <c r="R389" s="458"/>
      <c r="S389" s="458"/>
      <c r="T389" s="458"/>
      <c r="U389" s="458"/>
      <c r="V389" s="132">
        <f t="shared" si="182"/>
        <v>0</v>
      </c>
      <c r="W389" s="133" t="str">
        <f t="shared" si="183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53" t="s">
        <v>209</v>
      </c>
      <c r="C390" s="126" t="s">
        <v>204</v>
      </c>
      <c r="D390" s="108">
        <v>5.03</v>
      </c>
      <c r="E390" s="108"/>
      <c r="F390" s="127"/>
      <c r="G390" s="128"/>
      <c r="H390" s="454">
        <f t="shared" si="172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7"/>
        <v>0</v>
      </c>
      <c r="N390" s="130">
        <f t="shared" si="181"/>
        <v>0</v>
      </c>
      <c r="O390" s="458"/>
      <c r="P390" s="458"/>
      <c r="Q390" s="458"/>
      <c r="R390" s="458"/>
      <c r="S390" s="458"/>
      <c r="T390" s="458"/>
      <c r="U390" s="458"/>
      <c r="V390" s="132">
        <f t="shared" si="182"/>
        <v>0</v>
      </c>
      <c r="W390" s="133" t="str">
        <f t="shared" si="183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53" t="s">
        <v>382</v>
      </c>
      <c r="C391" s="187" t="s">
        <v>383</v>
      </c>
      <c r="D391" s="108">
        <v>5.03</v>
      </c>
      <c r="E391" s="108"/>
      <c r="F391" s="127"/>
      <c r="G391" s="128"/>
      <c r="H391" s="454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58"/>
      <c r="P391" s="458"/>
      <c r="Q391" s="458"/>
      <c r="R391" s="458"/>
      <c r="S391" s="458"/>
      <c r="T391" s="458"/>
      <c r="U391" s="45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53" t="s">
        <v>382</v>
      </c>
      <c r="C392" s="187" t="s">
        <v>384</v>
      </c>
      <c r="D392" s="108">
        <v>5.03</v>
      </c>
      <c r="E392" s="108"/>
      <c r="F392" s="127"/>
      <c r="G392" s="128"/>
      <c r="H392" s="454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58"/>
      <c r="P392" s="458"/>
      <c r="Q392" s="458"/>
      <c r="R392" s="458"/>
      <c r="S392" s="458"/>
      <c r="T392" s="458"/>
      <c r="U392" s="45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53" t="s">
        <v>382</v>
      </c>
      <c r="C393" s="187" t="s">
        <v>389</v>
      </c>
      <c r="D393" s="108">
        <v>5.03</v>
      </c>
      <c r="E393" s="108"/>
      <c r="F393" s="127"/>
      <c r="G393" s="128"/>
      <c r="H393" s="454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7"/>
        <v>0</v>
      </c>
      <c r="N393" s="130">
        <f t="shared" si="181"/>
        <v>0</v>
      </c>
      <c r="O393" s="458"/>
      <c r="P393" s="458"/>
      <c r="Q393" s="458"/>
      <c r="R393" s="458"/>
      <c r="S393" s="458"/>
      <c r="T393" s="458"/>
      <c r="U393" s="45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53" t="s">
        <v>382</v>
      </c>
      <c r="C394" s="187" t="s">
        <v>391</v>
      </c>
      <c r="D394" s="108">
        <v>5.03</v>
      </c>
      <c r="E394" s="108"/>
      <c r="F394" s="127"/>
      <c r="G394" s="128"/>
      <c r="H394" s="454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7"/>
        <v>0</v>
      </c>
      <c r="N394" s="130">
        <f t="shared" si="181"/>
        <v>0</v>
      </c>
      <c r="O394" s="458"/>
      <c r="P394" s="458"/>
      <c r="Q394" s="458"/>
      <c r="R394" s="458"/>
      <c r="S394" s="458"/>
      <c r="T394" s="458"/>
      <c r="U394" s="45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53" t="s">
        <v>418</v>
      </c>
      <c r="C395" s="187" t="s">
        <v>364</v>
      </c>
      <c r="D395" s="108">
        <v>5.03</v>
      </c>
      <c r="E395" s="108"/>
      <c r="F395" s="127"/>
      <c r="G395" s="128"/>
      <c r="H395" s="454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58"/>
      <c r="P395" s="458"/>
      <c r="Q395" s="458"/>
      <c r="R395" s="458"/>
      <c r="S395" s="458"/>
      <c r="T395" s="458"/>
      <c r="U395" s="45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53" t="s">
        <v>418</v>
      </c>
      <c r="C396" s="187" t="s">
        <v>365</v>
      </c>
      <c r="D396" s="108">
        <v>5.03</v>
      </c>
      <c r="E396" s="108"/>
      <c r="F396" s="127"/>
      <c r="G396" s="128"/>
      <c r="H396" s="454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58"/>
      <c r="P396" s="458"/>
      <c r="Q396" s="458"/>
      <c r="R396" s="458"/>
      <c r="S396" s="458"/>
      <c r="T396" s="458"/>
      <c r="U396" s="45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53" t="s">
        <v>418</v>
      </c>
      <c r="C397" s="187" t="s">
        <v>366</v>
      </c>
      <c r="D397" s="108">
        <v>5.03</v>
      </c>
      <c r="E397" s="108"/>
      <c r="F397" s="127"/>
      <c r="G397" s="128"/>
      <c r="H397" s="454">
        <f t="shared" si="172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7"/>
        <v>0</v>
      </c>
      <c r="N397" s="130"/>
      <c r="O397" s="458"/>
      <c r="P397" s="458"/>
      <c r="Q397" s="458"/>
      <c r="R397" s="458"/>
      <c r="S397" s="458"/>
      <c r="T397" s="458"/>
      <c r="U397" s="458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53" t="s">
        <v>418</v>
      </c>
      <c r="C398" s="187" t="s">
        <v>367</v>
      </c>
      <c r="D398" s="108">
        <v>5.03</v>
      </c>
      <c r="E398" s="108"/>
      <c r="F398" s="127"/>
      <c r="G398" s="128"/>
      <c r="H398" s="454">
        <f t="shared" si="172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7"/>
        <v>0</v>
      </c>
      <c r="N398" s="130"/>
      <c r="O398" s="458"/>
      <c r="P398" s="458"/>
      <c r="Q398" s="458"/>
      <c r="R398" s="458"/>
      <c r="S398" s="458"/>
      <c r="T398" s="458"/>
      <c r="U398" s="458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54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ref="N399:N408" si="184">SUM(O399:U399)</f>
        <v>0</v>
      </c>
      <c r="O399" s="462"/>
      <c r="P399" s="462"/>
      <c r="Q399" s="462"/>
      <c r="R399" s="462"/>
      <c r="S399" s="462"/>
      <c r="T399" s="462"/>
      <c r="U399" s="462"/>
      <c r="V399" s="132">
        <f t="shared" ref="V399:V408" si="185">SUM(X399:AA399)</f>
        <v>0</v>
      </c>
      <c r="W399" s="133" t="str">
        <f t="shared" ref="W399:W408" si="186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54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7"/>
        <v>0</v>
      </c>
      <c r="N400" s="130">
        <f t="shared" si="184"/>
        <v>0</v>
      </c>
      <c r="O400" s="462"/>
      <c r="P400" s="462"/>
      <c r="Q400" s="462"/>
      <c r="R400" s="462"/>
      <c r="S400" s="462"/>
      <c r="T400" s="462"/>
      <c r="U400" s="462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54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7"/>
        <v>0</v>
      </c>
      <c r="N401" s="130">
        <f t="shared" si="184"/>
        <v>0</v>
      </c>
      <c r="O401" s="462"/>
      <c r="P401" s="462"/>
      <c r="Q401" s="462"/>
      <c r="R401" s="462"/>
      <c r="S401" s="462"/>
      <c r="T401" s="462"/>
      <c r="U401" s="462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54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62"/>
      <c r="P402" s="462"/>
      <c r="Q402" s="462"/>
      <c r="R402" s="462"/>
      <c r="S402" s="462"/>
      <c r="T402" s="462"/>
      <c r="U402" s="462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54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62"/>
      <c r="P403" s="462"/>
      <c r="Q403" s="462"/>
      <c r="R403" s="462"/>
      <c r="S403" s="462"/>
      <c r="T403" s="462"/>
      <c r="U403" s="462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54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62"/>
      <c r="P404" s="462"/>
      <c r="Q404" s="462"/>
      <c r="R404" s="462"/>
      <c r="S404" s="462"/>
      <c r="T404" s="462"/>
      <c r="U404" s="462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54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62"/>
      <c r="P405" s="462"/>
      <c r="Q405" s="462"/>
      <c r="R405" s="462"/>
      <c r="S405" s="462"/>
      <c r="T405" s="462"/>
      <c r="U405" s="462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54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62"/>
      <c r="P406" s="462"/>
      <c r="Q406" s="462"/>
      <c r="R406" s="462"/>
      <c r="S406" s="462"/>
      <c r="T406" s="462"/>
      <c r="U406" s="462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54">
        <f t="shared" si="172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7"/>
        <v>0</v>
      </c>
      <c r="N407" s="130">
        <f t="shared" si="184"/>
        <v>0</v>
      </c>
      <c r="O407" s="462"/>
      <c r="P407" s="462"/>
      <c r="Q407" s="462"/>
      <c r="R407" s="462"/>
      <c r="S407" s="462"/>
      <c r="T407" s="462"/>
      <c r="U407" s="462"/>
      <c r="V407" s="132">
        <f t="shared" si="185"/>
        <v>0</v>
      </c>
      <c r="W407" s="133" t="str">
        <f t="shared" si="186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54">
        <f t="shared" si="172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7"/>
        <v>0</v>
      </c>
      <c r="N408" s="130">
        <f t="shared" si="184"/>
        <v>0</v>
      </c>
      <c r="O408" s="462"/>
      <c r="P408" s="462"/>
      <c r="Q408" s="462"/>
      <c r="R408" s="462"/>
      <c r="S408" s="462"/>
      <c r="T408" s="462"/>
      <c r="U408" s="462"/>
      <c r="V408" s="132">
        <f t="shared" si="185"/>
        <v>0</v>
      </c>
      <c r="W408" s="133" t="str">
        <f t="shared" si="186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428</v>
      </c>
      <c r="D409" s="108">
        <v>50.3</v>
      </c>
      <c r="E409" s="108"/>
      <c r="F409" s="127"/>
      <c r="G409" s="128"/>
      <c r="H409" s="454">
        <f t="shared" si="172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62"/>
      <c r="P409" s="462"/>
      <c r="Q409" s="462"/>
      <c r="R409" s="462"/>
      <c r="S409" s="462"/>
      <c r="T409" s="462"/>
      <c r="U409" s="462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54">
        <f t="shared" si="172"/>
        <v>0</v>
      </c>
      <c r="I410" s="129"/>
      <c r="J410" s="130"/>
      <c r="K410" s="131"/>
      <c r="L410" s="129">
        <v>50</v>
      </c>
      <c r="M410" s="109"/>
      <c r="N410" s="130"/>
      <c r="O410" s="462"/>
      <c r="P410" s="462"/>
      <c r="Q410" s="462"/>
      <c r="R410" s="462"/>
      <c r="S410" s="462"/>
      <c r="T410" s="462"/>
      <c r="U410" s="462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54">
        <f t="shared" si="172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7">IF(ISERROR(I411-K411),"",I411-K411)</f>
        <v>0</v>
      </c>
      <c r="N411" s="130">
        <f t="shared" ref="N411:N412" si="188">SUM(O411:U411)</f>
        <v>0</v>
      </c>
      <c r="O411" s="462"/>
      <c r="P411" s="462"/>
      <c r="Q411" s="462"/>
      <c r="R411" s="462"/>
      <c r="S411" s="462"/>
      <c r="T411" s="462"/>
      <c r="U411" s="462"/>
      <c r="V411" s="132">
        <f t="shared" ref="V411:V412" si="189">SUM(X411:AA411)</f>
        <v>0</v>
      </c>
      <c r="W411" s="133" t="str">
        <f t="shared" ref="W411:W412" si="190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54">
        <f t="shared" si="172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7"/>
        <v>0</v>
      </c>
      <c r="N412" s="130">
        <f t="shared" si="188"/>
        <v>0</v>
      </c>
      <c r="O412" s="462"/>
      <c r="P412" s="462"/>
      <c r="Q412" s="462"/>
      <c r="R412" s="462"/>
      <c r="S412" s="462"/>
      <c r="T412" s="462"/>
      <c r="U412" s="462"/>
      <c r="V412" s="132">
        <f t="shared" si="189"/>
        <v>0</v>
      </c>
      <c r="W412" s="133" t="str">
        <f t="shared" si="190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54">
        <f t="shared" si="172"/>
        <v>0</v>
      </c>
      <c r="I413" s="129"/>
      <c r="J413" s="130"/>
      <c r="K413" s="131"/>
      <c r="L413" s="129"/>
      <c r="M413" s="109"/>
      <c r="N413" s="130"/>
      <c r="O413" s="462"/>
      <c r="P413" s="462"/>
      <c r="Q413" s="462"/>
      <c r="R413" s="462"/>
      <c r="S413" s="462"/>
      <c r="T413" s="462"/>
      <c r="U413" s="462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54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91">IF(ISERROR(I414-K414),"",I414-K414)</f>
        <v/>
      </c>
      <c r="N414" s="130">
        <f t="shared" ref="N414:N417" si="192">SUM(O414:U414)</f>
        <v>0</v>
      </c>
      <c r="O414" s="462"/>
      <c r="P414" s="462"/>
      <c r="Q414" s="462"/>
      <c r="R414" s="462"/>
      <c r="S414" s="462"/>
      <c r="T414" s="462"/>
      <c r="U414" s="462"/>
      <c r="V414" s="132">
        <f t="shared" ref="V414:V417" si="193">SUM(X414:AA414)</f>
        <v>0</v>
      </c>
      <c r="W414" s="133" t="str">
        <f t="shared" ref="W414:W417" si="194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54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62"/>
      <c r="P415" s="462"/>
      <c r="Q415" s="462"/>
      <c r="R415" s="462"/>
      <c r="S415" s="462"/>
      <c r="T415" s="462"/>
      <c r="U415" s="462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54">
        <f t="shared" si="172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91"/>
        <v/>
      </c>
      <c r="N416" s="130">
        <f t="shared" si="192"/>
        <v>0</v>
      </c>
      <c r="O416" s="462"/>
      <c r="P416" s="462"/>
      <c r="Q416" s="462"/>
      <c r="R416" s="462"/>
      <c r="S416" s="462"/>
      <c r="T416" s="462"/>
      <c r="U416" s="462"/>
      <c r="V416" s="132">
        <f t="shared" si="193"/>
        <v>0</v>
      </c>
      <c r="W416" s="133" t="str">
        <f t="shared" si="194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54">
        <f t="shared" si="172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91"/>
        <v/>
      </c>
      <c r="N417" s="130">
        <f t="shared" si="192"/>
        <v>0</v>
      </c>
      <c r="O417" s="462"/>
      <c r="P417" s="462"/>
      <c r="Q417" s="462"/>
      <c r="R417" s="462"/>
      <c r="S417" s="462"/>
      <c r="T417" s="462"/>
      <c r="U417" s="462"/>
      <c r="V417" s="132">
        <f t="shared" si="193"/>
        <v>0</v>
      </c>
      <c r="W417" s="133" t="str">
        <f t="shared" si="194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54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62"/>
      <c r="P418" s="462"/>
      <c r="Q418" s="462"/>
      <c r="R418" s="462"/>
      <c r="S418" s="462"/>
      <c r="T418" s="462"/>
      <c r="U418" s="462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54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62"/>
      <c r="P419" s="462"/>
      <c r="Q419" s="462"/>
      <c r="R419" s="462"/>
      <c r="S419" s="462"/>
      <c r="T419" s="462"/>
      <c r="U419" s="462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54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91"/>
        <v>0</v>
      </c>
      <c r="N420" s="130"/>
      <c r="O420" s="462"/>
      <c r="P420" s="462"/>
      <c r="Q420" s="462"/>
      <c r="R420" s="462"/>
      <c r="S420" s="462"/>
      <c r="T420" s="462"/>
      <c r="U420" s="462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54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91"/>
        <v>0</v>
      </c>
      <c r="N421" s="130"/>
      <c r="O421" s="462"/>
      <c r="P421" s="462"/>
      <c r="Q421" s="462"/>
      <c r="R421" s="462"/>
      <c r="S421" s="462"/>
      <c r="T421" s="462"/>
      <c r="U421" s="462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54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62"/>
      <c r="P422" s="462"/>
      <c r="Q422" s="462"/>
      <c r="R422" s="462"/>
      <c r="S422" s="462"/>
      <c r="T422" s="462"/>
      <c r="U422" s="462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54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62"/>
      <c r="P423" s="462"/>
      <c r="Q423" s="462"/>
      <c r="R423" s="462"/>
      <c r="S423" s="462"/>
      <c r="T423" s="462"/>
      <c r="U423" s="462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54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62"/>
      <c r="P424" s="462"/>
      <c r="Q424" s="462"/>
      <c r="R424" s="462"/>
      <c r="S424" s="462"/>
      <c r="T424" s="462"/>
      <c r="U424" s="462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54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62"/>
      <c r="P425" s="462"/>
      <c r="Q425" s="462"/>
      <c r="R425" s="462"/>
      <c r="S425" s="462"/>
      <c r="T425" s="462"/>
      <c r="U425" s="462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54">
        <f t="shared" si="172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91"/>
        <v>0</v>
      </c>
      <c r="N426" s="130"/>
      <c r="O426" s="462"/>
      <c r="P426" s="462"/>
      <c r="Q426" s="462"/>
      <c r="R426" s="462"/>
      <c r="S426" s="462"/>
      <c r="T426" s="462"/>
      <c r="U426" s="462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54">
        <f t="shared" si="172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91"/>
        <v>0</v>
      </c>
      <c r="N427" s="130"/>
      <c r="O427" s="462"/>
      <c r="P427" s="462"/>
      <c r="Q427" s="462"/>
      <c r="R427" s="462"/>
      <c r="S427" s="462"/>
      <c r="T427" s="462"/>
      <c r="U427" s="462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63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5">SUM(M371:M427)</f>
        <v>0</v>
      </c>
      <c r="N428" s="146">
        <f t="shared" si="195"/>
        <v>0</v>
      </c>
      <c r="O428" s="148">
        <f t="shared" si="195"/>
        <v>0</v>
      </c>
      <c r="P428" s="148">
        <f t="shared" si="195"/>
        <v>0</v>
      </c>
      <c r="Q428" s="148">
        <f t="shared" si="195"/>
        <v>0</v>
      </c>
      <c r="R428" s="148">
        <f t="shared" si="195"/>
        <v>0</v>
      </c>
      <c r="S428" s="148">
        <f t="shared" si="195"/>
        <v>0</v>
      </c>
      <c r="T428" s="148">
        <f t="shared" si="195"/>
        <v>0</v>
      </c>
      <c r="U428" s="148">
        <f t="shared" si="195"/>
        <v>0</v>
      </c>
      <c r="V428" s="149">
        <f t="shared" si="195"/>
        <v>0</v>
      </c>
      <c r="W428" s="133" t="str">
        <f t="shared" ref="W428:W435" si="196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53" t="s">
        <v>217</v>
      </c>
      <c r="C429" s="126" t="s">
        <v>179</v>
      </c>
      <c r="D429" s="108">
        <v>5.03</v>
      </c>
      <c r="E429" s="108"/>
      <c r="F429" s="127"/>
      <c r="G429" s="128"/>
      <c r="H429" s="454">
        <f t="shared" ref="H429:H462" si="197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8">IF(ISERROR(I429-K429),"",I429-K429)</f>
        <v>0</v>
      </c>
      <c r="N429" s="130">
        <f t="shared" ref="N429:N436" si="199">SUM(O429:U429)</f>
        <v>0</v>
      </c>
      <c r="O429" s="462"/>
      <c r="P429" s="462"/>
      <c r="Q429" s="462"/>
      <c r="R429" s="462"/>
      <c r="S429" s="462"/>
      <c r="T429" s="462"/>
      <c r="U429" s="462"/>
      <c r="V429" s="132">
        <f t="shared" ref="V429:V435" si="200">SUM(X429:AA429)</f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30400010</v>
      </c>
      <c r="B430" s="453" t="s">
        <v>217</v>
      </c>
      <c r="C430" s="126" t="s">
        <v>186</v>
      </c>
      <c r="D430" s="108">
        <v>5.03</v>
      </c>
      <c r="E430" s="108"/>
      <c r="F430" s="127"/>
      <c r="G430" s="128"/>
      <c r="H430" s="454">
        <f t="shared" si="197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8.8000000000000007</v>
      </c>
      <c r="M430" s="109">
        <f t="shared" si="198"/>
        <v>0</v>
      </c>
      <c r="N430" s="130">
        <f t="shared" si="199"/>
        <v>0</v>
      </c>
      <c r="O430" s="462"/>
      <c r="P430" s="462"/>
      <c r="Q430" s="462"/>
      <c r="R430" s="462"/>
      <c r="S430" s="462"/>
      <c r="T430" s="462"/>
      <c r="U430" s="462"/>
      <c r="V430" s="132">
        <f t="shared" si="200"/>
        <v>0</v>
      </c>
      <c r="W430" s="133" t="str">
        <f t="shared" si="196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53" t="s">
        <v>217</v>
      </c>
      <c r="C431" s="126" t="s">
        <v>204</v>
      </c>
      <c r="D431" s="108">
        <v>5.03</v>
      </c>
      <c r="E431" s="108"/>
      <c r="F431" s="127"/>
      <c r="G431" s="128"/>
      <c r="H431" s="454">
        <f t="shared" si="197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8"/>
        <v>0</v>
      </c>
      <c r="N431" s="130">
        <f t="shared" si="199"/>
        <v>0</v>
      </c>
      <c r="O431" s="462"/>
      <c r="P431" s="462"/>
      <c r="Q431" s="462"/>
      <c r="R431" s="462"/>
      <c r="S431" s="462"/>
      <c r="T431" s="462"/>
      <c r="U431" s="462"/>
      <c r="V431" s="132">
        <f t="shared" si="200"/>
        <v>0</v>
      </c>
      <c r="W431" s="133" t="str">
        <f t="shared" si="196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54">
        <f t="shared" si="197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8"/>
        <v>0</v>
      </c>
      <c r="N432" s="130">
        <f t="shared" si="199"/>
        <v>0</v>
      </c>
      <c r="O432" s="462"/>
      <c r="P432" s="462"/>
      <c r="Q432" s="462"/>
      <c r="R432" s="462"/>
      <c r="S432" s="462"/>
      <c r="T432" s="462"/>
      <c r="U432" s="462"/>
      <c r="V432" s="132">
        <f t="shared" si="200"/>
        <v>0</v>
      </c>
      <c r="W432" s="133" t="str">
        <f t="shared" si="196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f>24+17</f>
        <v>41</v>
      </c>
      <c r="H433" s="454">
        <f t="shared" si="197"/>
        <v>206.23000000000002</v>
      </c>
      <c r="I433" s="129">
        <f>0.5+1.5</f>
        <v>2</v>
      </c>
      <c r="J433" s="130">
        <f t="array" ref="J433">IF(ISERROR(G433/I433),"",G433/I433)</f>
        <v>20.5</v>
      </c>
      <c r="K433" s="131">
        <f t="array" ref="K433">IF(ISERROR(G433/L433),"",G433/L433)</f>
        <v>4.408602150537634</v>
      </c>
      <c r="L433" s="129">
        <v>9.3000000000000007</v>
      </c>
      <c r="M433" s="109">
        <f t="shared" si="198"/>
        <v>-2.408602150537634</v>
      </c>
      <c r="N433" s="130">
        <f t="shared" si="199"/>
        <v>0</v>
      </c>
      <c r="O433" s="462"/>
      <c r="P433" s="462"/>
      <c r="Q433" s="462"/>
      <c r="R433" s="462"/>
      <c r="S433" s="462"/>
      <c r="T433" s="462"/>
      <c r="U433" s="462"/>
      <c r="V433" s="132">
        <f t="shared" si="200"/>
        <v>0</v>
      </c>
      <c r="W433" s="133">
        <f t="shared" si="196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54">
        <f t="shared" si="197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62"/>
      <c r="P434" s="462"/>
      <c r="Q434" s="462"/>
      <c r="R434" s="462"/>
      <c r="S434" s="462"/>
      <c r="T434" s="462"/>
      <c r="U434" s="462"/>
      <c r="V434" s="132">
        <f t="shared" si="200"/>
        <v>0</v>
      </c>
      <c r="W434" s="133" t="str">
        <f t="shared" si="196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54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8"/>
        <v>0</v>
      </c>
      <c r="N435" s="130">
        <f t="shared" si="199"/>
        <v>0</v>
      </c>
      <c r="O435" s="462"/>
      <c r="P435" s="462"/>
      <c r="Q435" s="462"/>
      <c r="R435" s="462"/>
      <c r="S435" s="462"/>
      <c r="T435" s="462"/>
      <c r="U435" s="462"/>
      <c r="V435" s="132">
        <f t="shared" si="200"/>
        <v>0</v>
      </c>
      <c r="W435" s="133" t="str">
        <f t="shared" si="196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54">
        <f t="shared" si="197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8"/>
        <v>0</v>
      </c>
      <c r="N436" s="130">
        <f t="shared" si="199"/>
        <v>0</v>
      </c>
      <c r="O436" s="462"/>
      <c r="P436" s="462"/>
      <c r="Q436" s="462"/>
      <c r="R436" s="462"/>
      <c r="S436" s="462"/>
      <c r="T436" s="462"/>
      <c r="U436" s="462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54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62"/>
      <c r="P437" s="462"/>
      <c r="Q437" s="462"/>
      <c r="R437" s="462"/>
      <c r="S437" s="462"/>
      <c r="T437" s="462"/>
      <c r="U437" s="462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54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62"/>
      <c r="P438" s="462"/>
      <c r="Q438" s="462"/>
      <c r="R438" s="462"/>
      <c r="S438" s="462"/>
      <c r="T438" s="462"/>
      <c r="U438" s="462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54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62"/>
      <c r="P439" s="462"/>
      <c r="Q439" s="462"/>
      <c r="R439" s="462"/>
      <c r="S439" s="462"/>
      <c r="T439" s="462"/>
      <c r="U439" s="462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54">
        <f t="shared" si="197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62"/>
      <c r="P440" s="462"/>
      <c r="Q440" s="462"/>
      <c r="R440" s="462"/>
      <c r="S440" s="462"/>
      <c r="T440" s="462"/>
      <c r="U440" s="462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54">
        <f t="shared" si="197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201">IF(ISERROR(I441-K441),"",I441-K441)</f>
        <v>0</v>
      </c>
      <c r="N441" s="130">
        <f t="shared" ref="N441:N456" si="202">SUM(O441:U441)</f>
        <v>0</v>
      </c>
      <c r="O441" s="462"/>
      <c r="P441" s="462"/>
      <c r="Q441" s="462"/>
      <c r="R441" s="462"/>
      <c r="S441" s="462"/>
      <c r="T441" s="462"/>
      <c r="U441" s="462"/>
      <c r="V441" s="132">
        <f t="shared" ref="V441:V444" si="203">SUM(X441:AA441)</f>
        <v>0</v>
      </c>
      <c r="W441" s="133" t="str">
        <f t="shared" ref="W441:W448" si="204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54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62"/>
      <c r="P442" s="462"/>
      <c r="Q442" s="462"/>
      <c r="R442" s="462"/>
      <c r="S442" s="462"/>
      <c r="T442" s="462"/>
      <c r="U442" s="462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54">
        <f t="shared" si="197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201"/>
        <v/>
      </c>
      <c r="N443" s="130">
        <f t="shared" si="202"/>
        <v>0</v>
      </c>
      <c r="O443" s="462"/>
      <c r="P443" s="462"/>
      <c r="Q443" s="462"/>
      <c r="R443" s="462"/>
      <c r="S443" s="462"/>
      <c r="T443" s="462"/>
      <c r="U443" s="462"/>
      <c r="V443" s="132">
        <f t="shared" si="203"/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54">
        <f t="shared" si="197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201"/>
        <v/>
      </c>
      <c r="N444" s="130">
        <f t="shared" si="202"/>
        <v>0</v>
      </c>
      <c r="O444" s="462"/>
      <c r="P444" s="462"/>
      <c r="Q444" s="462"/>
      <c r="R444" s="462"/>
      <c r="S444" s="462"/>
      <c r="T444" s="462"/>
      <c r="U444" s="462"/>
      <c r="V444" s="132">
        <f t="shared" si="203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53" t="s">
        <v>222</v>
      </c>
      <c r="C445" s="126" t="s">
        <v>181</v>
      </c>
      <c r="D445" s="108">
        <v>9.36</v>
      </c>
      <c r="E445" s="108"/>
      <c r="F445" s="127"/>
      <c r="G445" s="128"/>
      <c r="H445" s="454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62"/>
      <c r="P445" s="462"/>
      <c r="Q445" s="462"/>
      <c r="R445" s="462"/>
      <c r="S445" s="462"/>
      <c r="T445" s="462"/>
      <c r="U445" s="462"/>
      <c r="V445" s="132">
        <f t="shared" ref="V445:V448" si="205">SUM(X445:AA445)</f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53" t="s">
        <v>222</v>
      </c>
      <c r="C446" s="126" t="s">
        <v>179</v>
      </c>
      <c r="D446" s="108">
        <v>9.36</v>
      </c>
      <c r="E446" s="108"/>
      <c r="F446" s="127"/>
      <c r="G446" s="128"/>
      <c r="H446" s="454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62"/>
      <c r="P446" s="462"/>
      <c r="Q446" s="462"/>
      <c r="R446" s="462"/>
      <c r="S446" s="462"/>
      <c r="T446" s="462"/>
      <c r="U446" s="462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53" t="s">
        <v>222</v>
      </c>
      <c r="C447" s="126" t="s">
        <v>221</v>
      </c>
      <c r="D447" s="108">
        <v>9.36</v>
      </c>
      <c r="E447" s="108"/>
      <c r="F447" s="127"/>
      <c r="G447" s="128"/>
      <c r="H447" s="454">
        <f t="shared" si="197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201"/>
        <v>0</v>
      </c>
      <c r="N447" s="130">
        <f t="shared" si="202"/>
        <v>0</v>
      </c>
      <c r="O447" s="462"/>
      <c r="P447" s="462"/>
      <c r="Q447" s="462"/>
      <c r="R447" s="462"/>
      <c r="S447" s="462"/>
      <c r="T447" s="462"/>
      <c r="U447" s="462"/>
      <c r="V447" s="132">
        <f t="shared" si="205"/>
        <v>0</v>
      </c>
      <c r="W447" s="133" t="str">
        <f t="shared" si="204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53" t="s">
        <v>222</v>
      </c>
      <c r="C448" s="126" t="s">
        <v>186</v>
      </c>
      <c r="D448" s="108">
        <v>9.36</v>
      </c>
      <c r="E448" s="108"/>
      <c r="F448" s="127"/>
      <c r="G448" s="128"/>
      <c r="H448" s="454">
        <f t="shared" si="197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201"/>
        <v>0</v>
      </c>
      <c r="N448" s="130">
        <f t="shared" si="202"/>
        <v>0</v>
      </c>
      <c r="O448" s="462"/>
      <c r="P448" s="462"/>
      <c r="Q448" s="462"/>
      <c r="R448" s="462"/>
      <c r="S448" s="462"/>
      <c r="T448" s="462"/>
      <c r="U448" s="462"/>
      <c r="V448" s="132">
        <f t="shared" si="205"/>
        <v>0</v>
      </c>
      <c r="W448" s="133" t="str">
        <f t="shared" si="204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53" t="s">
        <v>393</v>
      </c>
      <c r="C449" s="187" t="s">
        <v>395</v>
      </c>
      <c r="D449" s="108">
        <v>5</v>
      </c>
      <c r="E449" s="108"/>
      <c r="F449" s="127"/>
      <c r="G449" s="128"/>
      <c r="H449" s="454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62"/>
      <c r="P449" s="462"/>
      <c r="Q449" s="462"/>
      <c r="R449" s="462"/>
      <c r="S449" s="462"/>
      <c r="T449" s="462"/>
      <c r="U449" s="462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53" t="s">
        <v>393</v>
      </c>
      <c r="C450" s="187" t="s">
        <v>402</v>
      </c>
      <c r="D450" s="108">
        <v>5</v>
      </c>
      <c r="E450" s="108"/>
      <c r="F450" s="127"/>
      <c r="G450" s="128"/>
      <c r="H450" s="454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62"/>
      <c r="P450" s="462"/>
      <c r="Q450" s="462"/>
      <c r="R450" s="462"/>
      <c r="S450" s="462"/>
      <c r="T450" s="462"/>
      <c r="U450" s="462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53" t="s">
        <v>404</v>
      </c>
      <c r="C451" s="187" t="s">
        <v>405</v>
      </c>
      <c r="D451" s="108">
        <v>5</v>
      </c>
      <c r="E451" s="108"/>
      <c r="F451" s="127"/>
      <c r="G451" s="128"/>
      <c r="H451" s="454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62"/>
      <c r="P451" s="462"/>
      <c r="Q451" s="462"/>
      <c r="R451" s="462"/>
      <c r="S451" s="462"/>
      <c r="T451" s="462"/>
      <c r="U451" s="462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53" t="s">
        <v>342</v>
      </c>
      <c r="C452" s="187" t="s">
        <v>372</v>
      </c>
      <c r="D452" s="108">
        <v>5</v>
      </c>
      <c r="E452" s="108"/>
      <c r="F452" s="127"/>
      <c r="G452" s="128"/>
      <c r="H452" s="454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62"/>
      <c r="P452" s="462"/>
      <c r="Q452" s="462"/>
      <c r="R452" s="462"/>
      <c r="S452" s="462"/>
      <c r="T452" s="462"/>
      <c r="U452" s="462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53" t="s">
        <v>343</v>
      </c>
      <c r="C453" s="126" t="s">
        <v>345</v>
      </c>
      <c r="D453" s="108">
        <v>5</v>
      </c>
      <c r="E453" s="108"/>
      <c r="F453" s="127"/>
      <c r="G453" s="128"/>
      <c r="H453" s="454">
        <f t="shared" si="197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201"/>
        <v>0</v>
      </c>
      <c r="N453" s="130">
        <f t="shared" si="202"/>
        <v>0</v>
      </c>
      <c r="O453" s="462"/>
      <c r="P453" s="462"/>
      <c r="Q453" s="462"/>
      <c r="R453" s="462"/>
      <c r="S453" s="462"/>
      <c r="T453" s="462"/>
      <c r="U453" s="462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53" t="s">
        <v>343</v>
      </c>
      <c r="C454" s="126" t="s">
        <v>347</v>
      </c>
      <c r="D454" s="108">
        <v>5</v>
      </c>
      <c r="E454" s="108"/>
      <c r="F454" s="127"/>
      <c r="G454" s="128"/>
      <c r="H454" s="454">
        <f t="shared" si="197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201"/>
        <v>0</v>
      </c>
      <c r="N454" s="130">
        <f t="shared" si="202"/>
        <v>0</v>
      </c>
      <c r="O454" s="462"/>
      <c r="P454" s="462"/>
      <c r="Q454" s="462"/>
      <c r="R454" s="462"/>
      <c r="S454" s="462"/>
      <c r="T454" s="462"/>
      <c r="U454" s="462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54">
        <f t="shared" si="197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201"/>
        <v>0</v>
      </c>
      <c r="N455" s="130">
        <f t="shared" si="202"/>
        <v>0</v>
      </c>
      <c r="O455" s="462"/>
      <c r="P455" s="462"/>
      <c r="Q455" s="462"/>
      <c r="R455" s="462"/>
      <c r="S455" s="462"/>
      <c r="T455" s="462"/>
      <c r="U455" s="462"/>
      <c r="V455" s="132">
        <f t="shared" ref="V455:V456" si="206">SUM(X455:AA455)</f>
        <v>0</v>
      </c>
      <c r="W455" s="133" t="str">
        <f t="shared" ref="W455:W456" si="207">IF(ISERROR(V455/G455),"",V455/G455)</f>
        <v/>
      </c>
      <c r="X455" s="132"/>
      <c r="Y455" s="132"/>
      <c r="Z455" s="132"/>
      <c r="AA455" s="132"/>
    </row>
    <row r="456" spans="1:27" ht="20.10000000000000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>
        <v>42741</v>
      </c>
      <c r="G456" s="128">
        <f>100*5+38+100*6+17+89+60+95</f>
        <v>1399</v>
      </c>
      <c r="H456" s="454">
        <f t="shared" si="197"/>
        <v>7078.94</v>
      </c>
      <c r="I456" s="129">
        <f>7+6.5+8.5+4.5+4.5+7+8*2</f>
        <v>54</v>
      </c>
      <c r="J456" s="130">
        <f t="array" ref="J456">IF(ISERROR(G456/I456),"",G456/I456)</f>
        <v>25.907407407407408</v>
      </c>
      <c r="K456" s="131">
        <f t="array" ref="K456">IF(ISERROR(G456/L456),"",G456/L456)</f>
        <v>90.258064516129039</v>
      </c>
      <c r="L456" s="129">
        <v>15.5</v>
      </c>
      <c r="M456" s="109">
        <f t="shared" si="201"/>
        <v>-36.258064516129039</v>
      </c>
      <c r="N456" s="130">
        <f t="shared" si="202"/>
        <v>0</v>
      </c>
      <c r="O456" s="462"/>
      <c r="P456" s="462"/>
      <c r="Q456" s="462"/>
      <c r="R456" s="462"/>
      <c r="S456" s="462"/>
      <c r="T456" s="462"/>
      <c r="U456" s="462"/>
      <c r="V456" s="132">
        <f t="shared" si="206"/>
        <v>0</v>
      </c>
      <c r="W456" s="133">
        <f t="shared" si="207"/>
        <v>0</v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54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62"/>
      <c r="P457" s="462"/>
      <c r="Q457" s="462"/>
      <c r="R457" s="462"/>
      <c r="S457" s="462"/>
      <c r="T457" s="462"/>
      <c r="U457" s="462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54">
        <f t="shared" si="197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201"/>
        <v>0</v>
      </c>
      <c r="N458" s="130"/>
      <c r="O458" s="462"/>
      <c r="P458" s="462"/>
      <c r="Q458" s="462"/>
      <c r="R458" s="462"/>
      <c r="S458" s="462"/>
      <c r="T458" s="462"/>
      <c r="U458" s="462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54">
        <f t="shared" si="197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201"/>
        <v>0</v>
      </c>
      <c r="N459" s="130"/>
      <c r="O459" s="462"/>
      <c r="P459" s="462"/>
      <c r="Q459" s="462"/>
      <c r="R459" s="462"/>
      <c r="S459" s="462"/>
      <c r="T459" s="462"/>
      <c r="U459" s="462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54">
        <f t="shared" si="197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ref="N460:N462" si="208">SUM(O460:U460)</f>
        <v>0</v>
      </c>
      <c r="O460" s="462"/>
      <c r="P460" s="462"/>
      <c r="Q460" s="462"/>
      <c r="R460" s="462"/>
      <c r="S460" s="462"/>
      <c r="T460" s="462"/>
      <c r="U460" s="462"/>
      <c r="V460" s="132">
        <f t="shared" ref="V460:V462" si="209">SUM(X460:AA460)</f>
        <v>0</v>
      </c>
      <c r="W460" s="133" t="str">
        <f t="shared" ref="W460:W484" si="210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54">
        <f t="shared" si="197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201"/>
        <v>0</v>
      </c>
      <c r="N461" s="130">
        <f t="shared" si="208"/>
        <v>0</v>
      </c>
      <c r="O461" s="462"/>
      <c r="P461" s="462"/>
      <c r="Q461" s="462"/>
      <c r="R461" s="462"/>
      <c r="S461" s="462"/>
      <c r="T461" s="462"/>
      <c r="U461" s="462"/>
      <c r="V461" s="132">
        <f t="shared" si="209"/>
        <v>0</v>
      </c>
      <c r="W461" s="133" t="str">
        <f t="shared" si="210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54">
        <f t="shared" si="197"/>
        <v>0</v>
      </c>
      <c r="I462" s="129"/>
      <c r="J462" s="130" t="str">
        <f t="array" ref="J462">IF(ISERROR(G462/I462),"",G462/I462)</f>
        <v/>
      </c>
      <c r="K462" s="454">
        <f t="array" ref="K462">IF(ISERROR(G462/L462),"",G462/L462)</f>
        <v>0</v>
      </c>
      <c r="L462" s="129">
        <v>9</v>
      </c>
      <c r="M462" s="109">
        <f t="shared" si="201"/>
        <v>0</v>
      </c>
      <c r="N462" s="130">
        <f t="shared" si="208"/>
        <v>0</v>
      </c>
      <c r="O462" s="462"/>
      <c r="P462" s="462"/>
      <c r="Q462" s="462"/>
      <c r="R462" s="462"/>
      <c r="S462" s="462"/>
      <c r="T462" s="462"/>
      <c r="U462" s="462"/>
      <c r="V462" s="132">
        <f t="shared" si="209"/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463" t="s">
        <v>202</v>
      </c>
      <c r="D463" s="143"/>
      <c r="E463" s="143"/>
      <c r="F463" s="144"/>
      <c r="G463" s="145">
        <f>SUM(G429:G462)</f>
        <v>1440</v>
      </c>
      <c r="H463" s="146">
        <f>SUM(H429:H462)</f>
        <v>7285.17</v>
      </c>
      <c r="I463" s="146">
        <f>SUM(I429:I462)</f>
        <v>56</v>
      </c>
      <c r="J463" s="130">
        <f t="array" ref="J463">IF(ISERROR(G463/I463),"",G463/I463)</f>
        <v>25.714285714285715</v>
      </c>
      <c r="K463" s="146">
        <f>SUM(K429:K462)</f>
        <v>94.666666666666671</v>
      </c>
      <c r="L463" s="147"/>
      <c r="M463" s="150">
        <f t="shared" ref="M463:V463" si="211">SUM(M429:M462)</f>
        <v>-38.666666666666671</v>
      </c>
      <c r="N463" s="146">
        <f t="shared" si="211"/>
        <v>0</v>
      </c>
      <c r="O463" s="148">
        <f t="shared" si="211"/>
        <v>0</v>
      </c>
      <c r="P463" s="148">
        <f t="shared" si="211"/>
        <v>0</v>
      </c>
      <c r="Q463" s="148">
        <f t="shared" si="211"/>
        <v>0</v>
      </c>
      <c r="R463" s="148">
        <f t="shared" si="211"/>
        <v>0</v>
      </c>
      <c r="S463" s="148">
        <f t="shared" si="211"/>
        <v>0</v>
      </c>
      <c r="T463" s="148">
        <f t="shared" si="211"/>
        <v>0</v>
      </c>
      <c r="U463" s="148">
        <f t="shared" si="211"/>
        <v>0</v>
      </c>
      <c r="V463" s="149">
        <f t="shared" si="211"/>
        <v>0</v>
      </c>
      <c r="W463" s="133">
        <f t="shared" si="210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54">
        <f t="shared" ref="H464:H478" si="212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3">IF(ISERROR(I464-K464),"",I464-K464)</f>
        <v>0</v>
      </c>
      <c r="N464" s="130">
        <f t="shared" ref="N464:N478" si="214">SUM(O464:U464)</f>
        <v>0</v>
      </c>
      <c r="O464" s="462"/>
      <c r="P464" s="462"/>
      <c r="Q464" s="462"/>
      <c r="R464" s="462"/>
      <c r="S464" s="462"/>
      <c r="T464" s="462"/>
      <c r="U464" s="462"/>
      <c r="V464" s="132">
        <f t="shared" ref="V464:V478" si="215">SUM(X464:AA464)</f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54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3"/>
        <v>0</v>
      </c>
      <c r="N465" s="130">
        <f t="shared" si="214"/>
        <v>0</v>
      </c>
      <c r="O465" s="462"/>
      <c r="P465" s="462"/>
      <c r="Q465" s="462"/>
      <c r="R465" s="462"/>
      <c r="S465" s="462"/>
      <c r="T465" s="462"/>
      <c r="U465" s="462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54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3"/>
        <v>0</v>
      </c>
      <c r="N466" s="130">
        <f t="shared" si="214"/>
        <v>0</v>
      </c>
      <c r="O466" s="462"/>
      <c r="P466" s="462"/>
      <c r="Q466" s="462"/>
      <c r="R466" s="462"/>
      <c r="S466" s="462"/>
      <c r="T466" s="462"/>
      <c r="U466" s="462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54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62"/>
      <c r="P467" s="462"/>
      <c r="Q467" s="462"/>
      <c r="R467" s="462"/>
      <c r="S467" s="462"/>
      <c r="T467" s="462"/>
      <c r="U467" s="462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59" t="s">
        <v>203</v>
      </c>
      <c r="D468" s="108">
        <v>5.03</v>
      </c>
      <c r="E468" s="108"/>
      <c r="F468" s="127"/>
      <c r="G468" s="128"/>
      <c r="H468" s="454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62"/>
      <c r="P468" s="462"/>
      <c r="Q468" s="462"/>
      <c r="R468" s="462"/>
      <c r="S468" s="462"/>
      <c r="T468" s="462"/>
      <c r="U468" s="462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54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62"/>
      <c r="P469" s="462"/>
      <c r="Q469" s="462"/>
      <c r="R469" s="462"/>
      <c r="S469" s="462"/>
      <c r="T469" s="462"/>
      <c r="U469" s="462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54">
        <f t="shared" si="212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3"/>
        <v>0</v>
      </c>
      <c r="N470" s="130">
        <f t="shared" si="214"/>
        <v>0</v>
      </c>
      <c r="O470" s="462"/>
      <c r="P470" s="462"/>
      <c r="Q470" s="462"/>
      <c r="R470" s="462"/>
      <c r="S470" s="462"/>
      <c r="T470" s="462"/>
      <c r="U470" s="462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59" t="s">
        <v>228</v>
      </c>
      <c r="D471" s="108">
        <v>5.03</v>
      </c>
      <c r="E471" s="108"/>
      <c r="F471" s="127"/>
      <c r="G471" s="128"/>
      <c r="H471" s="454">
        <f t="shared" si="212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3"/>
        <v>0</v>
      </c>
      <c r="N471" s="130">
        <f t="shared" si="214"/>
        <v>0</v>
      </c>
      <c r="O471" s="462"/>
      <c r="P471" s="462"/>
      <c r="Q471" s="462"/>
      <c r="R471" s="462"/>
      <c r="S471" s="462"/>
      <c r="T471" s="462"/>
      <c r="U471" s="462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59" t="s">
        <v>212</v>
      </c>
      <c r="D472" s="108">
        <v>5.03</v>
      </c>
      <c r="E472" s="108"/>
      <c r="F472" s="127"/>
      <c r="G472" s="128"/>
      <c r="H472" s="454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62"/>
      <c r="P472" s="462"/>
      <c r="Q472" s="462"/>
      <c r="R472" s="462"/>
      <c r="S472" s="462"/>
      <c r="T472" s="462"/>
      <c r="U472" s="462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59" t="s">
        <v>203</v>
      </c>
      <c r="D473" s="108">
        <v>5.03</v>
      </c>
      <c r="E473" s="108"/>
      <c r="F473" s="127"/>
      <c r="G473" s="128"/>
      <c r="H473" s="454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62"/>
      <c r="P473" s="462"/>
      <c r="Q473" s="462"/>
      <c r="R473" s="462"/>
      <c r="S473" s="462"/>
      <c r="T473" s="462"/>
      <c r="U473" s="462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59" t="s">
        <v>186</v>
      </c>
      <c r="D474" s="108">
        <v>5.03</v>
      </c>
      <c r="E474" s="108"/>
      <c r="F474" s="127"/>
      <c r="G474" s="128"/>
      <c r="H474" s="454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62"/>
      <c r="P474" s="462"/>
      <c r="Q474" s="462"/>
      <c r="R474" s="462"/>
      <c r="S474" s="462"/>
      <c r="T474" s="462"/>
      <c r="U474" s="462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59" t="s">
        <v>228</v>
      </c>
      <c r="D475" s="108">
        <v>5.03</v>
      </c>
      <c r="E475" s="108"/>
      <c r="F475" s="127"/>
      <c r="G475" s="128"/>
      <c r="H475" s="454">
        <f t="shared" si="212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3"/>
        <v/>
      </c>
      <c r="N475" s="130">
        <f t="shared" si="214"/>
        <v>0</v>
      </c>
      <c r="O475" s="462"/>
      <c r="P475" s="462"/>
      <c r="Q475" s="462"/>
      <c r="R475" s="462"/>
      <c r="S475" s="462"/>
      <c r="T475" s="462"/>
      <c r="U475" s="462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59" t="s">
        <v>199</v>
      </c>
      <c r="D476" s="108">
        <v>5.03</v>
      </c>
      <c r="E476" s="108"/>
      <c r="F476" s="127"/>
      <c r="G476" s="128"/>
      <c r="H476" s="454">
        <f t="shared" si="212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3"/>
        <v/>
      </c>
      <c r="N476" s="130">
        <f t="shared" si="214"/>
        <v>0</v>
      </c>
      <c r="O476" s="462"/>
      <c r="P476" s="462"/>
      <c r="Q476" s="462"/>
      <c r="R476" s="462"/>
      <c r="S476" s="462"/>
      <c r="T476" s="462"/>
      <c r="U476" s="462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54">
        <f t="shared" si="212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3"/>
        <v>0</v>
      </c>
      <c r="N477" s="130">
        <f t="shared" si="214"/>
        <v>0</v>
      </c>
      <c r="O477" s="462"/>
      <c r="P477" s="462"/>
      <c r="Q477" s="462"/>
      <c r="R477" s="462"/>
      <c r="S477" s="462"/>
      <c r="T477" s="462"/>
      <c r="U477" s="462"/>
      <c r="V477" s="132">
        <f t="shared" si="215"/>
        <v>0</v>
      </c>
      <c r="W477" s="133" t="str">
        <f t="shared" si="210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54">
        <f t="shared" si="212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3"/>
        <v>0</v>
      </c>
      <c r="N478" s="130">
        <f t="shared" si="214"/>
        <v>0</v>
      </c>
      <c r="O478" s="462"/>
      <c r="P478" s="462"/>
      <c r="Q478" s="462"/>
      <c r="R478" s="462"/>
      <c r="S478" s="462"/>
      <c r="T478" s="462"/>
      <c r="U478" s="462"/>
      <c r="V478" s="132">
        <f t="shared" si="215"/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463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10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54">
        <f t="shared" ref="H480:H489" si="216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7">IF(ISERROR(I480-K480),"",I480-K480)</f>
        <v>0</v>
      </c>
      <c r="N480" s="130">
        <f t="shared" ref="N480:N484" si="218">SUM(O480:U480)</f>
        <v>0</v>
      </c>
      <c r="O480" s="462"/>
      <c r="P480" s="462"/>
      <c r="Q480" s="462"/>
      <c r="R480" s="462"/>
      <c r="S480" s="462"/>
      <c r="T480" s="462"/>
      <c r="U480" s="462"/>
      <c r="V480" s="132">
        <f t="shared" ref="V480:V484" si="219">SUM(X480:AA480)</f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54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62"/>
      <c r="P481" s="462"/>
      <c r="Q481" s="462"/>
      <c r="R481" s="462"/>
      <c r="S481" s="462"/>
      <c r="T481" s="462"/>
      <c r="U481" s="462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54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62"/>
      <c r="P482" s="462"/>
      <c r="Q482" s="462"/>
      <c r="R482" s="462"/>
      <c r="S482" s="462"/>
      <c r="T482" s="462"/>
      <c r="U482" s="462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54">
        <f t="shared" si="216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7"/>
        <v>0</v>
      </c>
      <c r="N483" s="130">
        <f t="shared" si="218"/>
        <v>0</v>
      </c>
      <c r="O483" s="462"/>
      <c r="P483" s="462"/>
      <c r="Q483" s="462"/>
      <c r="R483" s="462"/>
      <c r="S483" s="462"/>
      <c r="T483" s="462"/>
      <c r="U483" s="462"/>
      <c r="V483" s="132">
        <f t="shared" si="219"/>
        <v>0</v>
      </c>
      <c r="W483" s="133" t="str">
        <f t="shared" si="210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54">
        <f t="shared" si="216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7"/>
        <v>0</v>
      </c>
      <c r="N484" s="130">
        <f t="shared" si="218"/>
        <v>0</v>
      </c>
      <c r="O484" s="462"/>
      <c r="P484" s="462"/>
      <c r="Q484" s="462"/>
      <c r="R484" s="462"/>
      <c r="S484" s="462"/>
      <c r="T484" s="462"/>
      <c r="U484" s="462"/>
      <c r="V484" s="132">
        <f t="shared" si="219"/>
        <v>0</v>
      </c>
      <c r="W484" s="133" t="str">
        <f t="shared" si="210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54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62"/>
      <c r="P485" s="462"/>
      <c r="Q485" s="462"/>
      <c r="R485" s="462"/>
      <c r="S485" s="462"/>
      <c r="T485" s="462"/>
      <c r="U485" s="462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516</v>
      </c>
      <c r="D486" s="108">
        <v>5.04</v>
      </c>
      <c r="E486" s="108"/>
      <c r="F486" s="127"/>
      <c r="G486" s="128"/>
      <c r="H486" s="454">
        <f t="shared" si="216"/>
        <v>0</v>
      </c>
      <c r="I486" s="129"/>
      <c r="J486" s="130"/>
      <c r="K486" s="131"/>
      <c r="L486" s="129">
        <v>13.5</v>
      </c>
      <c r="M486" s="109"/>
      <c r="N486" s="130"/>
      <c r="O486" s="462"/>
      <c r="P486" s="462"/>
      <c r="Q486" s="462"/>
      <c r="R486" s="462"/>
      <c r="S486" s="462"/>
      <c r="T486" s="462"/>
      <c r="U486" s="462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517</v>
      </c>
      <c r="D487" s="108">
        <v>5.04</v>
      </c>
      <c r="E487" s="108"/>
      <c r="F487" s="127"/>
      <c r="G487" s="128"/>
      <c r="H487" s="454">
        <f t="shared" si="216"/>
        <v>0</v>
      </c>
      <c r="I487" s="129"/>
      <c r="J487" s="130"/>
      <c r="K487" s="131"/>
      <c r="L487" s="129">
        <v>13.5</v>
      </c>
      <c r="M487" s="109"/>
      <c r="N487" s="130"/>
      <c r="O487" s="462"/>
      <c r="P487" s="462"/>
      <c r="Q487" s="462"/>
      <c r="R487" s="462"/>
      <c r="S487" s="462"/>
      <c r="T487" s="462"/>
      <c r="U487" s="462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54">
        <f t="shared" si="216"/>
        <v>0</v>
      </c>
      <c r="I488" s="129"/>
      <c r="J488" s="130"/>
      <c r="K488" s="131"/>
      <c r="L488" s="129">
        <v>13.5</v>
      </c>
      <c r="M488" s="109"/>
      <c r="N488" s="130"/>
      <c r="O488" s="462"/>
      <c r="P488" s="462"/>
      <c r="Q488" s="462"/>
      <c r="R488" s="462"/>
      <c r="S488" s="462"/>
      <c r="T488" s="462"/>
      <c r="U488" s="462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54">
        <f t="shared" si="216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20">IF(ISERROR(I489-K489),"",I489-K489)</f>
        <v>0</v>
      </c>
      <c r="N489" s="130">
        <f t="shared" ref="N489" si="221">SUM(O489:U489)</f>
        <v>0</v>
      </c>
      <c r="O489" s="462"/>
      <c r="P489" s="462"/>
      <c r="Q489" s="462"/>
      <c r="R489" s="462"/>
      <c r="S489" s="462"/>
      <c r="T489" s="462"/>
      <c r="U489" s="462"/>
      <c r="V489" s="132">
        <f t="shared" ref="V489" si="222">SUM(X489:AA489)</f>
        <v>0</v>
      </c>
      <c r="W489" s="133" t="str">
        <f t="shared" ref="W489:W494" si="223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463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3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60"/>
      <c r="D491" s="108">
        <v>3.65</v>
      </c>
      <c r="E491" s="108"/>
      <c r="F491" s="153"/>
      <c r="G491" s="128"/>
      <c r="H491" s="454">
        <f t="shared" ref="H491:H505" si="224">D491*G491</f>
        <v>0</v>
      </c>
      <c r="I491" s="129"/>
      <c r="J491" s="130" t="str">
        <f t="array" ref="J491">IF(ISERROR(G491/I491),"",G491/I491)</f>
        <v/>
      </c>
      <c r="K491" s="454">
        <f t="array" ref="K491">IF(ISERROR(G491/L491),"",G491/L491)</f>
        <v>0</v>
      </c>
      <c r="L491" s="129">
        <v>5</v>
      </c>
      <c r="M491" s="109">
        <f t="shared" ref="M491:M494" si="225">IF(ISERROR(I491-K491),"",I491-K491)</f>
        <v>0</v>
      </c>
      <c r="N491" s="130">
        <f t="shared" ref="N491:N494" si="226">SUM(O491:U491)</f>
        <v>0</v>
      </c>
      <c r="O491" s="462"/>
      <c r="P491" s="462"/>
      <c r="Q491" s="462"/>
      <c r="R491" s="462"/>
      <c r="S491" s="462"/>
      <c r="T491" s="462"/>
      <c r="U491" s="462"/>
      <c r="V491" s="132">
        <f t="shared" ref="V491:V494" si="227">SUM(X491:AA491)</f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60"/>
      <c r="D492" s="108">
        <v>6.58</v>
      </c>
      <c r="E492" s="108"/>
      <c r="F492" s="127"/>
      <c r="G492" s="128"/>
      <c r="H492" s="454">
        <f t="shared" si="224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5"/>
        <v>0</v>
      </c>
      <c r="N492" s="130">
        <f t="shared" si="226"/>
        <v>0</v>
      </c>
      <c r="O492" s="462"/>
      <c r="P492" s="462"/>
      <c r="Q492" s="462"/>
      <c r="R492" s="462"/>
      <c r="S492" s="462"/>
      <c r="T492" s="462"/>
      <c r="U492" s="462"/>
      <c r="V492" s="132">
        <f t="shared" si="227"/>
        <v>0</v>
      </c>
      <c r="W492" s="133" t="str">
        <f t="shared" si="223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60"/>
      <c r="D493" s="108">
        <v>7.8</v>
      </c>
      <c r="E493" s="108"/>
      <c r="F493" s="127"/>
      <c r="G493" s="128"/>
      <c r="H493" s="454">
        <f t="shared" si="224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5"/>
        <v>0</v>
      </c>
      <c r="N493" s="130">
        <f t="shared" si="226"/>
        <v>0</v>
      </c>
      <c r="O493" s="462"/>
      <c r="P493" s="462"/>
      <c r="Q493" s="462"/>
      <c r="R493" s="462"/>
      <c r="S493" s="462"/>
      <c r="T493" s="462"/>
      <c r="U493" s="462"/>
      <c r="V493" s="132">
        <f t="shared" si="227"/>
        <v>0</v>
      </c>
      <c r="W493" s="133" t="str">
        <f t="shared" si="223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60"/>
      <c r="D494" s="108">
        <v>4.4000000000000004</v>
      </c>
      <c r="E494" s="108"/>
      <c r="F494" s="127"/>
      <c r="G494" s="128"/>
      <c r="H494" s="454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5"/>
        <v>0</v>
      </c>
      <c r="N494" s="130">
        <f t="shared" si="226"/>
        <v>0</v>
      </c>
      <c r="O494" s="462"/>
      <c r="P494" s="462"/>
      <c r="Q494" s="462"/>
      <c r="R494" s="462"/>
      <c r="S494" s="462"/>
      <c r="T494" s="462"/>
      <c r="U494" s="462"/>
      <c r="V494" s="132">
        <f t="shared" si="227"/>
        <v>0</v>
      </c>
      <c r="W494" s="133" t="str">
        <f t="shared" si="223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54">
        <f t="shared" si="224"/>
        <v>0</v>
      </c>
      <c r="I495" s="129"/>
      <c r="J495" s="130"/>
      <c r="K495" s="131"/>
      <c r="L495" s="129"/>
      <c r="M495" s="109"/>
      <c r="N495" s="130"/>
      <c r="O495" s="462"/>
      <c r="P495" s="462"/>
      <c r="Q495" s="462"/>
      <c r="R495" s="462"/>
      <c r="S495" s="462"/>
      <c r="T495" s="462"/>
      <c r="U495" s="462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60"/>
      <c r="D496" s="108"/>
      <c r="E496" s="108"/>
      <c r="F496" s="127"/>
      <c r="G496" s="128"/>
      <c r="H496" s="454">
        <f t="shared" si="224"/>
        <v>0</v>
      </c>
      <c r="I496" s="129"/>
      <c r="J496" s="130"/>
      <c r="K496" s="131"/>
      <c r="L496" s="129">
        <v>6</v>
      </c>
      <c r="M496" s="109"/>
      <c r="N496" s="130"/>
      <c r="O496" s="462"/>
      <c r="P496" s="462"/>
      <c r="Q496" s="462"/>
      <c r="R496" s="462"/>
      <c r="S496" s="462"/>
      <c r="T496" s="462"/>
      <c r="U496" s="462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60" t="s">
        <v>239</v>
      </c>
      <c r="C497" s="460" t="s">
        <v>179</v>
      </c>
      <c r="D497" s="108">
        <v>6.04</v>
      </c>
      <c r="E497" s="108"/>
      <c r="F497" s="127"/>
      <c r="G497" s="128"/>
      <c r="H497" s="454">
        <f t="shared" si="224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8">IF(ISERROR(I497-K497),"",I497-K497)</f>
        <v>0</v>
      </c>
      <c r="N497" s="130">
        <f t="shared" ref="N497:N498" si="229">SUM(O497:U497)</f>
        <v>0</v>
      </c>
      <c r="O497" s="462"/>
      <c r="P497" s="462"/>
      <c r="Q497" s="462"/>
      <c r="R497" s="462"/>
      <c r="S497" s="462"/>
      <c r="T497" s="462"/>
      <c r="U497" s="462"/>
      <c r="V497" s="132">
        <f t="shared" ref="V497:V498" si="230">SUM(X497:AA497)</f>
        <v>0</v>
      </c>
      <c r="W497" s="133" t="str">
        <f t="shared" ref="W497:W498" si="231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60" t="s">
        <v>239</v>
      </c>
      <c r="C498" s="460" t="s">
        <v>186</v>
      </c>
      <c r="D498" s="108">
        <v>6.04</v>
      </c>
      <c r="E498" s="108"/>
      <c r="F498" s="127"/>
      <c r="G498" s="128"/>
      <c r="H498" s="454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8"/>
        <v>0</v>
      </c>
      <c r="N498" s="130">
        <f t="shared" si="229"/>
        <v>0</v>
      </c>
      <c r="O498" s="462"/>
      <c r="P498" s="462"/>
      <c r="Q498" s="462"/>
      <c r="R498" s="462"/>
      <c r="S498" s="462"/>
      <c r="T498" s="462"/>
      <c r="U498" s="462"/>
      <c r="V498" s="132">
        <f t="shared" si="230"/>
        <v>0</v>
      </c>
      <c r="W498" s="133" t="str">
        <f t="shared" si="231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60" t="s">
        <v>443</v>
      </c>
      <c r="C499" s="460" t="s">
        <v>179</v>
      </c>
      <c r="D499" s="108"/>
      <c r="E499" s="108"/>
      <c r="F499" s="127"/>
      <c r="G499" s="128"/>
      <c r="H499" s="454">
        <f t="shared" si="224"/>
        <v>0</v>
      </c>
      <c r="I499" s="129"/>
      <c r="J499" s="130"/>
      <c r="K499" s="131"/>
      <c r="L499" s="129"/>
      <c r="M499" s="109"/>
      <c r="N499" s="130"/>
      <c r="O499" s="462"/>
      <c r="P499" s="462"/>
      <c r="Q499" s="462"/>
      <c r="R499" s="462"/>
      <c r="S499" s="462"/>
      <c r="T499" s="462"/>
      <c r="U499" s="462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60" t="s">
        <v>443</v>
      </c>
      <c r="C500" s="460" t="s">
        <v>186</v>
      </c>
      <c r="D500" s="108"/>
      <c r="E500" s="108"/>
      <c r="F500" s="127"/>
      <c r="G500" s="128"/>
      <c r="H500" s="454">
        <f t="shared" si="224"/>
        <v>0</v>
      </c>
      <c r="I500" s="129"/>
      <c r="J500" s="130"/>
      <c r="K500" s="131"/>
      <c r="L500" s="129"/>
      <c r="M500" s="109"/>
      <c r="N500" s="130"/>
      <c r="O500" s="462"/>
      <c r="P500" s="462"/>
      <c r="Q500" s="462"/>
      <c r="R500" s="462"/>
      <c r="S500" s="462"/>
      <c r="T500" s="462"/>
      <c r="U500" s="462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53" t="s">
        <v>240</v>
      </c>
      <c r="C501" s="126"/>
      <c r="D501" s="108">
        <v>7.3</v>
      </c>
      <c r="E501" s="108"/>
      <c r="F501" s="127"/>
      <c r="G501" s="128"/>
      <c r="H501" s="454">
        <f t="shared" si="224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2">IF(ISERROR(I501-K501),"",I501-K501)</f>
        <v>0</v>
      </c>
      <c r="N501" s="130">
        <f t="shared" ref="N501" si="233">SUM(O501:U501)</f>
        <v>0</v>
      </c>
      <c r="O501" s="462"/>
      <c r="P501" s="462"/>
      <c r="Q501" s="462"/>
      <c r="R501" s="462"/>
      <c r="S501" s="462"/>
      <c r="T501" s="462"/>
      <c r="U501" s="462"/>
      <c r="V501" s="132">
        <f t="shared" ref="V501" si="234">SUM(X501:AA501)</f>
        <v>0</v>
      </c>
      <c r="W501" s="133" t="str">
        <f t="shared" ref="W501" si="235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53" t="s">
        <v>241</v>
      </c>
      <c r="C502" s="126"/>
      <c r="D502" s="108">
        <f>78*120/1000</f>
        <v>9.36</v>
      </c>
      <c r="E502" s="108"/>
      <c r="F502" s="127"/>
      <c r="G502" s="128"/>
      <c r="H502" s="454">
        <f t="shared" si="224"/>
        <v>0</v>
      </c>
      <c r="I502" s="129"/>
      <c r="J502" s="130"/>
      <c r="K502" s="131"/>
      <c r="L502" s="129"/>
      <c r="M502" s="109"/>
      <c r="N502" s="130"/>
      <c r="O502" s="462"/>
      <c r="P502" s="462"/>
      <c r="Q502" s="462"/>
      <c r="R502" s="462"/>
      <c r="S502" s="462"/>
      <c r="T502" s="462"/>
      <c r="U502" s="462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53" t="s">
        <v>242</v>
      </c>
      <c r="C503" s="126"/>
      <c r="D503" s="108">
        <v>4.5</v>
      </c>
      <c r="E503" s="108"/>
      <c r="F503" s="127"/>
      <c r="G503" s="128"/>
      <c r="H503" s="454">
        <f t="shared" si="224"/>
        <v>0</v>
      </c>
      <c r="I503" s="129"/>
      <c r="J503" s="130"/>
      <c r="K503" s="131"/>
      <c r="L503" s="129"/>
      <c r="M503" s="109"/>
      <c r="N503" s="130"/>
      <c r="O503" s="462"/>
      <c r="P503" s="462"/>
      <c r="Q503" s="462"/>
      <c r="R503" s="462"/>
      <c r="S503" s="462"/>
      <c r="T503" s="462"/>
      <c r="U503" s="462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53" t="s">
        <v>243</v>
      </c>
      <c r="C504" s="126"/>
      <c r="D504" s="108">
        <v>4.5</v>
      </c>
      <c r="E504" s="108"/>
      <c r="F504" s="127"/>
      <c r="G504" s="128"/>
      <c r="H504" s="454">
        <f t="shared" si="224"/>
        <v>0</v>
      </c>
      <c r="I504" s="129"/>
      <c r="J504" s="130"/>
      <c r="K504" s="131"/>
      <c r="L504" s="129"/>
      <c r="M504" s="109"/>
      <c r="N504" s="130"/>
      <c r="O504" s="462"/>
      <c r="P504" s="462"/>
      <c r="Q504" s="462"/>
      <c r="R504" s="462"/>
      <c r="S504" s="462"/>
      <c r="T504" s="462"/>
      <c r="U504" s="462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53"/>
      <c r="C505" s="126"/>
      <c r="D505" s="108"/>
      <c r="E505" s="108"/>
      <c r="F505" s="127"/>
      <c r="G505" s="128"/>
      <c r="H505" s="454">
        <f t="shared" si="224"/>
        <v>0</v>
      </c>
      <c r="I505" s="129"/>
      <c r="J505" s="130"/>
      <c r="K505" s="131"/>
      <c r="L505" s="129"/>
      <c r="M505" s="109"/>
      <c r="N505" s="130"/>
      <c r="O505" s="462"/>
      <c r="P505" s="462"/>
      <c r="Q505" s="462"/>
      <c r="R505" s="462"/>
      <c r="S505" s="462"/>
      <c r="T505" s="462"/>
      <c r="U505" s="462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463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6">SUM(M491:M501)</f>
        <v>0</v>
      </c>
      <c r="N506" s="146">
        <f t="shared" si="236"/>
        <v>0</v>
      </c>
      <c r="O506" s="148">
        <f t="shared" si="236"/>
        <v>0</v>
      </c>
      <c r="P506" s="148">
        <f t="shared" si="236"/>
        <v>0</v>
      </c>
      <c r="Q506" s="148">
        <f t="shared" si="236"/>
        <v>0</v>
      </c>
      <c r="R506" s="148">
        <f t="shared" si="236"/>
        <v>0</v>
      </c>
      <c r="S506" s="148">
        <f t="shared" si="236"/>
        <v>0</v>
      </c>
      <c r="T506" s="148">
        <f t="shared" si="236"/>
        <v>0</v>
      </c>
      <c r="U506" s="148">
        <f t="shared" si="236"/>
        <v>0</v>
      </c>
      <c r="V506" s="149">
        <f t="shared" si="236"/>
        <v>0</v>
      </c>
      <c r="W506" s="133">
        <f t="shared" si="236"/>
        <v>0</v>
      </c>
      <c r="X506" s="149">
        <f t="shared" si="236"/>
        <v>0</v>
      </c>
      <c r="Y506" s="149">
        <f t="shared" si="236"/>
        <v>0</v>
      </c>
      <c r="Z506" s="149">
        <f t="shared" si="236"/>
        <v>0</v>
      </c>
      <c r="AA506" s="149">
        <f t="shared" si="236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1440</v>
      </c>
      <c r="H507" s="154">
        <f>SUM(H370,H428,H463,H479,H490,H506)</f>
        <v>7285.17</v>
      </c>
      <c r="I507" s="154">
        <f>SUM(I370,I428,I463,I479,I490,I506)</f>
        <v>56</v>
      </c>
      <c r="J507" s="155">
        <f t="array" ref="J507">IF(ISERROR(G507/I507),"",G507/I507)</f>
        <v>25.714285714285715</v>
      </c>
      <c r="K507" s="154">
        <f>SUM(K370,K428,K463,K479,K490,K506)</f>
        <v>94.666666666666671</v>
      </c>
      <c r="L507" s="155">
        <f>IF(ISERROR(G507/K507),"",G507/K507)</f>
        <v>15.211267605633802</v>
      </c>
      <c r="M507" s="154">
        <f t="shared" ref="M507:V507" si="237">SUM(M370,M428,M463,M479,M490,M506)</f>
        <v>-38.666666666666671</v>
      </c>
      <c r="N507" s="154">
        <f t="shared" si="237"/>
        <v>0</v>
      </c>
      <c r="O507" s="154">
        <f t="shared" si="237"/>
        <v>0</v>
      </c>
      <c r="P507" s="154">
        <f t="shared" si="237"/>
        <v>0</v>
      </c>
      <c r="Q507" s="154">
        <f t="shared" si="237"/>
        <v>0</v>
      </c>
      <c r="R507" s="154">
        <f t="shared" si="237"/>
        <v>0</v>
      </c>
      <c r="S507" s="154">
        <f t="shared" si="237"/>
        <v>0</v>
      </c>
      <c r="T507" s="154">
        <f t="shared" si="237"/>
        <v>0</v>
      </c>
      <c r="U507" s="154">
        <f t="shared" si="237"/>
        <v>0</v>
      </c>
      <c r="V507" s="154">
        <f t="shared" si="237"/>
        <v>0</v>
      </c>
      <c r="W507" s="156">
        <f t="shared" ref="W507" si="238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456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456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456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456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456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456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456">
        <f>G507</f>
        <v>1440</v>
      </c>
      <c r="C514" s="638" t="s">
        <v>269</v>
      </c>
      <c r="D514" s="639"/>
      <c r="E514" s="631">
        <f>H507</f>
        <v>7285.17</v>
      </c>
      <c r="F514" s="631"/>
      <c r="G514" s="631" t="s">
        <v>270</v>
      </c>
      <c r="H514" s="631"/>
      <c r="I514" s="640">
        <f>L507</f>
        <v>15.211267605633802</v>
      </c>
      <c r="J514" s="640"/>
      <c r="K514" s="628" t="s">
        <v>271</v>
      </c>
      <c r="L514" s="628"/>
      <c r="M514" s="640">
        <f>J507</f>
        <v>25.714285714285715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456">
        <f>I507+C513</f>
        <v>57</v>
      </c>
      <c r="C515" s="641" t="s">
        <v>251</v>
      </c>
      <c r="D515" s="642"/>
      <c r="E515" s="643">
        <f>K507+I513</f>
        <v>105.66666666666667</v>
      </c>
      <c r="F515" s="643"/>
      <c r="G515" s="631" t="s">
        <v>274</v>
      </c>
      <c r="H515" s="631"/>
      <c r="I515" s="640">
        <f>B515-E515</f>
        <v>-48.666666666666671</v>
      </c>
      <c r="J515" s="640"/>
      <c r="K515" s="628" t="s">
        <v>275</v>
      </c>
      <c r="L515" s="628"/>
      <c r="M515" s="632">
        <f>IF(ISERROR(I515/E515),"",I515/E515)</f>
        <v>-0.4605678233438486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456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45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13791</v>
      </c>
      <c r="D519" s="627"/>
      <c r="E519" s="673" t="s">
        <v>269</v>
      </c>
      <c r="F519" s="673"/>
      <c r="G519" s="643">
        <f>SUM(E171,E342,E514)</f>
        <v>70137.14</v>
      </c>
      <c r="H519" s="643"/>
      <c r="I519" s="631" t="s">
        <v>270</v>
      </c>
      <c r="J519" s="673"/>
      <c r="K519" s="626">
        <f>IF(ISERROR(C519/G520),"",C519/G520)</f>
        <v>16.684961563765977</v>
      </c>
      <c r="L519" s="627"/>
      <c r="M519" s="631" t="s">
        <v>271</v>
      </c>
      <c r="N519" s="631"/>
      <c r="O519" s="668">
        <f t="array" ref="O519">IF(ISERROR(C519/C520),"",C519/C520)</f>
        <v>17.938578805655641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768.79</v>
      </c>
      <c r="D520" s="627"/>
      <c r="E520" s="631" t="s">
        <v>251</v>
      </c>
      <c r="F520" s="631"/>
      <c r="G520" s="643">
        <f>SUM(E172,E343,E515)</f>
        <v>826.55269820634942</v>
      </c>
      <c r="H520" s="643"/>
      <c r="I520" s="641" t="s">
        <v>274</v>
      </c>
      <c r="J520" s="642"/>
      <c r="K520" s="638">
        <f>C520-G520</f>
        <v>-57.762698206349455</v>
      </c>
      <c r="L520" s="639"/>
      <c r="M520" s="638" t="s">
        <v>275</v>
      </c>
      <c r="N520" s="639"/>
      <c r="O520" s="671">
        <f>IF(ISERROR(K520/C520),"",K520/C520)</f>
        <v>-7.5134559771003084E-2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5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3421</v>
      </c>
      <c r="D524" s="642"/>
      <c r="E524" s="681">
        <f>IF(ISERROR(C524/C530),"",C524/C530)</f>
        <v>0.24806032920020304</v>
      </c>
      <c r="F524" s="682"/>
      <c r="G524" s="676"/>
      <c r="H524" s="677"/>
      <c r="I524" s="683" t="s">
        <v>301</v>
      </c>
      <c r="J524" s="684"/>
      <c r="K524" s="638">
        <f t="shared" ref="K524:K529" si="239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40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5007</v>
      </c>
      <c r="D525" s="642"/>
      <c r="E525" s="681">
        <f>IF(ISERROR(C525/C530),"",C525/C530)</f>
        <v>0.36306286708723079</v>
      </c>
      <c r="F525" s="682"/>
      <c r="G525" s="676"/>
      <c r="H525" s="677"/>
      <c r="I525" s="683" t="s">
        <v>302</v>
      </c>
      <c r="J525" s="684"/>
      <c r="K525" s="638">
        <f t="shared" si="239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40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1844</v>
      </c>
      <c r="D526" s="642"/>
      <c r="E526" s="681">
        <f>IF(ISERROR(C526/C530),"",C526/C530)</f>
        <v>0.13371039083460229</v>
      </c>
      <c r="F526" s="682"/>
      <c r="G526" s="676"/>
      <c r="H526" s="677"/>
      <c r="I526" s="683" t="s">
        <v>303</v>
      </c>
      <c r="J526" s="684"/>
      <c r="K526" s="638">
        <f t="shared" si="239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40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1852</v>
      </c>
      <c r="D527" s="642"/>
      <c r="E527" s="681">
        <f>IF(ISERROR(C527/C530),"",C527/C530)</f>
        <v>0.13429047929809296</v>
      </c>
      <c r="F527" s="682"/>
      <c r="G527" s="676"/>
      <c r="H527" s="677"/>
      <c r="I527" s="683" t="s">
        <v>304</v>
      </c>
      <c r="J527" s="684"/>
      <c r="K527" s="638">
        <f t="shared" si="239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40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1237</v>
      </c>
      <c r="D528" s="642"/>
      <c r="E528" s="681">
        <f>IF(ISERROR(C528/C530),"",C528/C530)</f>
        <v>8.9696178667246759E-2</v>
      </c>
      <c r="F528" s="682"/>
      <c r="G528" s="676"/>
      <c r="H528" s="677"/>
      <c r="I528" s="683" t="s">
        <v>306</v>
      </c>
      <c r="J528" s="684"/>
      <c r="K528" s="638">
        <f t="shared" si="239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40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430</v>
      </c>
      <c r="D529" s="642"/>
      <c r="E529" s="681">
        <f>IF(ISERROR(C529/C530),"",C529/C530)</f>
        <v>3.1179754912624175E-2</v>
      </c>
      <c r="F529" s="682"/>
      <c r="G529" s="676"/>
      <c r="H529" s="677"/>
      <c r="I529" s="683" t="s">
        <v>307</v>
      </c>
      <c r="J529" s="684"/>
      <c r="K529" s="638">
        <f t="shared" si="239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40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13791</v>
      </c>
      <c r="D530" s="642"/>
      <c r="E530" s="681">
        <f>SUM(E524:F529)</f>
        <v>1.0000000000000002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50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460" t="s">
        <v>309</v>
      </c>
      <c r="D532" s="460" t="s">
        <v>310</v>
      </c>
      <c r="E532" s="460" t="s">
        <v>311</v>
      </c>
      <c r="F532" s="460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62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54" t="s">
        <v>322</v>
      </c>
      <c r="Q532" s="129" t="s">
        <v>323</v>
      </c>
      <c r="R532" s="109" t="s">
        <v>324</v>
      </c>
      <c r="S532" s="460" t="s">
        <v>325</v>
      </c>
      <c r="T532" s="460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+'5'!C533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61">
        <f t="array" ref="S533">IF(ISERROR(Q533/J533),"",Q533/J533)</f>
        <v>1</v>
      </c>
      <c r="T533" s="46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44</v>
      </c>
      <c r="D534" s="106">
        <f>+'5'!C534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/>
      <c r="L534" s="106"/>
      <c r="M534" s="106"/>
      <c r="N534" s="106"/>
      <c r="O534" s="110"/>
      <c r="P534" s="111"/>
      <c r="Q534" s="106">
        <f>J534-K534-L534</f>
        <v>44</v>
      </c>
      <c r="R534" s="109">
        <f>Q534*11-M534-N534</f>
        <v>484</v>
      </c>
      <c r="S534" s="461">
        <f t="array" ref="S534">IF(ISERROR(Q534/J534),"",Q534/J534)</f>
        <v>1</v>
      </c>
      <c r="T534" s="46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+'5'!C535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61">
        <f t="array" ref="S535">IF(ISERROR(Q535/J535),"",Q535/J535)</f>
        <v>1</v>
      </c>
      <c r="T535" s="46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100</v>
      </c>
      <c r="D536" s="112">
        <f t="shared" ref="D536:N536" si="241">SUM(D533:D535)</f>
        <v>100</v>
      </c>
      <c r="E536" s="112">
        <f t="shared" si="241"/>
        <v>0</v>
      </c>
      <c r="F536" s="112">
        <f t="shared" si="241"/>
        <v>0</v>
      </c>
      <c r="G536" s="113">
        <f t="shared" si="241"/>
        <v>0</v>
      </c>
      <c r="H536" s="112">
        <f t="shared" si="241"/>
        <v>0</v>
      </c>
      <c r="I536" s="112">
        <f t="shared" si="241"/>
        <v>0</v>
      </c>
      <c r="J536" s="112">
        <f t="shared" si="241"/>
        <v>100</v>
      </c>
      <c r="K536" s="112">
        <f t="shared" si="241"/>
        <v>0</v>
      </c>
      <c r="L536" s="112">
        <f t="shared" si="241"/>
        <v>0</v>
      </c>
      <c r="M536" s="112">
        <f t="shared" si="241"/>
        <v>0</v>
      </c>
      <c r="N536" s="112">
        <f t="shared" si="241"/>
        <v>0</v>
      </c>
      <c r="O536" s="112">
        <f>SUM(O533:O535)</f>
        <v>0</v>
      </c>
      <c r="P536" s="112">
        <f>SUM(P533:P535)</f>
        <v>0</v>
      </c>
      <c r="Q536" s="112">
        <f>SUM(Q533:Q535)</f>
        <v>100</v>
      </c>
      <c r="R536" s="114">
        <f>SUM(R533:R535)</f>
        <v>1100</v>
      </c>
      <c r="S536" s="115">
        <f t="array" ref="S536">IF(ISERROR(Q536/J536),"",Q536/J536)</f>
        <v>1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348" activePane="bottomRight" state="frozen"/>
      <selection activeCell="E487" sqref="E487"/>
      <selection pane="topRight" activeCell="E487" sqref="E487"/>
      <selection pane="bottomLeft" activeCell="E487" sqref="E487"/>
      <selection pane="bottomRight" activeCell="G433" sqref="G433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476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465" t="s">
        <v>178</v>
      </c>
      <c r="C7" s="126" t="s">
        <v>179</v>
      </c>
      <c r="D7" s="108">
        <v>5.03</v>
      </c>
      <c r="E7" s="108"/>
      <c r="F7" s="127"/>
      <c r="G7" s="128"/>
      <c r="H7" s="46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4"/>
      <c r="P7" s="474"/>
      <c r="Q7" s="474"/>
      <c r="R7" s="474"/>
      <c r="S7" s="474"/>
      <c r="T7" s="474"/>
      <c r="U7" s="47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4"/>
      <c r="Q8" s="474"/>
      <c r="R8" s="474"/>
      <c r="S8" s="474"/>
      <c r="T8" s="474"/>
      <c r="U8" s="47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4"/>
      <c r="P9" s="474"/>
      <c r="Q9" s="474"/>
      <c r="R9" s="474"/>
      <c r="S9" s="474"/>
      <c r="T9" s="474"/>
      <c r="U9" s="47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4"/>
      <c r="P10" s="474"/>
      <c r="Q10" s="474"/>
      <c r="R10" s="474"/>
      <c r="S10" s="474"/>
      <c r="T10" s="474"/>
      <c r="U10" s="47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4"/>
      <c r="P11" s="474"/>
      <c r="Q11" s="474"/>
      <c r="R11" s="474"/>
      <c r="S11" s="474"/>
      <c r="T11" s="474"/>
      <c r="U11" s="47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6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4"/>
      <c r="P12" s="474"/>
      <c r="Q12" s="474"/>
      <c r="R12" s="474"/>
      <c r="S12" s="474"/>
      <c r="T12" s="474"/>
      <c r="U12" s="47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4"/>
      <c r="P13" s="474"/>
      <c r="Q13" s="474"/>
      <c r="R13" s="474"/>
      <c r="S13" s="474"/>
      <c r="T13" s="474"/>
      <c r="U13" s="47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4"/>
      <c r="P14" s="474"/>
      <c r="Q14" s="474"/>
      <c r="R14" s="474"/>
      <c r="S14" s="474"/>
      <c r="T14" s="474"/>
      <c r="U14" s="47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6">
        <f t="shared" si="0"/>
        <v>0</v>
      </c>
      <c r="I15" s="46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4"/>
      <c r="P15" s="474"/>
      <c r="Q15" s="474"/>
      <c r="R15" s="474"/>
      <c r="S15" s="474"/>
      <c r="T15" s="474"/>
      <c r="U15" s="47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42741</v>
      </c>
      <c r="G16" s="152">
        <f>99+100*7</f>
        <v>799</v>
      </c>
      <c r="H16" s="466">
        <f t="shared" si="0"/>
        <v>4026.96</v>
      </c>
      <c r="I16" s="466">
        <v>47</v>
      </c>
      <c r="J16" s="130">
        <f t="array" ref="J16">IF(ISERROR(G16/I16),"",G16/I16)</f>
        <v>17</v>
      </c>
      <c r="K16" s="131">
        <f t="array" ref="K16">IF(ISERROR(G16/L16),"",G16/L16)</f>
        <v>47</v>
      </c>
      <c r="L16" s="129">
        <v>17</v>
      </c>
      <c r="M16" s="109">
        <f t="shared" si="1"/>
        <v>0</v>
      </c>
      <c r="N16" s="130">
        <f t="shared" si="4"/>
        <v>0</v>
      </c>
      <c r="O16" s="474"/>
      <c r="P16" s="474"/>
      <c r="Q16" s="474"/>
      <c r="R16" s="474"/>
      <c r="S16" s="474"/>
      <c r="T16" s="474"/>
      <c r="U16" s="474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4"/>
      <c r="P17" s="474"/>
      <c r="Q17" s="474"/>
      <c r="R17" s="474"/>
      <c r="S17" s="474"/>
      <c r="T17" s="474"/>
      <c r="U17" s="47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4"/>
      <c r="P18" s="474"/>
      <c r="Q18" s="474"/>
      <c r="R18" s="474"/>
      <c r="S18" s="474"/>
      <c r="T18" s="474"/>
      <c r="U18" s="47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6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74"/>
      <c r="P19" s="474"/>
      <c r="Q19" s="474"/>
      <c r="R19" s="474"/>
      <c r="S19" s="474"/>
      <c r="T19" s="474"/>
      <c r="U19" s="474"/>
      <c r="V19" s="132">
        <f t="shared" ref="V19:V21" si="5">SUM(X19:AA19)</f>
        <v>0</v>
      </c>
      <c r="W19" s="46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4"/>
      <c r="P20" s="474"/>
      <c r="Q20" s="474"/>
      <c r="R20" s="474"/>
      <c r="S20" s="474"/>
      <c r="T20" s="474"/>
      <c r="U20" s="47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4"/>
      <c r="P21" s="474"/>
      <c r="Q21" s="474"/>
      <c r="R21" s="474"/>
      <c r="S21" s="474"/>
      <c r="T21" s="474"/>
      <c r="U21" s="47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2" t="s">
        <v>190</v>
      </c>
      <c r="D22" s="108">
        <v>4.8</v>
      </c>
      <c r="E22" s="108"/>
      <c r="F22" s="127"/>
      <c r="G22" s="128"/>
      <c r="H22" s="46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4"/>
      <c r="P22" s="474"/>
      <c r="Q22" s="474"/>
      <c r="R22" s="474"/>
      <c r="S22" s="474"/>
      <c r="T22" s="474"/>
      <c r="U22" s="47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2" t="s">
        <v>187</v>
      </c>
      <c r="D23" s="108">
        <v>4.8</v>
      </c>
      <c r="E23" s="108"/>
      <c r="F23" s="127"/>
      <c r="G23" s="128"/>
      <c r="H23" s="46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4"/>
      <c r="P23" s="474"/>
      <c r="Q23" s="474"/>
      <c r="R23" s="474"/>
      <c r="S23" s="474"/>
      <c r="T23" s="474"/>
      <c r="U23" s="47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2" t="s">
        <v>179</v>
      </c>
      <c r="D24" s="108">
        <v>4.8</v>
      </c>
      <c r="E24" s="108"/>
      <c r="F24" s="127"/>
      <c r="G24" s="128"/>
      <c r="H24" s="46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4"/>
      <c r="P24" s="474"/>
      <c r="Q24" s="474"/>
      <c r="R24" s="474"/>
      <c r="S24" s="474"/>
      <c r="T24" s="474"/>
      <c r="U24" s="47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2" t="s">
        <v>199</v>
      </c>
      <c r="D25" s="108">
        <v>4.8</v>
      </c>
      <c r="E25" s="108"/>
      <c r="F25" s="127"/>
      <c r="G25" s="128"/>
      <c r="H25" s="46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4"/>
      <c r="P25" s="474"/>
      <c r="Q25" s="474"/>
      <c r="R25" s="474"/>
      <c r="S25" s="474"/>
      <c r="T25" s="474"/>
      <c r="U25" s="47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6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4"/>
      <c r="P26" s="474"/>
      <c r="Q26" s="474"/>
      <c r="R26" s="474"/>
      <c r="S26" s="474"/>
      <c r="T26" s="474"/>
      <c r="U26" s="47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4"/>
      <c r="P27" s="474"/>
      <c r="Q27" s="474"/>
      <c r="R27" s="474"/>
      <c r="S27" s="474"/>
      <c r="T27" s="474"/>
      <c r="U27" s="47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475" t="s">
        <v>202</v>
      </c>
      <c r="D28" s="143"/>
      <c r="E28" s="143"/>
      <c r="F28" s="144"/>
      <c r="G28" s="145">
        <f>SUM(G7:G27)</f>
        <v>799</v>
      </c>
      <c r="H28" s="146">
        <f>SUM(H7:H27)</f>
        <v>4026.96</v>
      </c>
      <c r="I28" s="146">
        <f>SUM(I7:I27)</f>
        <v>47</v>
      </c>
      <c r="J28" s="130">
        <f t="array" ref="J28">IF(ISERROR(G28/I28),"",G28/I28)</f>
        <v>17</v>
      </c>
      <c r="K28" s="146">
        <f>SUM(K7:K27)</f>
        <v>47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65" t="s">
        <v>206</v>
      </c>
      <c r="C29" s="126" t="s">
        <v>199</v>
      </c>
      <c r="D29" s="108">
        <v>5.03</v>
      </c>
      <c r="E29" s="108"/>
      <c r="F29" s="127"/>
      <c r="G29" s="128"/>
      <c r="H29" s="46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0"/>
      <c r="P29" s="470"/>
      <c r="Q29" s="470"/>
      <c r="R29" s="470"/>
      <c r="S29" s="470"/>
      <c r="T29" s="470"/>
      <c r="U29" s="47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65" t="s">
        <v>425</v>
      </c>
      <c r="C30" s="187" t="s">
        <v>427</v>
      </c>
      <c r="D30" s="108">
        <v>5.03</v>
      </c>
      <c r="E30" s="108"/>
      <c r="F30" s="127"/>
      <c r="G30" s="128"/>
      <c r="H30" s="46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0"/>
      <c r="P30" s="470"/>
      <c r="Q30" s="470"/>
      <c r="R30" s="470"/>
      <c r="S30" s="470"/>
      <c r="T30" s="470"/>
      <c r="U30" s="47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65" t="s">
        <v>206</v>
      </c>
      <c r="C31" s="126" t="s">
        <v>186</v>
      </c>
      <c r="D31" s="108">
        <v>5.03</v>
      </c>
      <c r="E31" s="108"/>
      <c r="F31" s="127"/>
      <c r="G31" s="128"/>
      <c r="H31" s="466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70"/>
      <c r="P31" s="470"/>
      <c r="Q31" s="470"/>
      <c r="R31" s="470"/>
      <c r="S31" s="470"/>
      <c r="T31" s="470"/>
      <c r="U31" s="47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65" t="s">
        <v>206</v>
      </c>
      <c r="C32" s="126" t="s">
        <v>203</v>
      </c>
      <c r="D32" s="108">
        <v>5.03</v>
      </c>
      <c r="E32" s="108"/>
      <c r="F32" s="127"/>
      <c r="G32" s="128"/>
      <c r="H32" s="466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0"/>
      <c r="P32" s="470"/>
      <c r="Q32" s="470"/>
      <c r="R32" s="470"/>
      <c r="S32" s="470"/>
      <c r="T32" s="470"/>
      <c r="U32" s="47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65" t="s">
        <v>206</v>
      </c>
      <c r="C33" s="126" t="s">
        <v>207</v>
      </c>
      <c r="D33" s="108">
        <v>5.03</v>
      </c>
      <c r="E33" s="108"/>
      <c r="F33" s="127"/>
      <c r="G33" s="128"/>
      <c r="H33" s="46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0"/>
      <c r="P33" s="470"/>
      <c r="Q33" s="470"/>
      <c r="R33" s="470"/>
      <c r="S33" s="470"/>
      <c r="T33" s="470"/>
      <c r="U33" s="47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65" t="s">
        <v>414</v>
      </c>
      <c r="C34" s="187" t="s">
        <v>415</v>
      </c>
      <c r="D34" s="108">
        <v>5.03</v>
      </c>
      <c r="E34" s="108"/>
      <c r="F34" s="127">
        <v>42741</v>
      </c>
      <c r="G34" s="152">
        <f>108+19+108*4</f>
        <v>559</v>
      </c>
      <c r="H34" s="466">
        <f t="shared" si="11"/>
        <v>2811.77</v>
      </c>
      <c r="I34" s="129">
        <v>11</v>
      </c>
      <c r="J34" s="130">
        <f t="array" ref="J34">IF(ISERROR(G34/I34),"",G34/I34)</f>
        <v>50.81818181818182</v>
      </c>
      <c r="K34" s="131">
        <f t="array" ref="K34">IF(ISERROR(G34/L34),"",G34/L34)</f>
        <v>10.75</v>
      </c>
      <c r="L34" s="129">
        <v>52</v>
      </c>
      <c r="M34" s="109">
        <f t="shared" si="15"/>
        <v>0.25</v>
      </c>
      <c r="N34" s="130"/>
      <c r="O34" s="470"/>
      <c r="P34" s="470"/>
      <c r="Q34" s="470"/>
      <c r="R34" s="470"/>
      <c r="S34" s="470"/>
      <c r="T34" s="470"/>
      <c r="U34" s="470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65" t="s">
        <v>414</v>
      </c>
      <c r="C35" s="187" t="s">
        <v>416</v>
      </c>
      <c r="D35" s="108">
        <v>5.03</v>
      </c>
      <c r="E35" s="108"/>
      <c r="F35" s="127">
        <v>42741</v>
      </c>
      <c r="G35" s="152">
        <f>33+108*5</f>
        <v>573</v>
      </c>
      <c r="H35" s="466">
        <f t="shared" si="11"/>
        <v>2882.19</v>
      </c>
      <c r="I35" s="129">
        <v>11</v>
      </c>
      <c r="J35" s="130">
        <f t="array" ref="J35">IF(ISERROR(G35/I35),"",G35/I35)</f>
        <v>52.090909090909093</v>
      </c>
      <c r="K35" s="131">
        <f t="array" ref="K35">IF(ISERROR(G35/L35),"",G35/L35)</f>
        <v>11.01923076923077</v>
      </c>
      <c r="L35" s="129">
        <v>52</v>
      </c>
      <c r="M35" s="109">
        <f t="shared" si="15"/>
        <v>-1.9230769230770051E-2</v>
      </c>
      <c r="N35" s="130"/>
      <c r="O35" s="470"/>
      <c r="P35" s="470"/>
      <c r="Q35" s="470"/>
      <c r="R35" s="470"/>
      <c r="S35" s="470"/>
      <c r="T35" s="470"/>
      <c r="U35" s="47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65" t="s">
        <v>414</v>
      </c>
      <c r="C36" s="187" t="s">
        <v>61</v>
      </c>
      <c r="D36" s="108">
        <v>5.03</v>
      </c>
      <c r="E36" s="108"/>
      <c r="F36" s="127"/>
      <c r="G36" s="128"/>
      <c r="H36" s="466">
        <f t="shared" si="11"/>
        <v>0</v>
      </c>
      <c r="I36" s="129"/>
      <c r="J36" s="130"/>
      <c r="K36" s="131"/>
      <c r="L36" s="129">
        <v>52</v>
      </c>
      <c r="M36" s="109"/>
      <c r="N36" s="130"/>
      <c r="O36" s="470"/>
      <c r="P36" s="470"/>
      <c r="Q36" s="470"/>
      <c r="R36" s="470"/>
      <c r="S36" s="470"/>
      <c r="T36" s="470"/>
      <c r="U36" s="470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465" t="s">
        <v>208</v>
      </c>
      <c r="C37" s="126" t="s">
        <v>179</v>
      </c>
      <c r="D37" s="108">
        <v>5.08</v>
      </c>
      <c r="E37" s="108"/>
      <c r="F37" s="127">
        <v>42742</v>
      </c>
      <c r="G37" s="152">
        <f>108+39+3+108*2</f>
        <v>366</v>
      </c>
      <c r="H37" s="466">
        <f t="shared" si="11"/>
        <v>1859.28</v>
      </c>
      <c r="I37" s="129">
        <v>17.5</v>
      </c>
      <c r="J37" s="130">
        <f t="array" ref="J37">IF(ISERROR(G37/I37),"",G37/I37)</f>
        <v>20.914285714285715</v>
      </c>
      <c r="K37" s="131">
        <f t="array" ref="K37">IF(ISERROR(G37/L37),"",G37/L37)</f>
        <v>17.428571428571427</v>
      </c>
      <c r="L37" s="129">
        <v>21</v>
      </c>
      <c r="M37" s="109">
        <f t="shared" ref="M37:M66" si="19">IF(ISERROR(I37-K37),"",I37-K37)</f>
        <v>7.1428571428572951E-2</v>
      </c>
      <c r="N37" s="130">
        <f t="shared" ref="N37:N52" si="20">SUM(O37:U37)</f>
        <v>0</v>
      </c>
      <c r="O37" s="470"/>
      <c r="P37" s="470"/>
      <c r="Q37" s="470"/>
      <c r="R37" s="470"/>
      <c r="S37" s="470"/>
      <c r="T37" s="470"/>
      <c r="U37" s="470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465" t="s">
        <v>208</v>
      </c>
      <c r="C38" s="126" t="s">
        <v>204</v>
      </c>
      <c r="D38" s="108">
        <v>5.08</v>
      </c>
      <c r="E38" s="108"/>
      <c r="F38" s="127">
        <v>42742</v>
      </c>
      <c r="G38" s="152">
        <f>17+108*3</f>
        <v>341</v>
      </c>
      <c r="H38" s="466">
        <f t="shared" si="11"/>
        <v>1732.28</v>
      </c>
      <c r="I38" s="129">
        <v>16</v>
      </c>
      <c r="J38" s="130">
        <f t="array" ref="J38">IF(ISERROR(G38/I38),"",G38/I38)</f>
        <v>21.3125</v>
      </c>
      <c r="K38" s="131">
        <f t="array" ref="K38">IF(ISERROR(G38/L38),"",G38/L38)</f>
        <v>16.238095238095237</v>
      </c>
      <c r="L38" s="129">
        <v>21</v>
      </c>
      <c r="M38" s="109">
        <f t="shared" si="19"/>
        <v>-0.23809523809523725</v>
      </c>
      <c r="N38" s="130">
        <f t="shared" si="20"/>
        <v>0</v>
      </c>
      <c r="O38" s="470"/>
      <c r="P38" s="470"/>
      <c r="Q38" s="470"/>
      <c r="R38" s="470"/>
      <c r="S38" s="470"/>
      <c r="T38" s="470"/>
      <c r="U38" s="470"/>
      <c r="V38" s="132">
        <f t="shared" si="21"/>
        <v>0</v>
      </c>
      <c r="W38" s="133">
        <f t="shared" si="22"/>
        <v>0</v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65" t="s">
        <v>208</v>
      </c>
      <c r="C39" s="126" t="s">
        <v>205</v>
      </c>
      <c r="D39" s="108">
        <v>5.08</v>
      </c>
      <c r="E39" s="108"/>
      <c r="F39" s="127"/>
      <c r="G39" s="128"/>
      <c r="H39" s="46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0"/>
      <c r="P39" s="470"/>
      <c r="Q39" s="470"/>
      <c r="R39" s="470"/>
      <c r="S39" s="470"/>
      <c r="T39" s="470"/>
      <c r="U39" s="47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65" t="s">
        <v>208</v>
      </c>
      <c r="C40" s="126" t="s">
        <v>186</v>
      </c>
      <c r="D40" s="108">
        <v>5.08</v>
      </c>
      <c r="E40" s="108"/>
      <c r="F40" s="127"/>
      <c r="G40" s="128"/>
      <c r="H40" s="46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0"/>
      <c r="P40" s="470"/>
      <c r="Q40" s="470"/>
      <c r="R40" s="470"/>
      <c r="S40" s="470"/>
      <c r="T40" s="470"/>
      <c r="U40" s="47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65" t="s">
        <v>208</v>
      </c>
      <c r="C41" s="126" t="s">
        <v>203</v>
      </c>
      <c r="D41" s="108">
        <v>5.08</v>
      </c>
      <c r="E41" s="108"/>
      <c r="F41" s="127"/>
      <c r="G41" s="128"/>
      <c r="H41" s="46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0"/>
      <c r="P41" s="470"/>
      <c r="Q41" s="470"/>
      <c r="R41" s="470"/>
      <c r="S41" s="470"/>
      <c r="T41" s="470"/>
      <c r="U41" s="47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65" t="s">
        <v>208</v>
      </c>
      <c r="C42" s="126" t="s">
        <v>199</v>
      </c>
      <c r="D42" s="108">
        <v>5.08</v>
      </c>
      <c r="E42" s="108"/>
      <c r="F42" s="127"/>
      <c r="G42" s="128"/>
      <c r="H42" s="46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4"/>
      <c r="P42" s="474"/>
      <c r="Q42" s="474"/>
      <c r="R42" s="474"/>
      <c r="S42" s="474"/>
      <c r="T42" s="474"/>
      <c r="U42" s="47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65" t="s">
        <v>208</v>
      </c>
      <c r="C43" s="126" t="s">
        <v>187</v>
      </c>
      <c r="D43" s="108">
        <v>5.08</v>
      </c>
      <c r="E43" s="108"/>
      <c r="F43" s="127"/>
      <c r="G43" s="128"/>
      <c r="H43" s="46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0"/>
      <c r="P43" s="470"/>
      <c r="Q43" s="470"/>
      <c r="R43" s="470"/>
      <c r="S43" s="470"/>
      <c r="T43" s="470"/>
      <c r="U43" s="47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65" t="s">
        <v>208</v>
      </c>
      <c r="C44" s="126" t="s">
        <v>207</v>
      </c>
      <c r="D44" s="108">
        <v>5.08</v>
      </c>
      <c r="E44" s="108"/>
      <c r="F44" s="127"/>
      <c r="G44" s="128"/>
      <c r="H44" s="46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4"/>
      <c r="P44" s="474"/>
      <c r="Q44" s="474"/>
      <c r="R44" s="474"/>
      <c r="S44" s="474"/>
      <c r="T44" s="474"/>
      <c r="U44" s="47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65" t="s">
        <v>209</v>
      </c>
      <c r="C45" s="126" t="s">
        <v>194</v>
      </c>
      <c r="D45" s="108">
        <v>5.03</v>
      </c>
      <c r="E45" s="108"/>
      <c r="F45" s="127"/>
      <c r="G45" s="128"/>
      <c r="H45" s="46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70"/>
      <c r="P45" s="470"/>
      <c r="Q45" s="470"/>
      <c r="R45" s="470"/>
      <c r="S45" s="470"/>
      <c r="T45" s="470"/>
      <c r="U45" s="47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65" t="s">
        <v>209</v>
      </c>
      <c r="C46" s="126" t="s">
        <v>179</v>
      </c>
      <c r="D46" s="108">
        <v>5.03</v>
      </c>
      <c r="E46" s="108"/>
      <c r="F46" s="127"/>
      <c r="G46" s="128"/>
      <c r="H46" s="46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0"/>
      <c r="P46" s="470"/>
      <c r="Q46" s="470"/>
      <c r="R46" s="470"/>
      <c r="S46" s="470"/>
      <c r="T46" s="470"/>
      <c r="U46" s="47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65" t="s">
        <v>209</v>
      </c>
      <c r="C47" s="126" t="s">
        <v>195</v>
      </c>
      <c r="D47" s="108">
        <v>5.03</v>
      </c>
      <c r="E47" s="108"/>
      <c r="F47" s="127"/>
      <c r="G47" s="128"/>
      <c r="H47" s="46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70"/>
      <c r="P47" s="470"/>
      <c r="Q47" s="470"/>
      <c r="R47" s="470"/>
      <c r="S47" s="470"/>
      <c r="T47" s="470"/>
      <c r="U47" s="47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65" t="s">
        <v>209</v>
      </c>
      <c r="C48" s="126" t="s">
        <v>204</v>
      </c>
      <c r="D48" s="108">
        <v>5.03</v>
      </c>
      <c r="E48" s="108"/>
      <c r="F48" s="127"/>
      <c r="G48" s="128"/>
      <c r="H48" s="46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0"/>
      <c r="P48" s="470"/>
      <c r="Q48" s="470"/>
      <c r="R48" s="470"/>
      <c r="S48" s="470"/>
      <c r="T48" s="470"/>
      <c r="U48" s="47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65" t="s">
        <v>382</v>
      </c>
      <c r="C49" s="187" t="s">
        <v>383</v>
      </c>
      <c r="D49" s="108">
        <v>5.03</v>
      </c>
      <c r="E49" s="108"/>
      <c r="F49" s="127"/>
      <c r="G49" s="128"/>
      <c r="H49" s="46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70"/>
      <c r="P49" s="470"/>
      <c r="Q49" s="470"/>
      <c r="R49" s="470"/>
      <c r="S49" s="470"/>
      <c r="T49" s="470"/>
      <c r="U49" s="47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65" t="s">
        <v>382</v>
      </c>
      <c r="C50" s="187" t="s">
        <v>384</v>
      </c>
      <c r="D50" s="108">
        <v>5.03</v>
      </c>
      <c r="E50" s="108"/>
      <c r="F50" s="127"/>
      <c r="G50" s="128"/>
      <c r="H50" s="46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0"/>
      <c r="P50" s="470"/>
      <c r="Q50" s="470"/>
      <c r="R50" s="470"/>
      <c r="S50" s="470"/>
      <c r="T50" s="470"/>
      <c r="U50" s="47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65" t="s">
        <v>382</v>
      </c>
      <c r="C51" s="187" t="s">
        <v>389</v>
      </c>
      <c r="D51" s="108">
        <v>5.03</v>
      </c>
      <c r="E51" s="108"/>
      <c r="F51" s="127"/>
      <c r="G51" s="128"/>
      <c r="H51" s="46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0"/>
      <c r="P51" s="470"/>
      <c r="Q51" s="470"/>
      <c r="R51" s="470"/>
      <c r="S51" s="470"/>
      <c r="T51" s="470"/>
      <c r="U51" s="47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65" t="s">
        <v>382</v>
      </c>
      <c r="C52" s="187" t="s">
        <v>391</v>
      </c>
      <c r="D52" s="108">
        <v>5.03</v>
      </c>
      <c r="E52" s="108"/>
      <c r="F52" s="127"/>
      <c r="G52" s="128"/>
      <c r="H52" s="466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0"/>
      <c r="P52" s="470"/>
      <c r="Q52" s="470"/>
      <c r="R52" s="470"/>
      <c r="S52" s="470"/>
      <c r="T52" s="470"/>
      <c r="U52" s="47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65" t="s">
        <v>418</v>
      </c>
      <c r="C53" s="187" t="s">
        <v>364</v>
      </c>
      <c r="D53" s="108">
        <v>5.03</v>
      </c>
      <c r="E53" s="108"/>
      <c r="F53" s="127"/>
      <c r="G53" s="128"/>
      <c r="H53" s="46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0"/>
      <c r="P53" s="470"/>
      <c r="Q53" s="470"/>
      <c r="R53" s="470"/>
      <c r="S53" s="470"/>
      <c r="T53" s="470"/>
      <c r="U53" s="47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65" t="s">
        <v>418</v>
      </c>
      <c r="C54" s="187" t="s">
        <v>365</v>
      </c>
      <c r="D54" s="108">
        <v>5.03</v>
      </c>
      <c r="E54" s="108"/>
      <c r="F54" s="127"/>
      <c r="G54" s="128"/>
      <c r="H54" s="46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0"/>
      <c r="P54" s="470"/>
      <c r="Q54" s="470"/>
      <c r="R54" s="470"/>
      <c r="S54" s="470"/>
      <c r="T54" s="470"/>
      <c r="U54" s="47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65" t="s">
        <v>418</v>
      </c>
      <c r="C55" s="187" t="s">
        <v>366</v>
      </c>
      <c r="D55" s="108">
        <v>5.03</v>
      </c>
      <c r="E55" s="108"/>
      <c r="F55" s="127"/>
      <c r="G55" s="128"/>
      <c r="H55" s="46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0"/>
      <c r="P55" s="470"/>
      <c r="Q55" s="470"/>
      <c r="R55" s="470"/>
      <c r="S55" s="470"/>
      <c r="T55" s="470"/>
      <c r="U55" s="47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65" t="s">
        <v>418</v>
      </c>
      <c r="C56" s="187" t="s">
        <v>367</v>
      </c>
      <c r="D56" s="108">
        <v>5.03</v>
      </c>
      <c r="E56" s="108"/>
      <c r="F56" s="127"/>
      <c r="G56" s="128"/>
      <c r="H56" s="46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0"/>
      <c r="P56" s="470"/>
      <c r="Q56" s="470"/>
      <c r="R56" s="470"/>
      <c r="S56" s="470"/>
      <c r="T56" s="470"/>
      <c r="U56" s="470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42740</v>
      </c>
      <c r="G57" s="152">
        <f>108+50+108*2</f>
        <v>374</v>
      </c>
      <c r="H57" s="466">
        <f t="shared" si="11"/>
        <v>1881.22</v>
      </c>
      <c r="I57" s="129">
        <v>9</v>
      </c>
      <c r="J57" s="130">
        <f t="array" ref="J57">IF(ISERROR(G57/I57),"",G57/I57)</f>
        <v>41.555555555555557</v>
      </c>
      <c r="K57" s="131">
        <f t="array" ref="K57">IF(ISERROR(G57/L57),"",G57/L57)</f>
        <v>9.35</v>
      </c>
      <c r="L57" s="129">
        <v>40</v>
      </c>
      <c r="M57" s="109">
        <f t="shared" si="19"/>
        <v>-0.34999999999999964</v>
      </c>
      <c r="N57" s="130">
        <f t="shared" ref="N57:N66" si="23">SUM(O57:U57)</f>
        <v>0</v>
      </c>
      <c r="O57" s="474"/>
      <c r="P57" s="474"/>
      <c r="Q57" s="474"/>
      <c r="R57" s="474"/>
      <c r="S57" s="474"/>
      <c r="T57" s="474"/>
      <c r="U57" s="474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4"/>
      <c r="P58" s="474"/>
      <c r="Q58" s="474"/>
      <c r="R58" s="474"/>
      <c r="S58" s="474"/>
      <c r="T58" s="474"/>
      <c r="U58" s="47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42740</v>
      </c>
      <c r="G59" s="152">
        <f>57+108+108</f>
        <v>273</v>
      </c>
      <c r="H59" s="466">
        <f t="shared" si="11"/>
        <v>1373.19</v>
      </c>
      <c r="I59" s="129">
        <v>7</v>
      </c>
      <c r="J59" s="130">
        <f t="array" ref="J59">IF(ISERROR(G59/I59),"",G59/I59)</f>
        <v>39</v>
      </c>
      <c r="K59" s="131">
        <f t="array" ref="K59">IF(ISERROR(G59/L59),"",G59/L59)</f>
        <v>6.8250000000000002</v>
      </c>
      <c r="L59" s="129">
        <v>40</v>
      </c>
      <c r="M59" s="109">
        <f t="shared" si="19"/>
        <v>0.17499999999999982</v>
      </c>
      <c r="N59" s="130">
        <f t="shared" si="23"/>
        <v>0</v>
      </c>
      <c r="O59" s="474"/>
      <c r="P59" s="474"/>
      <c r="Q59" s="474"/>
      <c r="R59" s="474"/>
      <c r="S59" s="474"/>
      <c r="T59" s="474"/>
      <c r="U59" s="474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4"/>
      <c r="P60" s="474"/>
      <c r="Q60" s="474"/>
      <c r="R60" s="474"/>
      <c r="S60" s="474"/>
      <c r="T60" s="474"/>
      <c r="U60" s="47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4"/>
      <c r="P61" s="474"/>
      <c r="Q61" s="474"/>
      <c r="R61" s="474"/>
      <c r="S61" s="474"/>
      <c r="T61" s="474"/>
      <c r="U61" s="47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4"/>
      <c r="P62" s="474"/>
      <c r="Q62" s="474"/>
      <c r="R62" s="474"/>
      <c r="S62" s="474"/>
      <c r="T62" s="474"/>
      <c r="U62" s="47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4"/>
      <c r="P63" s="474"/>
      <c r="Q63" s="474"/>
      <c r="R63" s="474"/>
      <c r="S63" s="474"/>
      <c r="T63" s="474"/>
      <c r="U63" s="47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6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4"/>
      <c r="P64" s="474"/>
      <c r="Q64" s="474"/>
      <c r="R64" s="474"/>
      <c r="S64" s="474"/>
      <c r="T64" s="474"/>
      <c r="U64" s="47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4"/>
      <c r="P65" s="474"/>
      <c r="Q65" s="474"/>
      <c r="R65" s="474"/>
      <c r="S65" s="474"/>
      <c r="T65" s="474"/>
      <c r="U65" s="47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4"/>
      <c r="P66" s="474"/>
      <c r="Q66" s="474"/>
      <c r="R66" s="474"/>
      <c r="S66" s="474"/>
      <c r="T66" s="474"/>
      <c r="U66" s="47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4"/>
      <c r="P67" s="474"/>
      <c r="Q67" s="474"/>
      <c r="R67" s="474"/>
      <c r="S67" s="474"/>
      <c r="T67" s="474"/>
      <c r="U67" s="47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4"/>
      <c r="P68" s="474"/>
      <c r="Q68" s="474"/>
      <c r="R68" s="474"/>
      <c r="S68" s="474"/>
      <c r="T68" s="474"/>
      <c r="U68" s="47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6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4"/>
      <c r="P69" s="474"/>
      <c r="Q69" s="474"/>
      <c r="R69" s="474"/>
      <c r="S69" s="474"/>
      <c r="T69" s="474"/>
      <c r="U69" s="47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42741</v>
      </c>
      <c r="G70" s="152">
        <f>36+100*10</f>
        <v>1036</v>
      </c>
      <c r="H70" s="466">
        <f t="shared" si="11"/>
        <v>5211.08</v>
      </c>
      <c r="I70" s="129">
        <v>48</v>
      </c>
      <c r="J70" s="130">
        <f t="array" ref="J70">IF(ISERROR(G70/I70),"",G70/I70)</f>
        <v>21.583333333333332</v>
      </c>
      <c r="K70" s="131">
        <f t="array" ref="K70">IF(ISERROR(G70/L70),"",G70/L70)</f>
        <v>48.186046511627907</v>
      </c>
      <c r="L70" s="129">
        <v>21.5</v>
      </c>
      <c r="M70" s="109">
        <f t="shared" si="26"/>
        <v>-0.18604651162790731</v>
      </c>
      <c r="N70" s="130">
        <f t="shared" si="27"/>
        <v>0</v>
      </c>
      <c r="O70" s="474"/>
      <c r="P70" s="474"/>
      <c r="Q70" s="474"/>
      <c r="R70" s="474"/>
      <c r="S70" s="474"/>
      <c r="T70" s="474"/>
      <c r="U70" s="474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6">
        <f t="shared" si="11"/>
        <v>0</v>
      </c>
      <c r="I71" s="129"/>
      <c r="J71" s="130"/>
      <c r="K71" s="131"/>
      <c r="L71" s="129"/>
      <c r="M71" s="109"/>
      <c r="N71" s="130"/>
      <c r="O71" s="474"/>
      <c r="P71" s="474"/>
      <c r="Q71" s="474"/>
      <c r="R71" s="474"/>
      <c r="S71" s="474"/>
      <c r="T71" s="474"/>
      <c r="U71" s="47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4"/>
      <c r="P72" s="474"/>
      <c r="Q72" s="474"/>
      <c r="R72" s="474"/>
      <c r="S72" s="474"/>
      <c r="T72" s="474"/>
      <c r="U72" s="47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4"/>
      <c r="P73" s="474"/>
      <c r="Q73" s="474"/>
      <c r="R73" s="474"/>
      <c r="S73" s="474"/>
      <c r="T73" s="474"/>
      <c r="U73" s="47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4"/>
      <c r="P74" s="474"/>
      <c r="Q74" s="474"/>
      <c r="R74" s="474"/>
      <c r="S74" s="474"/>
      <c r="T74" s="474"/>
      <c r="U74" s="47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4"/>
      <c r="P75" s="474"/>
      <c r="Q75" s="474"/>
      <c r="R75" s="474"/>
      <c r="S75" s="474"/>
      <c r="T75" s="474"/>
      <c r="U75" s="47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4"/>
      <c r="P76" s="474"/>
      <c r="Q76" s="474"/>
      <c r="R76" s="474"/>
      <c r="S76" s="474"/>
      <c r="T76" s="474"/>
      <c r="U76" s="47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4"/>
      <c r="P77" s="474"/>
      <c r="Q77" s="474"/>
      <c r="R77" s="474"/>
      <c r="S77" s="474"/>
      <c r="T77" s="474"/>
      <c r="U77" s="47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4"/>
      <c r="P78" s="474"/>
      <c r="Q78" s="474"/>
      <c r="R78" s="474"/>
      <c r="S78" s="474"/>
      <c r="T78" s="474"/>
      <c r="U78" s="47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4"/>
      <c r="P79" s="474"/>
      <c r="Q79" s="474"/>
      <c r="R79" s="474"/>
      <c r="S79" s="474"/>
      <c r="T79" s="474"/>
      <c r="U79" s="47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4"/>
      <c r="P80" s="474"/>
      <c r="Q80" s="474"/>
      <c r="R80" s="474"/>
      <c r="S80" s="474"/>
      <c r="T80" s="474"/>
      <c r="U80" s="47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4"/>
      <c r="P81" s="474"/>
      <c r="Q81" s="474"/>
      <c r="R81" s="474"/>
      <c r="S81" s="474"/>
      <c r="T81" s="474"/>
      <c r="U81" s="47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4"/>
      <c r="P82" s="474"/>
      <c r="Q82" s="474"/>
      <c r="R82" s="474"/>
      <c r="S82" s="474"/>
      <c r="T82" s="474"/>
      <c r="U82" s="47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4"/>
      <c r="P83" s="474"/>
      <c r="Q83" s="474"/>
      <c r="R83" s="474"/>
      <c r="S83" s="474"/>
      <c r="T83" s="474"/>
      <c r="U83" s="47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4"/>
      <c r="P84" s="474"/>
      <c r="Q84" s="474"/>
      <c r="R84" s="474"/>
      <c r="S84" s="474"/>
      <c r="T84" s="474"/>
      <c r="U84" s="47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4"/>
      <c r="P85" s="474"/>
      <c r="Q85" s="474"/>
      <c r="R85" s="474"/>
      <c r="S85" s="474"/>
      <c r="T85" s="474"/>
      <c r="U85" s="474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75" t="s">
        <v>202</v>
      </c>
      <c r="D86" s="143"/>
      <c r="E86" s="143"/>
      <c r="F86" s="144"/>
      <c r="G86" s="145">
        <f>SUM(G29:G85)</f>
        <v>3522</v>
      </c>
      <c r="H86" s="146">
        <f>SUM(H29:H85)</f>
        <v>17751.010000000002</v>
      </c>
      <c r="I86" s="146">
        <f>SUM(I29:I85)</f>
        <v>119.5</v>
      </c>
      <c r="J86" s="130">
        <f t="array" ref="J86">IF(ISERROR(G86/I86),"",G86/I86)</f>
        <v>29.472803347280333</v>
      </c>
      <c r="K86" s="146">
        <f>SUM(K29:K85)</f>
        <v>119.79694394752534</v>
      </c>
      <c r="L86" s="147"/>
      <c r="M86" s="150">
        <f t="shared" ref="M86:V86" si="34">SUM(M29:M85)</f>
        <v>-0.29694394752534148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65" t="s">
        <v>217</v>
      </c>
      <c r="C87" s="126" t="s">
        <v>179</v>
      </c>
      <c r="D87" s="108">
        <v>5.03</v>
      </c>
      <c r="E87" s="108"/>
      <c r="F87" s="127"/>
      <c r="G87" s="128"/>
      <c r="H87" s="46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4"/>
      <c r="P87" s="474"/>
      <c r="Q87" s="474"/>
      <c r="R87" s="474"/>
      <c r="S87" s="474"/>
      <c r="T87" s="474"/>
      <c r="U87" s="47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65" t="s">
        <v>217</v>
      </c>
      <c r="C88" s="126" t="s">
        <v>186</v>
      </c>
      <c r="D88" s="108">
        <v>5.03</v>
      </c>
      <c r="E88" s="108"/>
      <c r="F88" s="127"/>
      <c r="G88" s="128"/>
      <c r="H88" s="46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4"/>
      <c r="P88" s="474"/>
      <c r="Q88" s="474"/>
      <c r="R88" s="474"/>
      <c r="S88" s="474"/>
      <c r="T88" s="474"/>
      <c r="U88" s="47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65" t="s">
        <v>217</v>
      </c>
      <c r="C89" s="126" t="s">
        <v>204</v>
      </c>
      <c r="D89" s="108">
        <v>5.03</v>
      </c>
      <c r="E89" s="108"/>
      <c r="F89" s="127"/>
      <c r="G89" s="128"/>
      <c r="H89" s="46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4"/>
      <c r="P89" s="474"/>
      <c r="Q89" s="474"/>
      <c r="R89" s="474"/>
      <c r="S89" s="474"/>
      <c r="T89" s="474"/>
      <c r="U89" s="47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4"/>
      <c r="P90" s="474"/>
      <c r="Q90" s="474"/>
      <c r="R90" s="474"/>
      <c r="S90" s="474"/>
      <c r="T90" s="474"/>
      <c r="U90" s="474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4"/>
      <c r="P91" s="474"/>
      <c r="Q91" s="474"/>
      <c r="R91" s="474"/>
      <c r="S91" s="474"/>
      <c r="T91" s="474"/>
      <c r="U91" s="474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4"/>
      <c r="P92" s="474"/>
      <c r="Q92" s="474"/>
      <c r="R92" s="474"/>
      <c r="S92" s="474"/>
      <c r="T92" s="474"/>
      <c r="U92" s="47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4"/>
      <c r="P93" s="474"/>
      <c r="Q93" s="474"/>
      <c r="R93" s="474"/>
      <c r="S93" s="474"/>
      <c r="T93" s="474"/>
      <c r="U93" s="474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4"/>
      <c r="P94" s="474"/>
      <c r="Q94" s="474"/>
      <c r="R94" s="474"/>
      <c r="S94" s="474"/>
      <c r="T94" s="474"/>
      <c r="U94" s="47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46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4"/>
      <c r="P95" s="474"/>
      <c r="Q95" s="474"/>
      <c r="R95" s="474"/>
      <c r="S95" s="474"/>
      <c r="T95" s="474"/>
      <c r="U95" s="47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4"/>
      <c r="P96" s="474"/>
      <c r="Q96" s="474"/>
      <c r="R96" s="474"/>
      <c r="S96" s="474"/>
      <c r="T96" s="474"/>
      <c r="U96" s="47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4"/>
      <c r="P97" s="474"/>
      <c r="Q97" s="474"/>
      <c r="R97" s="474"/>
      <c r="S97" s="474"/>
      <c r="T97" s="474"/>
      <c r="U97" s="47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4"/>
      <c r="P98" s="474"/>
      <c r="Q98" s="474"/>
      <c r="R98" s="474"/>
      <c r="S98" s="474"/>
      <c r="T98" s="474"/>
      <c r="U98" s="47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4"/>
      <c r="P99" s="474"/>
      <c r="Q99" s="474"/>
      <c r="R99" s="474"/>
      <c r="S99" s="474"/>
      <c r="T99" s="474"/>
      <c r="U99" s="47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4"/>
      <c r="P100" s="474"/>
      <c r="Q100" s="474"/>
      <c r="R100" s="474"/>
      <c r="S100" s="474"/>
      <c r="T100" s="474"/>
      <c r="U100" s="47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4"/>
      <c r="P101" s="474"/>
      <c r="Q101" s="474"/>
      <c r="R101" s="474"/>
      <c r="S101" s="474"/>
      <c r="T101" s="474"/>
      <c r="U101" s="47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4"/>
      <c r="P102" s="474"/>
      <c r="Q102" s="474"/>
      <c r="R102" s="474"/>
      <c r="S102" s="474"/>
      <c r="T102" s="474"/>
      <c r="U102" s="47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6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4"/>
      <c r="P103" s="474"/>
      <c r="Q103" s="474"/>
      <c r="R103" s="474"/>
      <c r="S103" s="474"/>
      <c r="T103" s="474"/>
      <c r="U103" s="47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6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4"/>
      <c r="P104" s="474"/>
      <c r="Q104" s="474"/>
      <c r="R104" s="474"/>
      <c r="S104" s="474"/>
      <c r="T104" s="474"/>
      <c r="U104" s="47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6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4"/>
      <c r="P105" s="474"/>
      <c r="Q105" s="474"/>
      <c r="R105" s="474"/>
      <c r="S105" s="474"/>
      <c r="T105" s="474"/>
      <c r="U105" s="47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6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4"/>
      <c r="P106" s="474"/>
      <c r="Q106" s="474"/>
      <c r="R106" s="474"/>
      <c r="S106" s="474"/>
      <c r="T106" s="474"/>
      <c r="U106" s="47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65" t="s">
        <v>393</v>
      </c>
      <c r="C107" s="187" t="s">
        <v>395</v>
      </c>
      <c r="D107" s="108">
        <v>5</v>
      </c>
      <c r="E107" s="108"/>
      <c r="F107" s="127"/>
      <c r="G107" s="128"/>
      <c r="H107" s="46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4"/>
      <c r="P107" s="474"/>
      <c r="Q107" s="474"/>
      <c r="R107" s="474"/>
      <c r="S107" s="474"/>
      <c r="T107" s="474"/>
      <c r="U107" s="47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65" t="s">
        <v>393</v>
      </c>
      <c r="C108" s="187" t="s">
        <v>402</v>
      </c>
      <c r="D108" s="108">
        <v>5</v>
      </c>
      <c r="E108" s="108"/>
      <c r="F108" s="127"/>
      <c r="G108" s="128"/>
      <c r="H108" s="46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4"/>
      <c r="P108" s="474"/>
      <c r="Q108" s="474"/>
      <c r="R108" s="474"/>
      <c r="S108" s="474"/>
      <c r="T108" s="474"/>
      <c r="U108" s="47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65" t="s">
        <v>404</v>
      </c>
      <c r="C109" s="187" t="s">
        <v>405</v>
      </c>
      <c r="D109" s="108">
        <v>5</v>
      </c>
      <c r="E109" s="108"/>
      <c r="F109" s="127"/>
      <c r="G109" s="128"/>
      <c r="H109" s="46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4"/>
      <c r="P109" s="474"/>
      <c r="Q109" s="474"/>
      <c r="R109" s="474"/>
      <c r="S109" s="474"/>
      <c r="T109" s="474"/>
      <c r="U109" s="47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65" t="s">
        <v>492</v>
      </c>
      <c r="C110" s="187" t="s">
        <v>372</v>
      </c>
      <c r="D110" s="108">
        <v>5</v>
      </c>
      <c r="E110" s="108"/>
      <c r="F110" s="127"/>
      <c r="G110" s="128"/>
      <c r="H110" s="46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4"/>
      <c r="P110" s="474"/>
      <c r="Q110" s="474"/>
      <c r="R110" s="474"/>
      <c r="S110" s="474"/>
      <c r="T110" s="474"/>
      <c r="U110" s="47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65" t="s">
        <v>343</v>
      </c>
      <c r="C111" s="126" t="s">
        <v>345</v>
      </c>
      <c r="D111" s="108">
        <v>5</v>
      </c>
      <c r="E111" s="108"/>
      <c r="F111" s="127"/>
      <c r="G111" s="128"/>
      <c r="H111" s="46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4"/>
      <c r="P111" s="474"/>
      <c r="Q111" s="474"/>
      <c r="R111" s="474"/>
      <c r="S111" s="474"/>
      <c r="T111" s="474"/>
      <c r="U111" s="47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65" t="s">
        <v>343</v>
      </c>
      <c r="C112" s="126" t="s">
        <v>347</v>
      </c>
      <c r="D112" s="108">
        <v>5</v>
      </c>
      <c r="E112" s="108"/>
      <c r="F112" s="127"/>
      <c r="G112" s="128"/>
      <c r="H112" s="46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4"/>
      <c r="P112" s="474"/>
      <c r="Q112" s="474"/>
      <c r="R112" s="474"/>
      <c r="S112" s="474"/>
      <c r="T112" s="474"/>
      <c r="U112" s="47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4"/>
      <c r="P113" s="474"/>
      <c r="Q113" s="474"/>
      <c r="R113" s="474"/>
      <c r="S113" s="474"/>
      <c r="T113" s="474"/>
      <c r="U113" s="47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6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4"/>
      <c r="P114" s="474"/>
      <c r="Q114" s="474"/>
      <c r="R114" s="474"/>
      <c r="S114" s="474"/>
      <c r="T114" s="474"/>
      <c r="U114" s="47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4"/>
      <c r="P115" s="474"/>
      <c r="Q115" s="474"/>
      <c r="R115" s="474"/>
      <c r="S115" s="474"/>
      <c r="T115" s="474"/>
      <c r="U115" s="47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4"/>
      <c r="P116" s="474"/>
      <c r="Q116" s="474"/>
      <c r="R116" s="474"/>
      <c r="S116" s="474"/>
      <c r="T116" s="474"/>
      <c r="U116" s="47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4"/>
      <c r="P117" s="474"/>
      <c r="Q117" s="474"/>
      <c r="R117" s="474"/>
      <c r="S117" s="474"/>
      <c r="T117" s="474"/>
      <c r="U117" s="474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4"/>
      <c r="P118" s="474"/>
      <c r="Q118" s="474"/>
      <c r="R118" s="474"/>
      <c r="S118" s="474"/>
      <c r="T118" s="474"/>
      <c r="U118" s="474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4"/>
      <c r="P119" s="474"/>
      <c r="Q119" s="474"/>
      <c r="R119" s="474"/>
      <c r="S119" s="474"/>
      <c r="T119" s="474"/>
      <c r="U119" s="474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6">
        <f t="shared" si="36"/>
        <v>0</v>
      </c>
      <c r="I120" s="129"/>
      <c r="J120" s="130" t="str">
        <f t="array" ref="J120">IF(ISERROR(G120/I120),"",G120/I120)</f>
        <v/>
      </c>
      <c r="K120" s="46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4"/>
      <c r="P120" s="474"/>
      <c r="Q120" s="474"/>
      <c r="R120" s="474"/>
      <c r="S120" s="474"/>
      <c r="T120" s="474"/>
      <c r="U120" s="474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618" t="s">
        <v>224</v>
      </c>
      <c r="B121" s="619"/>
      <c r="C121" s="475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4"/>
      <c r="P122" s="474"/>
      <c r="Q122" s="474"/>
      <c r="R122" s="474"/>
      <c r="S122" s="474"/>
      <c r="T122" s="474"/>
      <c r="U122" s="47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>
        <v>42742</v>
      </c>
      <c r="G123" s="152">
        <f>14+90*5</f>
        <v>464</v>
      </c>
      <c r="H123" s="466">
        <f t="shared" si="51"/>
        <v>2333.92</v>
      </c>
      <c r="I123" s="129">
        <v>19</v>
      </c>
      <c r="J123" s="130">
        <f t="array" ref="J123">IF(ISERROR(G123/I123),"",G123/I123)</f>
        <v>24.421052631578949</v>
      </c>
      <c r="K123" s="131">
        <f t="array" ref="K123">IF(ISERROR(G123/L123),"",G123/L123)</f>
        <v>18.559999999999999</v>
      </c>
      <c r="L123" s="129">
        <v>25</v>
      </c>
      <c r="M123" s="109">
        <f t="shared" si="52"/>
        <v>0.44000000000000128</v>
      </c>
      <c r="N123" s="130">
        <f t="shared" si="53"/>
        <v>0</v>
      </c>
      <c r="O123" s="474"/>
      <c r="P123" s="474"/>
      <c r="Q123" s="474"/>
      <c r="R123" s="474"/>
      <c r="S123" s="474"/>
      <c r="T123" s="474"/>
      <c r="U123" s="474"/>
      <c r="V123" s="132">
        <f t="shared" si="54"/>
        <v>0</v>
      </c>
      <c r="W123" s="133">
        <f t="shared" si="49"/>
        <v>0</v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4"/>
      <c r="P124" s="474"/>
      <c r="Q124" s="474"/>
      <c r="R124" s="474"/>
      <c r="S124" s="474"/>
      <c r="T124" s="474"/>
      <c r="U124" s="47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4"/>
      <c r="P125" s="474"/>
      <c r="Q125" s="474"/>
      <c r="R125" s="474"/>
      <c r="S125" s="474"/>
      <c r="T125" s="474"/>
      <c r="U125" s="47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1" t="s">
        <v>203</v>
      </c>
      <c r="D126" s="108">
        <v>5.03</v>
      </c>
      <c r="E126" s="108"/>
      <c r="F126" s="127"/>
      <c r="G126" s="128"/>
      <c r="H126" s="46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4"/>
      <c r="P126" s="474"/>
      <c r="Q126" s="474"/>
      <c r="R126" s="474"/>
      <c r="S126" s="474"/>
      <c r="T126" s="474"/>
      <c r="U126" s="47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4"/>
      <c r="P127" s="474"/>
      <c r="Q127" s="474"/>
      <c r="R127" s="474"/>
      <c r="S127" s="474"/>
      <c r="T127" s="474"/>
      <c r="U127" s="47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4"/>
      <c r="P128" s="474"/>
      <c r="Q128" s="474"/>
      <c r="R128" s="474"/>
      <c r="S128" s="474"/>
      <c r="T128" s="474"/>
      <c r="U128" s="47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1" t="s">
        <v>228</v>
      </c>
      <c r="D129" s="108">
        <v>5.03</v>
      </c>
      <c r="E129" s="108"/>
      <c r="F129" s="127"/>
      <c r="G129" s="128"/>
      <c r="H129" s="46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4"/>
      <c r="P129" s="474"/>
      <c r="Q129" s="474"/>
      <c r="R129" s="474"/>
      <c r="S129" s="474"/>
      <c r="T129" s="474"/>
      <c r="U129" s="47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1" t="s">
        <v>212</v>
      </c>
      <c r="D130" s="108">
        <v>5.03</v>
      </c>
      <c r="E130" s="108"/>
      <c r="F130" s="127"/>
      <c r="G130" s="128"/>
      <c r="H130" s="46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4"/>
      <c r="P130" s="474"/>
      <c r="Q130" s="474"/>
      <c r="R130" s="474"/>
      <c r="S130" s="474"/>
      <c r="T130" s="474"/>
      <c r="U130" s="47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1" t="s">
        <v>203</v>
      </c>
      <c r="D131" s="108">
        <v>5.03</v>
      </c>
      <c r="E131" s="108"/>
      <c r="F131" s="127"/>
      <c r="G131" s="128"/>
      <c r="H131" s="46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4"/>
      <c r="P131" s="474"/>
      <c r="Q131" s="474"/>
      <c r="R131" s="474"/>
      <c r="S131" s="474"/>
      <c r="T131" s="474"/>
      <c r="U131" s="47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1" t="s">
        <v>186</v>
      </c>
      <c r="D132" s="108">
        <v>5.03</v>
      </c>
      <c r="E132" s="108"/>
      <c r="F132" s="127"/>
      <c r="G132" s="128"/>
      <c r="H132" s="46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4"/>
      <c r="P132" s="474"/>
      <c r="Q132" s="474"/>
      <c r="R132" s="474"/>
      <c r="S132" s="474"/>
      <c r="T132" s="474"/>
      <c r="U132" s="47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1" t="s">
        <v>228</v>
      </c>
      <c r="D133" s="108">
        <v>5.03</v>
      </c>
      <c r="E133" s="108"/>
      <c r="F133" s="127"/>
      <c r="G133" s="128"/>
      <c r="H133" s="46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4"/>
      <c r="P133" s="474"/>
      <c r="Q133" s="474"/>
      <c r="R133" s="474"/>
      <c r="S133" s="474"/>
      <c r="T133" s="474"/>
      <c r="U133" s="47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1" t="s">
        <v>199</v>
      </c>
      <c r="D134" s="108">
        <v>5.03</v>
      </c>
      <c r="E134" s="108"/>
      <c r="F134" s="127"/>
      <c r="G134" s="128"/>
      <c r="H134" s="46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4"/>
      <c r="P134" s="474"/>
      <c r="Q134" s="474"/>
      <c r="R134" s="474"/>
      <c r="S134" s="474"/>
      <c r="T134" s="474"/>
      <c r="U134" s="47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6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4"/>
      <c r="P135" s="474"/>
      <c r="Q135" s="474"/>
      <c r="R135" s="474"/>
      <c r="S135" s="474"/>
      <c r="T135" s="474"/>
      <c r="U135" s="47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42741</v>
      </c>
      <c r="G136" s="152">
        <f>90*10</f>
        <v>900</v>
      </c>
      <c r="H136" s="466">
        <f t="shared" si="51"/>
        <v>4554</v>
      </c>
      <c r="I136" s="129">
        <v>36</v>
      </c>
      <c r="J136" s="130">
        <f t="array" ref="J136">IF(ISERROR(G136/I136),"",G136/I136)</f>
        <v>25</v>
      </c>
      <c r="K136" s="131">
        <f t="array" ref="K136">IF(ISERROR(G136/L136),"",G136/L136)</f>
        <v>39.130434782608695</v>
      </c>
      <c r="L136" s="129">
        <v>23</v>
      </c>
      <c r="M136" s="109">
        <f t="shared" si="52"/>
        <v>-3.1304347826086953</v>
      </c>
      <c r="N136" s="130">
        <f t="shared" si="53"/>
        <v>0</v>
      </c>
      <c r="O136" s="474"/>
      <c r="P136" s="474"/>
      <c r="Q136" s="474"/>
      <c r="R136" s="474"/>
      <c r="S136" s="474"/>
      <c r="T136" s="474"/>
      <c r="U136" s="474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475" t="s">
        <v>202</v>
      </c>
      <c r="D137" s="143"/>
      <c r="E137" s="143"/>
      <c r="F137" s="144"/>
      <c r="G137" s="145">
        <f>SUM(G122:G136)</f>
        <v>1364</v>
      </c>
      <c r="H137" s="146">
        <f>SUM(H122:H136)</f>
        <v>6887.92</v>
      </c>
      <c r="I137" s="146">
        <f>SUM(I122:I136)</f>
        <v>55</v>
      </c>
      <c r="J137" s="130">
        <f t="array" ref="J137">IF(ISERROR(G137/I137),"",G137/I137)</f>
        <v>24.8</v>
      </c>
      <c r="K137" s="146">
        <f>SUM(K122:K136)</f>
        <v>57.690434782608691</v>
      </c>
      <c r="L137" s="147"/>
      <c r="M137" s="150">
        <f>SUM(M122:M136)</f>
        <v>-2.6904347826086941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6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3" si="56">IF(ISERROR(I138-K138),"",I138-K138)</f>
        <v>0</v>
      </c>
      <c r="N138" s="130">
        <f t="shared" ref="N138:N142" si="57">SUM(O138:U138)</f>
        <v>0</v>
      </c>
      <c r="O138" s="474"/>
      <c r="P138" s="474"/>
      <c r="Q138" s="474"/>
      <c r="R138" s="474"/>
      <c r="S138" s="474"/>
      <c r="T138" s="474"/>
      <c r="U138" s="47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4"/>
      <c r="P139" s="474"/>
      <c r="Q139" s="474"/>
      <c r="R139" s="474"/>
      <c r="S139" s="474"/>
      <c r="T139" s="474"/>
      <c r="U139" s="47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4"/>
      <c r="P140" s="474"/>
      <c r="Q140" s="474"/>
      <c r="R140" s="474"/>
      <c r="S140" s="474"/>
      <c r="T140" s="474"/>
      <c r="U140" s="47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4"/>
      <c r="P141" s="474"/>
      <c r="Q141" s="474"/>
      <c r="R141" s="474"/>
      <c r="S141" s="474"/>
      <c r="T141" s="474"/>
      <c r="U141" s="47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4"/>
      <c r="P142" s="474"/>
      <c r="Q142" s="474"/>
      <c r="R142" s="474"/>
      <c r="S142" s="474"/>
      <c r="T142" s="474"/>
      <c r="U142" s="47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42741</v>
      </c>
      <c r="G143" s="152">
        <f>90*7</f>
        <v>630</v>
      </c>
      <c r="H143" s="466">
        <f t="shared" si="55"/>
        <v>3175.2</v>
      </c>
      <c r="I143" s="129">
        <v>47</v>
      </c>
      <c r="J143" s="130">
        <f t="array" ref="J143">IF(ISERROR(G143/I143),"",G143/I143)</f>
        <v>13.404255319148936</v>
      </c>
      <c r="K143" s="131">
        <f t="array" ref="K143">IF(ISERROR(G143/L143),"",G143/L143)</f>
        <v>46.666666666666664</v>
      </c>
      <c r="L143" s="129">
        <v>13.5</v>
      </c>
      <c r="M143" s="109">
        <f t="shared" si="56"/>
        <v>0.3333333333333357</v>
      </c>
      <c r="N143" s="130"/>
      <c r="O143" s="474"/>
      <c r="P143" s="474"/>
      <c r="Q143" s="474"/>
      <c r="R143" s="474"/>
      <c r="S143" s="474"/>
      <c r="T143" s="474"/>
      <c r="U143" s="474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66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4"/>
      <c r="P144" s="474"/>
      <c r="Q144" s="474"/>
      <c r="R144" s="474"/>
      <c r="S144" s="474"/>
      <c r="T144" s="474"/>
      <c r="U144" s="474"/>
      <c r="V144" s="132"/>
      <c r="W144" s="133"/>
      <c r="X144" s="132"/>
      <c r="Y144" s="132"/>
      <c r="Z144" s="132"/>
      <c r="AA144" s="132"/>
    </row>
    <row r="145" spans="1:27" ht="20.100000000000001" hidden="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/>
      <c r="G145" s="128"/>
      <c r="H145" s="46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74"/>
      <c r="P145" s="474"/>
      <c r="Q145" s="474"/>
      <c r="R145" s="474"/>
      <c r="S145" s="474"/>
      <c r="T145" s="474"/>
      <c r="U145" s="474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66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4"/>
      <c r="P146" s="474"/>
      <c r="Q146" s="474"/>
      <c r="R146" s="474"/>
      <c r="S146" s="474"/>
      <c r="T146" s="474"/>
      <c r="U146" s="474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66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4"/>
      <c r="P147" s="474"/>
      <c r="Q147" s="474"/>
      <c r="R147" s="474"/>
      <c r="S147" s="474"/>
      <c r="T147" s="474"/>
      <c r="U147" s="474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475" t="s">
        <v>202</v>
      </c>
      <c r="D148" s="143"/>
      <c r="E148" s="143"/>
      <c r="F148" s="144"/>
      <c r="G148" s="145">
        <f>SUM(G138:G147)</f>
        <v>630</v>
      </c>
      <c r="H148" s="146">
        <f>SUM(H138:H147)</f>
        <v>3175.2</v>
      </c>
      <c r="I148" s="146">
        <f>SUM(I138:I147)</f>
        <v>47</v>
      </c>
      <c r="J148" s="130">
        <f t="array" ref="J148">IF(ISERROR(G148/I148),"",G148/I148)</f>
        <v>13.404255319148936</v>
      </c>
      <c r="K148" s="146">
        <f>SUM(K138:K147)</f>
        <v>46.666666666666664</v>
      </c>
      <c r="L148" s="147"/>
      <c r="M148" s="150">
        <f>SUM(M138:M147)</f>
        <v>0.3333333333333357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2"/>
      <c r="D149" s="108">
        <v>3.65</v>
      </c>
      <c r="E149" s="108"/>
      <c r="F149" s="153"/>
      <c r="G149" s="128"/>
      <c r="H149" s="466">
        <f t="shared" ref="H149:H162" si="63">D149*G149</f>
        <v>0</v>
      </c>
      <c r="I149" s="129"/>
      <c r="J149" s="130" t="str">
        <f t="array" ref="J149">IF(ISERROR(G149/I149),"",G149/I149)</f>
        <v/>
      </c>
      <c r="K149" s="466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4"/>
      <c r="P149" s="474"/>
      <c r="Q149" s="474"/>
      <c r="R149" s="474"/>
      <c r="S149" s="474"/>
      <c r="T149" s="474"/>
      <c r="U149" s="474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2"/>
      <c r="D150" s="108">
        <v>6.58</v>
      </c>
      <c r="E150" s="108"/>
      <c r="F150" s="127">
        <v>42738</v>
      </c>
      <c r="G150" s="152">
        <v>36</v>
      </c>
      <c r="H150" s="466">
        <f t="shared" si="63"/>
        <v>236.88</v>
      </c>
      <c r="I150" s="129">
        <v>8</v>
      </c>
      <c r="J150" s="130">
        <f t="array" ref="J150">IF(ISERROR(G150/I150),"",G150/I150)</f>
        <v>4.5</v>
      </c>
      <c r="K150" s="131">
        <f t="array" ref="K150">IF(ISERROR(G150/L150),"",G150/L150)</f>
        <v>7.2</v>
      </c>
      <c r="L150" s="129">
        <v>5</v>
      </c>
      <c r="M150" s="109">
        <f t="shared" si="64"/>
        <v>0.79999999999999982</v>
      </c>
      <c r="N150" s="130">
        <f t="shared" si="65"/>
        <v>0</v>
      </c>
      <c r="O150" s="474"/>
      <c r="P150" s="474"/>
      <c r="Q150" s="474"/>
      <c r="R150" s="474"/>
      <c r="S150" s="474"/>
      <c r="T150" s="474"/>
      <c r="U150" s="474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2"/>
      <c r="D151" s="108">
        <v>7.8</v>
      </c>
      <c r="E151" s="108"/>
      <c r="F151" s="127">
        <v>42738</v>
      </c>
      <c r="G151" s="152">
        <f>21+32*3</f>
        <v>117</v>
      </c>
      <c r="H151" s="466">
        <f t="shared" si="63"/>
        <v>912.6</v>
      </c>
      <c r="I151" s="129">
        <v>26</v>
      </c>
      <c r="J151" s="130">
        <f t="array" ref="J151">IF(ISERROR(G151/I151),"",G151/I151)</f>
        <v>4.5</v>
      </c>
      <c r="K151" s="131">
        <f t="array" ref="K151">IF(ISERROR(G151/L151),"",G151/L151)</f>
        <v>25.434782608695656</v>
      </c>
      <c r="L151" s="129">
        <v>4.5999999999999996</v>
      </c>
      <c r="M151" s="109">
        <f t="shared" si="64"/>
        <v>0.56521739130434412</v>
      </c>
      <c r="N151" s="130">
        <f t="shared" si="65"/>
        <v>0</v>
      </c>
      <c r="O151" s="474"/>
      <c r="P151" s="474"/>
      <c r="Q151" s="474"/>
      <c r="R151" s="474"/>
      <c r="S151" s="474"/>
      <c r="T151" s="474"/>
      <c r="U151" s="474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customHeight="1">
      <c r="A152" s="299">
        <v>30700017</v>
      </c>
      <c r="B152" s="141" t="s">
        <v>238</v>
      </c>
      <c r="C152" s="472"/>
      <c r="D152" s="108">
        <v>4.4000000000000004</v>
      </c>
      <c r="E152" s="108"/>
      <c r="F152" s="127">
        <v>42738</v>
      </c>
      <c r="G152" s="152">
        <f>34+38</f>
        <v>72</v>
      </c>
      <c r="H152" s="466">
        <f t="shared" si="63"/>
        <v>316.8</v>
      </c>
      <c r="I152" s="129">
        <v>12.5</v>
      </c>
      <c r="J152" s="130">
        <f t="array" ref="J152">IF(ISERROR(G152/I152),"",G152/I152)</f>
        <v>5.76</v>
      </c>
      <c r="K152" s="131">
        <f t="array" ref="K152">IF(ISERROR(G152/L152),"",G152/L152)</f>
        <v>12.413793103448276</v>
      </c>
      <c r="L152" s="129">
        <v>5.8</v>
      </c>
      <c r="M152" s="109">
        <f t="shared" si="64"/>
        <v>8.6206896551724199E-2</v>
      </c>
      <c r="N152" s="130">
        <f t="shared" si="65"/>
        <v>0</v>
      </c>
      <c r="O152" s="474"/>
      <c r="P152" s="474"/>
      <c r="Q152" s="474"/>
      <c r="R152" s="474"/>
      <c r="S152" s="474"/>
      <c r="T152" s="474"/>
      <c r="U152" s="474"/>
      <c r="V152" s="132">
        <f t="shared" si="66"/>
        <v>0</v>
      </c>
      <c r="W152" s="133">
        <f t="shared" si="62"/>
        <v>0</v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66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4"/>
      <c r="P153" s="474"/>
      <c r="Q153" s="474"/>
      <c r="R153" s="474"/>
      <c r="S153" s="474"/>
      <c r="T153" s="474"/>
      <c r="U153" s="474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2" t="s">
        <v>239</v>
      </c>
      <c r="C154" s="472" t="s">
        <v>179</v>
      </c>
      <c r="D154" s="108">
        <v>6.04</v>
      </c>
      <c r="E154" s="108"/>
      <c r="F154" s="127"/>
      <c r="G154" s="128"/>
      <c r="H154" s="46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4"/>
      <c r="P154" s="474"/>
      <c r="Q154" s="474"/>
      <c r="R154" s="474"/>
      <c r="S154" s="474"/>
      <c r="T154" s="474"/>
      <c r="U154" s="474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2" t="s">
        <v>239</v>
      </c>
      <c r="C155" s="472" t="s">
        <v>186</v>
      </c>
      <c r="D155" s="108">
        <v>6.04</v>
      </c>
      <c r="E155" s="108"/>
      <c r="F155" s="127"/>
      <c r="G155" s="128"/>
      <c r="H155" s="466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4"/>
      <c r="P155" s="474"/>
      <c r="Q155" s="474"/>
      <c r="R155" s="474"/>
      <c r="S155" s="474"/>
      <c r="T155" s="474"/>
      <c r="U155" s="474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2" t="s">
        <v>443</v>
      </c>
      <c r="C156" s="472" t="s">
        <v>179</v>
      </c>
      <c r="D156" s="108">
        <v>6</v>
      </c>
      <c r="E156" s="108"/>
      <c r="F156" s="127"/>
      <c r="G156" s="128"/>
      <c r="H156" s="466">
        <f t="shared" si="63"/>
        <v>0</v>
      </c>
      <c r="I156" s="129"/>
      <c r="J156" s="130"/>
      <c r="K156" s="131"/>
      <c r="L156" s="129"/>
      <c r="M156" s="109"/>
      <c r="N156" s="130"/>
      <c r="O156" s="474"/>
      <c r="P156" s="474"/>
      <c r="Q156" s="474"/>
      <c r="R156" s="474"/>
      <c r="S156" s="474"/>
      <c r="T156" s="474"/>
      <c r="U156" s="47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2" t="s">
        <v>443</v>
      </c>
      <c r="C157" s="472" t="s">
        <v>60</v>
      </c>
      <c r="D157" s="108">
        <v>6</v>
      </c>
      <c r="E157" s="108"/>
      <c r="F157" s="127"/>
      <c r="G157" s="128"/>
      <c r="H157" s="466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4"/>
      <c r="P157" s="474"/>
      <c r="Q157" s="474"/>
      <c r="R157" s="474"/>
      <c r="S157" s="474"/>
      <c r="T157" s="474"/>
      <c r="U157" s="474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65" t="s">
        <v>240</v>
      </c>
      <c r="C158" s="126"/>
      <c r="D158" s="108">
        <v>7.3</v>
      </c>
      <c r="E158" s="108"/>
      <c r="F158" s="127"/>
      <c r="G158" s="128"/>
      <c r="H158" s="46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4"/>
      <c r="P158" s="474"/>
      <c r="Q158" s="474"/>
      <c r="R158" s="474"/>
      <c r="S158" s="474"/>
      <c r="T158" s="474"/>
      <c r="U158" s="474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65" t="s">
        <v>241</v>
      </c>
      <c r="C159" s="126"/>
      <c r="D159" s="108">
        <f>78*120/1000</f>
        <v>9.36</v>
      </c>
      <c r="E159" s="108"/>
      <c r="F159" s="127"/>
      <c r="G159" s="128"/>
      <c r="H159" s="466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4"/>
      <c r="P159" s="474"/>
      <c r="Q159" s="474"/>
      <c r="R159" s="474"/>
      <c r="S159" s="474"/>
      <c r="T159" s="474"/>
      <c r="U159" s="474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65" t="s">
        <v>242</v>
      </c>
      <c r="C160" s="126"/>
      <c r="D160" s="108">
        <v>4.5</v>
      </c>
      <c r="E160" s="108"/>
      <c r="F160" s="127"/>
      <c r="G160" s="128"/>
      <c r="H160" s="466">
        <f t="shared" si="63"/>
        <v>0</v>
      </c>
      <c r="I160" s="129"/>
      <c r="J160" s="130"/>
      <c r="K160" s="131"/>
      <c r="L160" s="129"/>
      <c r="M160" s="109"/>
      <c r="N160" s="130"/>
      <c r="O160" s="474"/>
      <c r="P160" s="474"/>
      <c r="Q160" s="474"/>
      <c r="R160" s="474"/>
      <c r="S160" s="474"/>
      <c r="T160" s="474"/>
      <c r="U160" s="47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65" t="s">
        <v>243</v>
      </c>
      <c r="C161" s="126"/>
      <c r="D161" s="108">
        <v>4.5</v>
      </c>
      <c r="E161" s="108"/>
      <c r="F161" s="127"/>
      <c r="G161" s="128"/>
      <c r="H161" s="466">
        <f t="shared" si="63"/>
        <v>0</v>
      </c>
      <c r="I161" s="129"/>
      <c r="J161" s="130"/>
      <c r="K161" s="131"/>
      <c r="L161" s="129"/>
      <c r="M161" s="109"/>
      <c r="N161" s="130"/>
      <c r="O161" s="474"/>
      <c r="P161" s="474"/>
      <c r="Q161" s="474"/>
      <c r="R161" s="474"/>
      <c r="S161" s="474"/>
      <c r="T161" s="474"/>
      <c r="U161" s="47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66">
        <f t="shared" si="63"/>
        <v>0</v>
      </c>
      <c r="I162" s="129"/>
      <c r="J162" s="130"/>
      <c r="K162" s="131"/>
      <c r="L162" s="129"/>
      <c r="M162" s="109"/>
      <c r="N162" s="130"/>
      <c r="O162" s="474"/>
      <c r="P162" s="474"/>
      <c r="Q162" s="474"/>
      <c r="R162" s="474"/>
      <c r="S162" s="474"/>
      <c r="T162" s="474"/>
      <c r="U162" s="474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475" t="s">
        <v>202</v>
      </c>
      <c r="D163" s="143"/>
      <c r="E163" s="143"/>
      <c r="F163" s="144"/>
      <c r="G163" s="145">
        <f>SUM(G149:G161)</f>
        <v>225</v>
      </c>
      <c r="H163" s="146">
        <f>SUM(H149:H159)</f>
        <v>1466.28</v>
      </c>
      <c r="I163" s="146">
        <f>SUM(I149:I161)</f>
        <v>46.5</v>
      </c>
      <c r="J163" s="130">
        <f t="array" ref="J163">IF(ISERROR(G163/I163),"",G163/I163)</f>
        <v>4.838709677419355</v>
      </c>
      <c r="K163" s="146">
        <f>SUM(K149:K159)</f>
        <v>45.048575712143936</v>
      </c>
      <c r="L163" s="147"/>
      <c r="M163" s="150">
        <f t="shared" ref="M163:V163" si="75">SUM(M149:M159)</f>
        <v>1.4514242878560681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6540</v>
      </c>
      <c r="H164" s="154">
        <f>SUM(H28,H86,H121,H137,H148,H163)</f>
        <v>33307.370000000003</v>
      </c>
      <c r="I164" s="154">
        <f>SUM(I28,I86,I121,I137,I148,I163)</f>
        <v>315</v>
      </c>
      <c r="J164" s="155">
        <f t="array" ref="J164">IF(ISERROR(G164/I164),"",G164/I164)</f>
        <v>20.761904761904763</v>
      </c>
      <c r="K164" s="154">
        <f>SUM(K28,K86,K121,K137,K148,K163)</f>
        <v>316.20262110894464</v>
      </c>
      <c r="L164" s="155">
        <f>IF(ISERROR(G164/K164),"",G164/K164)</f>
        <v>20.682940505248705</v>
      </c>
      <c r="M164" s="154">
        <f t="shared" ref="M164:AA164" si="76">SUM(M28,M86,M121,M137,M148,M163)</f>
        <v>-1.2026211089446317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468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468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468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468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468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468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468">
        <f>G164</f>
        <v>6540</v>
      </c>
      <c r="C171" s="638" t="s">
        <v>269</v>
      </c>
      <c r="D171" s="639"/>
      <c r="E171" s="631">
        <f>H164</f>
        <v>33307.370000000003</v>
      </c>
      <c r="F171" s="631"/>
      <c r="G171" s="631" t="s">
        <v>270</v>
      </c>
      <c r="H171" s="631"/>
      <c r="I171" s="640">
        <f>L164</f>
        <v>20.682940505248705</v>
      </c>
      <c r="J171" s="640"/>
      <c r="K171" s="628" t="s">
        <v>271</v>
      </c>
      <c r="L171" s="628"/>
      <c r="M171" s="640">
        <f>J164</f>
        <v>20.761904761904763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468">
        <f>I164+C170</f>
        <v>319</v>
      </c>
      <c r="C172" s="641" t="s">
        <v>251</v>
      </c>
      <c r="D172" s="642"/>
      <c r="E172" s="643">
        <f>K164+I170</f>
        <v>357.20262110894464</v>
      </c>
      <c r="F172" s="643"/>
      <c r="G172" s="631" t="s">
        <v>274</v>
      </c>
      <c r="H172" s="631"/>
      <c r="I172" s="640">
        <f>B172-E172</f>
        <v>-38.202621108944641</v>
      </c>
      <c r="J172" s="640"/>
      <c r="K172" s="628" t="s">
        <v>275</v>
      </c>
      <c r="L172" s="628"/>
      <c r="M172" s="632">
        <f>IF(ISERROR(I172/E172),"",I172/E172)</f>
        <v>-0.10694944228108862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468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296</v>
      </c>
      <c r="H177" s="472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>
        <v>30100030</v>
      </c>
      <c r="B178" s="465" t="s">
        <v>178</v>
      </c>
      <c r="C178" s="126" t="s">
        <v>179</v>
      </c>
      <c r="D178" s="108">
        <v>5.03</v>
      </c>
      <c r="E178" s="108"/>
      <c r="F178" s="127"/>
      <c r="G178" s="152"/>
      <c r="H178" s="466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4"/>
      <c r="P178" s="474"/>
      <c r="Q178" s="474"/>
      <c r="R178" s="474"/>
      <c r="S178" s="474"/>
      <c r="T178" s="474"/>
      <c r="U178" s="474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6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4"/>
      <c r="P179" s="474"/>
      <c r="Q179" s="474"/>
      <c r="R179" s="474"/>
      <c r="S179" s="474"/>
      <c r="T179" s="474"/>
      <c r="U179" s="47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6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4"/>
      <c r="P180" s="474"/>
      <c r="Q180" s="474"/>
      <c r="R180" s="474"/>
      <c r="S180" s="474"/>
      <c r="T180" s="474"/>
      <c r="U180" s="47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/>
      <c r="G181" s="128"/>
      <c r="H181" s="46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19</v>
      </c>
      <c r="M181" s="109">
        <f t="shared" si="78"/>
        <v>0</v>
      </c>
      <c r="N181" s="130">
        <f t="shared" si="81"/>
        <v>0</v>
      </c>
      <c r="O181" s="474"/>
      <c r="P181" s="474"/>
      <c r="Q181" s="474"/>
      <c r="R181" s="474"/>
      <c r="S181" s="474"/>
      <c r="T181" s="474"/>
      <c r="U181" s="47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66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4"/>
      <c r="P182" s="474"/>
      <c r="Q182" s="474"/>
      <c r="R182" s="474"/>
      <c r="S182" s="474"/>
      <c r="T182" s="474"/>
      <c r="U182" s="47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39">
        <v>42742</v>
      </c>
      <c r="G183" s="152">
        <f>100*4+86</f>
        <v>486</v>
      </c>
      <c r="H183" s="466">
        <f t="shared" si="77"/>
        <v>2449.44</v>
      </c>
      <c r="I183" s="138">
        <f>11*4</f>
        <v>44</v>
      </c>
      <c r="J183" s="130">
        <f t="array" ref="J183">IF(ISERROR(G183/I183),"",G183/I183)</f>
        <v>11.045454545454545</v>
      </c>
      <c r="K183" s="131">
        <f t="array" ref="K183">IF(ISERROR(G183/L183),"",G183/L183)</f>
        <v>25.578947368421051</v>
      </c>
      <c r="L183" s="129">
        <v>19</v>
      </c>
      <c r="M183" s="109">
        <f t="shared" si="78"/>
        <v>18.421052631578949</v>
      </c>
      <c r="N183" s="130">
        <f t="shared" si="81"/>
        <v>0</v>
      </c>
      <c r="O183" s="474"/>
      <c r="P183" s="474"/>
      <c r="Q183" s="474"/>
      <c r="R183" s="474"/>
      <c r="S183" s="474"/>
      <c r="T183" s="474"/>
      <c r="U183" s="474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6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4"/>
      <c r="P184" s="474"/>
      <c r="Q184" s="474"/>
      <c r="R184" s="474"/>
      <c r="S184" s="474"/>
      <c r="T184" s="474"/>
      <c r="U184" s="47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66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4"/>
      <c r="P185" s="474"/>
      <c r="Q185" s="474"/>
      <c r="R185" s="474"/>
      <c r="S185" s="474"/>
      <c r="T185" s="474"/>
      <c r="U185" s="474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66">
        <f t="shared" si="77"/>
        <v>0</v>
      </c>
      <c r="I186" s="46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4"/>
      <c r="P186" s="474"/>
      <c r="Q186" s="474"/>
      <c r="R186" s="474"/>
      <c r="S186" s="474"/>
      <c r="T186" s="474"/>
      <c r="U186" s="47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>
        <v>42741</v>
      </c>
      <c r="G187" s="152">
        <f>100*2+25</f>
        <v>225</v>
      </c>
      <c r="H187" s="466">
        <f t="shared" si="77"/>
        <v>1134</v>
      </c>
      <c r="I187" s="466">
        <f>3.5*5</f>
        <v>17.5</v>
      </c>
      <c r="J187" s="130">
        <f t="array" ref="J187">IF(ISERROR(G187/I187),"",G187/I187)</f>
        <v>12.857142857142858</v>
      </c>
      <c r="K187" s="131">
        <f t="array" ref="K187">IF(ISERROR(G187/L187),"",G187/L187)</f>
        <v>13.235294117647058</v>
      </c>
      <c r="L187" s="129">
        <v>17</v>
      </c>
      <c r="M187" s="109">
        <f t="shared" si="78"/>
        <v>4.264705882352942</v>
      </c>
      <c r="N187" s="130">
        <f t="shared" si="81"/>
        <v>0</v>
      </c>
      <c r="O187" s="474"/>
      <c r="P187" s="474"/>
      <c r="Q187" s="474"/>
      <c r="R187" s="474"/>
      <c r="S187" s="474"/>
      <c r="T187" s="474"/>
      <c r="U187" s="474"/>
      <c r="V187" s="132">
        <f>SUM(X187:AA187)</f>
        <v>0</v>
      </c>
      <c r="W187" s="133">
        <f>IF(ISERROR(V187/G187),"",V187/G187)</f>
        <v>0</v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6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4"/>
      <c r="P188" s="474"/>
      <c r="Q188" s="474"/>
      <c r="R188" s="474"/>
      <c r="S188" s="474"/>
      <c r="T188" s="474"/>
      <c r="U188" s="47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66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4"/>
      <c r="P189" s="474"/>
      <c r="Q189" s="474"/>
      <c r="R189" s="474"/>
      <c r="S189" s="474"/>
      <c r="T189" s="474"/>
      <c r="U189" s="474"/>
      <c r="V189" s="132"/>
      <c r="W189" s="133"/>
      <c r="X189" s="132"/>
      <c r="Y189" s="132"/>
      <c r="Z189" s="132"/>
      <c r="AA189" s="132"/>
    </row>
    <row r="190" spans="1:27" ht="20.10000000000000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>
        <v>42742</v>
      </c>
      <c r="G190" s="152">
        <f>90*5+74</f>
        <v>524</v>
      </c>
      <c r="H190" s="466">
        <f t="shared" ref="H190:H198" si="82">D190*G190</f>
        <v>2651.4399999999996</v>
      </c>
      <c r="I190" s="129">
        <f>8*6</f>
        <v>48</v>
      </c>
      <c r="J190" s="130">
        <f t="array" ref="J190">IF(ISERROR(G190/I190),"",G190/I190)</f>
        <v>10.916666666666666</v>
      </c>
      <c r="K190" s="131">
        <f t="array" ref="K190">IF(ISERROR(G190/L190),"",G190/L190)</f>
        <v>27.578947368421051</v>
      </c>
      <c r="L190" s="129">
        <v>19</v>
      </c>
      <c r="M190" s="109">
        <f t="shared" ref="M190:M198" si="83">IF(ISERROR(I190-K190),"",I190-K190)</f>
        <v>20.421052631578949</v>
      </c>
      <c r="N190" s="130">
        <f t="shared" ref="N190:N192" si="84">SUM(O190:U190)</f>
        <v>0</v>
      </c>
      <c r="O190" s="474"/>
      <c r="P190" s="474"/>
      <c r="Q190" s="474"/>
      <c r="R190" s="474"/>
      <c r="S190" s="474"/>
      <c r="T190" s="474"/>
      <c r="U190" s="474"/>
      <c r="V190" s="132">
        <f t="shared" ref="V190:V192" si="85">SUM(X190:AA190)</f>
        <v>0</v>
      </c>
      <c r="W190" s="133">
        <f t="shared" ref="W190:W192" si="86">IF(ISERROR(V190/G190),"",V190/G190)</f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6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4"/>
      <c r="P191" s="474"/>
      <c r="Q191" s="474"/>
      <c r="R191" s="474"/>
      <c r="S191" s="474"/>
      <c r="T191" s="474"/>
      <c r="U191" s="47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66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4"/>
      <c r="P192" s="474"/>
      <c r="Q192" s="474"/>
      <c r="R192" s="474"/>
      <c r="S192" s="474"/>
      <c r="T192" s="474"/>
      <c r="U192" s="474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2" t="s">
        <v>190</v>
      </c>
      <c r="D193" s="108">
        <v>4.8</v>
      </c>
      <c r="E193" s="108"/>
      <c r="F193" s="127"/>
      <c r="G193" s="128"/>
      <c r="H193" s="46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4"/>
      <c r="P193" s="474"/>
      <c r="Q193" s="474"/>
      <c r="R193" s="474"/>
      <c r="S193" s="474"/>
      <c r="T193" s="474"/>
      <c r="U193" s="47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2" t="s">
        <v>187</v>
      </c>
      <c r="D194" s="108">
        <v>4.8</v>
      </c>
      <c r="E194" s="108"/>
      <c r="F194" s="127"/>
      <c r="G194" s="128"/>
      <c r="H194" s="46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4"/>
      <c r="P194" s="474"/>
      <c r="Q194" s="474"/>
      <c r="R194" s="474"/>
      <c r="S194" s="474"/>
      <c r="T194" s="474"/>
      <c r="U194" s="47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2" t="s">
        <v>179</v>
      </c>
      <c r="D195" s="108">
        <v>4.8</v>
      </c>
      <c r="E195" s="108"/>
      <c r="F195" s="127"/>
      <c r="G195" s="128"/>
      <c r="H195" s="46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4"/>
      <c r="P195" s="474"/>
      <c r="Q195" s="474"/>
      <c r="R195" s="474"/>
      <c r="S195" s="474"/>
      <c r="T195" s="474"/>
      <c r="U195" s="47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2" t="s">
        <v>199</v>
      </c>
      <c r="D196" s="108">
        <v>4.8</v>
      </c>
      <c r="E196" s="108"/>
      <c r="F196" s="127"/>
      <c r="G196" s="128"/>
      <c r="H196" s="466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4"/>
      <c r="P196" s="474"/>
      <c r="Q196" s="474"/>
      <c r="R196" s="474"/>
      <c r="S196" s="474"/>
      <c r="T196" s="474"/>
      <c r="U196" s="474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6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4"/>
      <c r="P197" s="474"/>
      <c r="Q197" s="474"/>
      <c r="R197" s="474"/>
      <c r="S197" s="474"/>
      <c r="T197" s="474"/>
      <c r="U197" s="474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66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4"/>
      <c r="P198" s="474"/>
      <c r="Q198" s="474"/>
      <c r="R198" s="474"/>
      <c r="S198" s="474"/>
      <c r="T198" s="474"/>
      <c r="U198" s="474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475" t="s">
        <v>202</v>
      </c>
      <c r="D199" s="143"/>
      <c r="E199" s="143"/>
      <c r="F199" s="144"/>
      <c r="G199" s="145">
        <f>SUM(G178:G198)</f>
        <v>1235</v>
      </c>
      <c r="H199" s="146">
        <f>SUM(H178:H198)</f>
        <v>6234.8799999999992</v>
      </c>
      <c r="I199" s="146">
        <f>SUM(I178:I198)</f>
        <v>109.5</v>
      </c>
      <c r="J199" s="130">
        <f t="array" ref="J199">IF(ISERROR(G199/I199),"",G199/I199)</f>
        <v>11.278538812785389</v>
      </c>
      <c r="K199" s="146">
        <f>SUM(K178:K198)</f>
        <v>66.393188854489168</v>
      </c>
      <c r="L199" s="147"/>
      <c r="M199" s="150">
        <f t="shared" ref="M199:AA199" si="90">SUM(M178:M198)</f>
        <v>43.106811145510839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65" t="s">
        <v>206</v>
      </c>
      <c r="C200" s="126" t="s">
        <v>199</v>
      </c>
      <c r="D200" s="108">
        <v>5.03</v>
      </c>
      <c r="E200" s="108"/>
      <c r="F200" s="127"/>
      <c r="G200" s="128"/>
      <c r="H200" s="466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70"/>
      <c r="P200" s="470"/>
      <c r="Q200" s="470"/>
      <c r="R200" s="470"/>
      <c r="S200" s="470"/>
      <c r="T200" s="470"/>
      <c r="U200" s="470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65" t="s">
        <v>425</v>
      </c>
      <c r="C201" s="187" t="s">
        <v>427</v>
      </c>
      <c r="D201" s="108">
        <v>5.03</v>
      </c>
      <c r="E201" s="108"/>
      <c r="F201" s="127"/>
      <c r="G201" s="128"/>
      <c r="H201" s="466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70"/>
      <c r="P201" s="470"/>
      <c r="Q201" s="470"/>
      <c r="R201" s="470"/>
      <c r="S201" s="470"/>
      <c r="T201" s="470"/>
      <c r="U201" s="470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65" t="s">
        <v>206</v>
      </c>
      <c r="C202" s="126" t="s">
        <v>186</v>
      </c>
      <c r="D202" s="108">
        <v>5.03</v>
      </c>
      <c r="E202" s="108"/>
      <c r="F202" s="127">
        <v>42741</v>
      </c>
      <c r="G202" s="152">
        <f>108*8</f>
        <v>864</v>
      </c>
      <c r="H202" s="466">
        <f t="shared" si="91"/>
        <v>4345.92</v>
      </c>
      <c r="I202" s="129">
        <f>6*2</f>
        <v>12</v>
      </c>
      <c r="J202" s="130">
        <f t="array" ref="J202">IF(ISERROR(G202/I202),"",G202/I202)</f>
        <v>72</v>
      </c>
      <c r="K202" s="131">
        <f t="array" ref="K202">IF(ISERROR(G202/L202),"",G202/L202)</f>
        <v>16.615384615384617</v>
      </c>
      <c r="L202" s="129">
        <v>52</v>
      </c>
      <c r="M202" s="109">
        <f t="shared" ref="M202" si="96">IF(ISERROR(I202-K202),"",I202-K202)</f>
        <v>-4.6153846153846168</v>
      </c>
      <c r="N202" s="130">
        <f t="shared" ref="N202:N204" si="97">SUM(O202:U202)</f>
        <v>0</v>
      </c>
      <c r="O202" s="470"/>
      <c r="P202" s="470"/>
      <c r="Q202" s="470"/>
      <c r="R202" s="470"/>
      <c r="S202" s="470"/>
      <c r="T202" s="470"/>
      <c r="U202" s="470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65" t="s">
        <v>206</v>
      </c>
      <c r="C203" s="126" t="s">
        <v>203</v>
      </c>
      <c r="D203" s="108">
        <v>5.03</v>
      </c>
      <c r="E203" s="108"/>
      <c r="F203" s="127"/>
      <c r="G203" s="128"/>
      <c r="H203" s="466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70"/>
      <c r="P203" s="470"/>
      <c r="Q203" s="470"/>
      <c r="R203" s="470"/>
      <c r="S203" s="470"/>
      <c r="T203" s="470"/>
      <c r="U203" s="47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30100013</v>
      </c>
      <c r="B204" s="465" t="s">
        <v>206</v>
      </c>
      <c r="C204" s="126" t="s">
        <v>207</v>
      </c>
      <c r="D204" s="108">
        <v>5.03</v>
      </c>
      <c r="E204" s="108"/>
      <c r="F204" s="127"/>
      <c r="G204" s="128"/>
      <c r="H204" s="466">
        <f t="shared" si="91"/>
        <v>0</v>
      </c>
      <c r="I204" s="129"/>
      <c r="J204" s="130" t="str">
        <f t="array" ref="J204">IF(ISERROR(G204/I204),"",G204/I204)</f>
        <v/>
      </c>
      <c r="K204" s="131">
        <f t="array" ref="K204">IF(ISERROR(G204/L204),"",G204/L204)</f>
        <v>0</v>
      </c>
      <c r="L204" s="129">
        <v>52</v>
      </c>
      <c r="M204" s="109">
        <f t="shared" ref="M204" si="100">IF(ISERROR(I204-K204),"",I204-K204)</f>
        <v>0</v>
      </c>
      <c r="N204" s="130">
        <f t="shared" si="97"/>
        <v>0</v>
      </c>
      <c r="O204" s="470"/>
      <c r="P204" s="470"/>
      <c r="Q204" s="470"/>
      <c r="R204" s="470"/>
      <c r="S204" s="470"/>
      <c r="T204" s="470"/>
      <c r="U204" s="470"/>
      <c r="V204" s="132">
        <f t="shared" si="98"/>
        <v>0</v>
      </c>
      <c r="W204" s="133" t="str">
        <f t="shared" si="99"/>
        <v/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65" t="s">
        <v>414</v>
      </c>
      <c r="C205" s="187" t="s">
        <v>415</v>
      </c>
      <c r="D205" s="108">
        <v>5.03</v>
      </c>
      <c r="E205" s="108"/>
      <c r="F205" s="127"/>
      <c r="G205" s="128"/>
      <c r="H205" s="46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0"/>
      <c r="P205" s="470"/>
      <c r="Q205" s="470"/>
      <c r="R205" s="470"/>
      <c r="S205" s="470"/>
      <c r="T205" s="470"/>
      <c r="U205" s="470"/>
      <c r="V205" s="132"/>
      <c r="W205" s="133"/>
      <c r="X205" s="132"/>
      <c r="Y205" s="132"/>
      <c r="Z205" s="132"/>
      <c r="AA205" s="132"/>
    </row>
    <row r="206" spans="1:27" ht="20.25" customHeight="1">
      <c r="A206" s="300">
        <v>30100017</v>
      </c>
      <c r="B206" s="465" t="s">
        <v>414</v>
      </c>
      <c r="C206" s="187" t="s">
        <v>416</v>
      </c>
      <c r="D206" s="108">
        <v>5.03</v>
      </c>
      <c r="E206" s="108"/>
      <c r="F206" s="127">
        <v>42741</v>
      </c>
      <c r="G206" s="152">
        <f>108*5+60</f>
        <v>600</v>
      </c>
      <c r="H206" s="466">
        <f t="shared" si="91"/>
        <v>3018</v>
      </c>
      <c r="I206" s="129">
        <f>5.5*2</f>
        <v>11</v>
      </c>
      <c r="J206" s="130">
        <f t="array" ref="J206">IF(ISERROR(G206/I206),"",G206/I206)</f>
        <v>54.545454545454547</v>
      </c>
      <c r="K206" s="131">
        <f t="array" ref="K206">IF(ISERROR(G206/L206),"",G206/L206)</f>
        <v>11.538461538461538</v>
      </c>
      <c r="L206" s="129">
        <v>52</v>
      </c>
      <c r="M206" s="109"/>
      <c r="N206" s="130"/>
      <c r="O206" s="470"/>
      <c r="P206" s="470"/>
      <c r="Q206" s="470"/>
      <c r="R206" s="470"/>
      <c r="S206" s="470"/>
      <c r="T206" s="470"/>
      <c r="U206" s="47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65" t="s">
        <v>414</v>
      </c>
      <c r="C207" s="187" t="s">
        <v>61</v>
      </c>
      <c r="D207" s="108">
        <v>5.03</v>
      </c>
      <c r="E207" s="108"/>
      <c r="F207" s="127"/>
      <c r="G207" s="128"/>
      <c r="H207" s="466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70"/>
      <c r="P207" s="470"/>
      <c r="Q207" s="470"/>
      <c r="R207" s="470"/>
      <c r="S207" s="470"/>
      <c r="T207" s="470"/>
      <c r="U207" s="470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65" t="s">
        <v>208</v>
      </c>
      <c r="C208" s="126" t="s">
        <v>179</v>
      </c>
      <c r="D208" s="108">
        <v>5.08</v>
      </c>
      <c r="E208" s="108"/>
      <c r="F208" s="127"/>
      <c r="G208" s="128"/>
      <c r="H208" s="46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70"/>
      <c r="P208" s="470"/>
      <c r="Q208" s="470"/>
      <c r="R208" s="470"/>
      <c r="S208" s="470"/>
      <c r="T208" s="470"/>
      <c r="U208" s="470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65" t="s">
        <v>208</v>
      </c>
      <c r="C209" s="126" t="s">
        <v>204</v>
      </c>
      <c r="D209" s="108">
        <v>5.08</v>
      </c>
      <c r="E209" s="108"/>
      <c r="F209" s="127"/>
      <c r="G209" s="128"/>
      <c r="H209" s="46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0"/>
      <c r="P209" s="470"/>
      <c r="Q209" s="470"/>
      <c r="R209" s="470"/>
      <c r="S209" s="470"/>
      <c r="T209" s="470"/>
      <c r="U209" s="47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65" t="s">
        <v>208</v>
      </c>
      <c r="C210" s="126" t="s">
        <v>205</v>
      </c>
      <c r="D210" s="108">
        <v>5.08</v>
      </c>
      <c r="E210" s="108"/>
      <c r="F210" s="127"/>
      <c r="G210" s="128"/>
      <c r="H210" s="46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0"/>
      <c r="P210" s="470"/>
      <c r="Q210" s="470"/>
      <c r="R210" s="470"/>
      <c r="S210" s="470"/>
      <c r="T210" s="470"/>
      <c r="U210" s="47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65" t="s">
        <v>208</v>
      </c>
      <c r="C211" s="126" t="s">
        <v>186</v>
      </c>
      <c r="D211" s="108">
        <v>5.08</v>
      </c>
      <c r="E211" s="108"/>
      <c r="F211" s="127"/>
      <c r="G211" s="128"/>
      <c r="H211" s="46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0"/>
      <c r="P211" s="470"/>
      <c r="Q211" s="470"/>
      <c r="R211" s="470"/>
      <c r="S211" s="470"/>
      <c r="T211" s="470"/>
      <c r="U211" s="47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65" t="s">
        <v>208</v>
      </c>
      <c r="C212" s="126" t="s">
        <v>203</v>
      </c>
      <c r="D212" s="108">
        <v>5.08</v>
      </c>
      <c r="E212" s="108"/>
      <c r="F212" s="127"/>
      <c r="G212" s="128"/>
      <c r="H212" s="46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65" t="s">
        <v>208</v>
      </c>
      <c r="C213" s="126" t="s">
        <v>199</v>
      </c>
      <c r="D213" s="108">
        <v>5.08</v>
      </c>
      <c r="E213" s="108"/>
      <c r="F213" s="127">
        <v>42742</v>
      </c>
      <c r="G213" s="152">
        <f>108*3+107</f>
        <v>431</v>
      </c>
      <c r="H213" s="466">
        <f t="shared" si="91"/>
        <v>2189.48</v>
      </c>
      <c r="I213" s="129">
        <f>6.5*4</f>
        <v>26</v>
      </c>
      <c r="J213" s="130">
        <f t="array" ref="J213">IF(ISERROR(G213/I213),"",G213/I213)</f>
        <v>16.576923076923077</v>
      </c>
      <c r="K213" s="131">
        <f t="array" ref="K213">IF(ISERROR(G213/L213),"",G213/L213)</f>
        <v>20.523809523809526</v>
      </c>
      <c r="L213" s="129">
        <v>21</v>
      </c>
      <c r="M213" s="109">
        <f t="shared" si="101"/>
        <v>5.4761904761904745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65" t="s">
        <v>208</v>
      </c>
      <c r="C214" s="126" t="s">
        <v>187</v>
      </c>
      <c r="D214" s="108">
        <v>5.08</v>
      </c>
      <c r="E214" s="108"/>
      <c r="F214" s="127"/>
      <c r="G214" s="128"/>
      <c r="H214" s="46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65" t="s">
        <v>208</v>
      </c>
      <c r="C215" s="126" t="s">
        <v>207</v>
      </c>
      <c r="D215" s="108">
        <v>5.08</v>
      </c>
      <c r="E215" s="108"/>
      <c r="F215" s="127">
        <v>42742</v>
      </c>
      <c r="G215" s="152">
        <f>108*3</f>
        <v>324</v>
      </c>
      <c r="H215" s="466">
        <f t="shared" si="91"/>
        <v>1645.92</v>
      </c>
      <c r="I215" s="129">
        <f>5*4</f>
        <v>20</v>
      </c>
      <c r="J215" s="130">
        <f t="array" ref="J215">IF(ISERROR(G215/I215),"",G215/I215)</f>
        <v>16.2</v>
      </c>
      <c r="K215" s="131">
        <f t="array" ref="K215">IF(ISERROR(G215/L215),"",G215/L215)</f>
        <v>15.428571428571429</v>
      </c>
      <c r="L215" s="129">
        <v>21</v>
      </c>
      <c r="M215" s="109">
        <f t="shared" si="101"/>
        <v>4.5714285714285712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65" t="s">
        <v>209</v>
      </c>
      <c r="C216" s="126" t="s">
        <v>194</v>
      </c>
      <c r="D216" s="108">
        <v>5.03</v>
      </c>
      <c r="E216" s="108"/>
      <c r="F216" s="127"/>
      <c r="G216" s="128"/>
      <c r="H216" s="46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0"/>
      <c r="P216" s="470"/>
      <c r="Q216" s="470"/>
      <c r="R216" s="470"/>
      <c r="S216" s="470"/>
      <c r="T216" s="470"/>
      <c r="U216" s="47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65" t="s">
        <v>209</v>
      </c>
      <c r="C217" s="126" t="s">
        <v>179</v>
      </c>
      <c r="D217" s="108">
        <v>5.03</v>
      </c>
      <c r="E217" s="108"/>
      <c r="F217" s="127"/>
      <c r="G217" s="128"/>
      <c r="H217" s="46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0"/>
      <c r="P217" s="470"/>
      <c r="Q217" s="470"/>
      <c r="R217" s="470"/>
      <c r="S217" s="470"/>
      <c r="T217" s="470"/>
      <c r="U217" s="47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65" t="s">
        <v>209</v>
      </c>
      <c r="C218" s="126" t="s">
        <v>195</v>
      </c>
      <c r="D218" s="108">
        <v>5.03</v>
      </c>
      <c r="E218" s="108"/>
      <c r="F218" s="127"/>
      <c r="G218" s="128"/>
      <c r="H218" s="46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70"/>
      <c r="P218" s="470"/>
      <c r="Q218" s="470"/>
      <c r="R218" s="470"/>
      <c r="S218" s="470"/>
      <c r="T218" s="470"/>
      <c r="U218" s="47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65" t="s">
        <v>209</v>
      </c>
      <c r="C219" s="126" t="s">
        <v>204</v>
      </c>
      <c r="D219" s="108">
        <v>5.03</v>
      </c>
      <c r="E219" s="108"/>
      <c r="F219" s="127"/>
      <c r="G219" s="128"/>
      <c r="H219" s="466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70"/>
      <c r="P219" s="470"/>
      <c r="Q219" s="470"/>
      <c r="R219" s="470"/>
      <c r="S219" s="470"/>
      <c r="T219" s="470"/>
      <c r="U219" s="470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65" t="s">
        <v>382</v>
      </c>
      <c r="C220" s="187" t="s">
        <v>383</v>
      </c>
      <c r="D220" s="108">
        <v>5.03</v>
      </c>
      <c r="E220" s="108"/>
      <c r="F220" s="127"/>
      <c r="G220" s="128"/>
      <c r="H220" s="46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70"/>
      <c r="P220" s="470"/>
      <c r="Q220" s="470"/>
      <c r="R220" s="470"/>
      <c r="S220" s="470"/>
      <c r="T220" s="470"/>
      <c r="U220" s="47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65" t="s">
        <v>382</v>
      </c>
      <c r="C221" s="187" t="s">
        <v>384</v>
      </c>
      <c r="D221" s="108">
        <v>5.03</v>
      </c>
      <c r="E221" s="108"/>
      <c r="F221" s="127"/>
      <c r="G221" s="128"/>
      <c r="H221" s="46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0"/>
      <c r="P221" s="470"/>
      <c r="Q221" s="470"/>
      <c r="R221" s="470"/>
      <c r="S221" s="470"/>
      <c r="T221" s="470"/>
      <c r="U221" s="47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65" t="s">
        <v>382</v>
      </c>
      <c r="C222" s="187" t="s">
        <v>389</v>
      </c>
      <c r="D222" s="108">
        <v>5.03</v>
      </c>
      <c r="E222" s="108"/>
      <c r="F222" s="127"/>
      <c r="G222" s="128"/>
      <c r="H222" s="46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0"/>
      <c r="P222" s="470"/>
      <c r="Q222" s="470"/>
      <c r="R222" s="470"/>
      <c r="S222" s="470"/>
      <c r="T222" s="470"/>
      <c r="U222" s="47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65" t="s">
        <v>382</v>
      </c>
      <c r="C223" s="187" t="s">
        <v>391</v>
      </c>
      <c r="D223" s="108">
        <v>5.03</v>
      </c>
      <c r="E223" s="108"/>
      <c r="F223" s="127"/>
      <c r="G223" s="128"/>
      <c r="H223" s="46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70"/>
      <c r="P223" s="470"/>
      <c r="Q223" s="470"/>
      <c r="R223" s="470"/>
      <c r="S223" s="470"/>
      <c r="T223" s="470"/>
      <c r="U223" s="47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65" t="s">
        <v>418</v>
      </c>
      <c r="C224" s="187" t="s">
        <v>364</v>
      </c>
      <c r="D224" s="108">
        <v>5.03</v>
      </c>
      <c r="E224" s="108"/>
      <c r="F224" s="127"/>
      <c r="G224" s="128"/>
      <c r="H224" s="46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0"/>
      <c r="P224" s="470"/>
      <c r="Q224" s="470"/>
      <c r="R224" s="470"/>
      <c r="S224" s="470"/>
      <c r="T224" s="470"/>
      <c r="U224" s="47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65" t="s">
        <v>418</v>
      </c>
      <c r="C225" s="187" t="s">
        <v>365</v>
      </c>
      <c r="D225" s="108">
        <v>5.03</v>
      </c>
      <c r="E225" s="108"/>
      <c r="F225" s="127"/>
      <c r="G225" s="128"/>
      <c r="H225" s="46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0"/>
      <c r="P225" s="470"/>
      <c r="Q225" s="470"/>
      <c r="R225" s="470"/>
      <c r="S225" s="470"/>
      <c r="T225" s="470"/>
      <c r="U225" s="47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65" t="s">
        <v>418</v>
      </c>
      <c r="C226" s="187" t="s">
        <v>366</v>
      </c>
      <c r="D226" s="108">
        <v>5.03</v>
      </c>
      <c r="E226" s="108"/>
      <c r="F226" s="127"/>
      <c r="G226" s="128"/>
      <c r="H226" s="46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0"/>
      <c r="P226" s="470"/>
      <c r="Q226" s="470"/>
      <c r="R226" s="470"/>
      <c r="S226" s="470"/>
      <c r="T226" s="470"/>
      <c r="U226" s="47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65" t="s">
        <v>418</v>
      </c>
      <c r="C227" s="187" t="s">
        <v>367</v>
      </c>
      <c r="D227" s="108">
        <v>5.03</v>
      </c>
      <c r="E227" s="108"/>
      <c r="F227" s="127"/>
      <c r="G227" s="128"/>
      <c r="H227" s="466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/>
      <c r="W227" s="133"/>
      <c r="X227" s="132"/>
      <c r="Y227" s="132"/>
      <c r="Z227" s="132"/>
      <c r="AA227" s="132"/>
    </row>
    <row r="228" spans="1:27" ht="20.10000000000000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>
        <v>42740</v>
      </c>
      <c r="G228" s="152">
        <v>93</v>
      </c>
      <c r="H228" s="466">
        <f t="shared" si="91"/>
        <v>467.79</v>
      </c>
      <c r="I228" s="129">
        <v>2</v>
      </c>
      <c r="J228" s="130">
        <f t="array" ref="J228">IF(ISERROR(G228/I228),"",G228/I228)</f>
        <v>46.5</v>
      </c>
      <c r="K228" s="131">
        <f t="array" ref="K228">IF(ISERROR(G228/L228),"",G228/L228)</f>
        <v>2.3250000000000002</v>
      </c>
      <c r="L228" s="129">
        <v>40</v>
      </c>
      <c r="M228" s="109">
        <f t="shared" si="101"/>
        <v>-0.32500000000000018</v>
      </c>
      <c r="N228" s="130">
        <f t="shared" si="102"/>
        <v>0</v>
      </c>
      <c r="O228" s="474"/>
      <c r="P228" s="474"/>
      <c r="Q228" s="474"/>
      <c r="R228" s="474"/>
      <c r="S228" s="474"/>
      <c r="T228" s="474"/>
      <c r="U228" s="474"/>
      <c r="V228" s="132">
        <f t="shared" ref="V228:V237" si="105">SUM(X228:AA228)</f>
        <v>0</v>
      </c>
      <c r="W228" s="133">
        <f t="shared" ref="W228:W237" si="106">IF(ISERROR(V228/G228),"",V228/G228)</f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52"/>
      <c r="H229" s="46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4"/>
      <c r="P229" s="474"/>
      <c r="Q229" s="474"/>
      <c r="R229" s="474"/>
      <c r="S229" s="474"/>
      <c r="T229" s="474"/>
      <c r="U229" s="47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52"/>
      <c r="H230" s="46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4"/>
      <c r="P230" s="474"/>
      <c r="Q230" s="474"/>
      <c r="R230" s="474"/>
      <c r="S230" s="474"/>
      <c r="T230" s="474"/>
      <c r="U230" s="47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6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4"/>
      <c r="P231" s="474"/>
      <c r="Q231" s="474"/>
      <c r="R231" s="474"/>
      <c r="S231" s="474"/>
      <c r="T231" s="474"/>
      <c r="U231" s="47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6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4"/>
      <c r="P232" s="474"/>
      <c r="Q232" s="474"/>
      <c r="R232" s="474"/>
      <c r="S232" s="474"/>
      <c r="T232" s="474"/>
      <c r="U232" s="47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6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4"/>
      <c r="P233" s="474"/>
      <c r="Q233" s="474"/>
      <c r="R233" s="474"/>
      <c r="S233" s="474"/>
      <c r="T233" s="474"/>
      <c r="U233" s="47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66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4"/>
      <c r="P234" s="474"/>
      <c r="Q234" s="474"/>
      <c r="R234" s="474"/>
      <c r="S234" s="474"/>
      <c r="T234" s="474"/>
      <c r="U234" s="47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66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4"/>
      <c r="P235" s="474"/>
      <c r="Q235" s="474"/>
      <c r="R235" s="474"/>
      <c r="S235" s="474"/>
      <c r="T235" s="474"/>
      <c r="U235" s="47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6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4"/>
      <c r="P236" s="474"/>
      <c r="Q236" s="474"/>
      <c r="R236" s="474"/>
      <c r="S236" s="474"/>
      <c r="T236" s="474"/>
      <c r="U236" s="47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66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4"/>
      <c r="P237" s="474"/>
      <c r="Q237" s="474"/>
      <c r="R237" s="474"/>
      <c r="S237" s="474"/>
      <c r="T237" s="474"/>
      <c r="U237" s="474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66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4"/>
      <c r="P238" s="474"/>
      <c r="Q238" s="474"/>
      <c r="R238" s="474"/>
      <c r="S238" s="474"/>
      <c r="T238" s="474"/>
      <c r="U238" s="47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66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4"/>
      <c r="P239" s="474"/>
      <c r="Q239" s="474"/>
      <c r="R239" s="474"/>
      <c r="S239" s="474"/>
      <c r="T239" s="474"/>
      <c r="U239" s="474"/>
      <c r="V239" s="132"/>
      <c r="W239" s="133"/>
      <c r="X239" s="132"/>
      <c r="Y239" s="132"/>
      <c r="Z239" s="132"/>
      <c r="AA239" s="132"/>
    </row>
    <row r="240" spans="1:27" ht="20.100000000000001" hidden="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/>
      <c r="G240" s="128"/>
      <c r="H240" s="46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ref="N240:N241" si="108">SUM(O240:U240)</f>
        <v>0</v>
      </c>
      <c r="O240" s="474"/>
      <c r="P240" s="474"/>
      <c r="Q240" s="474"/>
      <c r="R240" s="474"/>
      <c r="S240" s="474"/>
      <c r="T240" s="474"/>
      <c r="U240" s="474"/>
      <c r="V240" s="132">
        <f t="shared" ref="V240:V241" si="109">SUM(X240:AA240)</f>
        <v>0</v>
      </c>
      <c r="W240" s="133" t="str">
        <f t="shared" ref="W240:W241" si="110">IF(ISERROR(V240/G240),"",V240/G240)</f>
        <v/>
      </c>
      <c r="X240" s="132"/>
      <c r="Y240" s="132"/>
      <c r="Z240" s="132"/>
      <c r="AA240" s="132"/>
    </row>
    <row r="241" spans="1:27" ht="20.10000000000000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>
        <v>42741</v>
      </c>
      <c r="G241" s="152">
        <f>100*9+49</f>
        <v>949</v>
      </c>
      <c r="H241" s="466">
        <f t="shared" si="91"/>
        <v>4773.47</v>
      </c>
      <c r="I241" s="129">
        <f>11*0.5*4</f>
        <v>22</v>
      </c>
      <c r="J241" s="130">
        <f t="array" ref="J241">IF(ISERROR(G241/I241),"",G241/I241)</f>
        <v>43.136363636363633</v>
      </c>
      <c r="K241" s="131">
        <f t="array" ref="K241">IF(ISERROR(G241/L241),"",G241/L241)</f>
        <v>44.139534883720927</v>
      </c>
      <c r="L241" s="129">
        <v>21.5</v>
      </c>
      <c r="M241" s="109">
        <f t="shared" si="107"/>
        <v>-22.139534883720927</v>
      </c>
      <c r="N241" s="130">
        <f t="shared" si="108"/>
        <v>0</v>
      </c>
      <c r="O241" s="474"/>
      <c r="P241" s="474"/>
      <c r="Q241" s="474"/>
      <c r="R241" s="474"/>
      <c r="S241" s="474"/>
      <c r="T241" s="474"/>
      <c r="U241" s="474"/>
      <c r="V241" s="132">
        <f t="shared" si="109"/>
        <v>0</v>
      </c>
      <c r="W241" s="133">
        <f t="shared" si="110"/>
        <v>0</v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66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4"/>
      <c r="P242" s="474"/>
      <c r="Q242" s="474"/>
      <c r="R242" s="474"/>
      <c r="S242" s="474"/>
      <c r="T242" s="474"/>
      <c r="U242" s="474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6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4"/>
      <c r="P243" s="474"/>
      <c r="Q243" s="474"/>
      <c r="R243" s="474"/>
      <c r="S243" s="474"/>
      <c r="T243" s="474"/>
      <c r="U243" s="474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6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4"/>
      <c r="P244" s="474"/>
      <c r="Q244" s="474"/>
      <c r="R244" s="474"/>
      <c r="S244" s="474"/>
      <c r="T244" s="474"/>
      <c r="U244" s="47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6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4"/>
      <c r="P245" s="474"/>
      <c r="Q245" s="474"/>
      <c r="R245" s="474"/>
      <c r="S245" s="474"/>
      <c r="T245" s="474"/>
      <c r="U245" s="47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66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4"/>
      <c r="P246" s="474"/>
      <c r="Q246" s="474"/>
      <c r="R246" s="474"/>
      <c r="S246" s="474"/>
      <c r="T246" s="474"/>
      <c r="U246" s="474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6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4"/>
      <c r="P247" s="474"/>
      <c r="Q247" s="474"/>
      <c r="R247" s="474"/>
      <c r="S247" s="474"/>
      <c r="T247" s="474"/>
      <c r="U247" s="47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6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4"/>
      <c r="P248" s="474"/>
      <c r="Q248" s="474"/>
      <c r="R248" s="474"/>
      <c r="S248" s="474"/>
      <c r="T248" s="474"/>
      <c r="U248" s="47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6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4"/>
      <c r="P249" s="474"/>
      <c r="Q249" s="474"/>
      <c r="R249" s="474"/>
      <c r="S249" s="474"/>
      <c r="T249" s="474"/>
      <c r="U249" s="47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66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4"/>
      <c r="P250" s="474"/>
      <c r="Q250" s="474"/>
      <c r="R250" s="474"/>
      <c r="S250" s="474"/>
      <c r="T250" s="474"/>
      <c r="U250" s="47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6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4"/>
      <c r="P251" s="474"/>
      <c r="Q251" s="474"/>
      <c r="R251" s="474"/>
      <c r="S251" s="474"/>
      <c r="T251" s="474"/>
      <c r="U251" s="47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6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4"/>
      <c r="P252" s="474"/>
      <c r="Q252" s="474"/>
      <c r="R252" s="474"/>
      <c r="S252" s="474"/>
      <c r="T252" s="474"/>
      <c r="U252" s="47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6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4"/>
      <c r="P253" s="474"/>
      <c r="Q253" s="474"/>
      <c r="R253" s="474"/>
      <c r="S253" s="474"/>
      <c r="T253" s="474"/>
      <c r="U253" s="47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6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4"/>
      <c r="P254" s="474"/>
      <c r="Q254" s="474"/>
      <c r="R254" s="474"/>
      <c r="S254" s="474"/>
      <c r="T254" s="474"/>
      <c r="U254" s="47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6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4"/>
      <c r="P255" s="474"/>
      <c r="Q255" s="474"/>
      <c r="R255" s="474"/>
      <c r="S255" s="474"/>
      <c r="T255" s="474"/>
      <c r="U255" s="47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66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4"/>
      <c r="P256" s="474"/>
      <c r="Q256" s="474"/>
      <c r="R256" s="474"/>
      <c r="S256" s="474"/>
      <c r="T256" s="474"/>
      <c r="U256" s="474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75" t="s">
        <v>202</v>
      </c>
      <c r="D257" s="143"/>
      <c r="E257" s="143"/>
      <c r="F257" s="144"/>
      <c r="G257" s="145">
        <f>SUM(G200:G256)</f>
        <v>3261</v>
      </c>
      <c r="H257" s="146">
        <f>SUM(H200:H256)</f>
        <v>16440.580000000002</v>
      </c>
      <c r="I257" s="146">
        <f>SUM(I200:I256)</f>
        <v>93</v>
      </c>
      <c r="J257" s="130">
        <f t="array" ref="J257">IF(ISERROR(G257/I257),"",G257/I257)</f>
        <v>35.064516129032256</v>
      </c>
      <c r="K257" s="146">
        <f>SUM(K200:K256)</f>
        <v>110.57076198994804</v>
      </c>
      <c r="L257" s="147"/>
      <c r="M257" s="150">
        <f t="shared" ref="M257:V257" si="114">SUM(M200:M256)</f>
        <v>-17.032300451486499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65" t="s">
        <v>217</v>
      </c>
      <c r="C258" s="126" t="s">
        <v>179</v>
      </c>
      <c r="D258" s="108">
        <v>5.03</v>
      </c>
      <c r="E258" s="108"/>
      <c r="F258" s="127"/>
      <c r="G258" s="128"/>
      <c r="H258" s="466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4"/>
      <c r="P258" s="474"/>
      <c r="Q258" s="474"/>
      <c r="R258" s="474"/>
      <c r="S258" s="474"/>
      <c r="T258" s="474"/>
      <c r="U258" s="474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65" t="s">
        <v>217</v>
      </c>
      <c r="C259" s="126" t="s">
        <v>186</v>
      </c>
      <c r="D259" s="108">
        <v>5.03</v>
      </c>
      <c r="E259" s="108"/>
      <c r="F259" s="127"/>
      <c r="G259" s="128"/>
      <c r="H259" s="466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4"/>
      <c r="P259" s="474"/>
      <c r="Q259" s="474"/>
      <c r="R259" s="474"/>
      <c r="S259" s="474"/>
      <c r="T259" s="474"/>
      <c r="U259" s="47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30400011</v>
      </c>
      <c r="B260" s="465" t="s">
        <v>217</v>
      </c>
      <c r="C260" s="126" t="s">
        <v>204</v>
      </c>
      <c r="D260" s="108">
        <v>5.03</v>
      </c>
      <c r="E260" s="108"/>
      <c r="F260" s="127"/>
      <c r="G260" s="128"/>
      <c r="H260" s="466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8.8000000000000007</v>
      </c>
      <c r="M260" s="109">
        <f t="shared" si="117"/>
        <v>0</v>
      </c>
      <c r="N260" s="130">
        <f t="shared" si="118"/>
        <v>0</v>
      </c>
      <c r="O260" s="474"/>
      <c r="P260" s="474"/>
      <c r="Q260" s="474"/>
      <c r="R260" s="474"/>
      <c r="S260" s="474"/>
      <c r="T260" s="474"/>
      <c r="U260" s="474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66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4"/>
      <c r="P261" s="474"/>
      <c r="Q261" s="474"/>
      <c r="R261" s="474"/>
      <c r="S261" s="474"/>
      <c r="T261" s="474"/>
      <c r="U261" s="474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66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4"/>
      <c r="P262" s="474"/>
      <c r="Q262" s="474"/>
      <c r="R262" s="474"/>
      <c r="S262" s="474"/>
      <c r="T262" s="474"/>
      <c r="U262" s="47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66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4"/>
      <c r="P263" s="474"/>
      <c r="Q263" s="474"/>
      <c r="R263" s="474"/>
      <c r="S263" s="474"/>
      <c r="T263" s="474"/>
      <c r="U263" s="47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66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4"/>
      <c r="P264" s="474"/>
      <c r="Q264" s="474"/>
      <c r="R264" s="474"/>
      <c r="S264" s="474"/>
      <c r="T264" s="474"/>
      <c r="U264" s="474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66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4"/>
      <c r="P265" s="474"/>
      <c r="Q265" s="474"/>
      <c r="R265" s="474"/>
      <c r="S265" s="474"/>
      <c r="T265" s="474"/>
      <c r="U265" s="474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52"/>
      <c r="H266" s="466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4"/>
      <c r="P266" s="474"/>
      <c r="Q266" s="474"/>
      <c r="R266" s="474"/>
      <c r="S266" s="474"/>
      <c r="T266" s="474"/>
      <c r="U266" s="47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66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4"/>
      <c r="P267" s="474"/>
      <c r="Q267" s="474"/>
      <c r="R267" s="474"/>
      <c r="S267" s="474"/>
      <c r="T267" s="474"/>
      <c r="U267" s="47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66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4"/>
      <c r="P268" s="474"/>
      <c r="Q268" s="474"/>
      <c r="R268" s="474"/>
      <c r="S268" s="474"/>
      <c r="T268" s="474"/>
      <c r="U268" s="47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66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4"/>
      <c r="P269" s="474"/>
      <c r="Q269" s="474"/>
      <c r="R269" s="474"/>
      <c r="S269" s="474"/>
      <c r="T269" s="474"/>
      <c r="U269" s="474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66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4"/>
      <c r="P270" s="474"/>
      <c r="Q270" s="474"/>
      <c r="R270" s="474"/>
      <c r="S270" s="474"/>
      <c r="T270" s="474"/>
      <c r="U270" s="474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66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4"/>
      <c r="P271" s="474"/>
      <c r="Q271" s="474"/>
      <c r="R271" s="474"/>
      <c r="S271" s="474"/>
      <c r="T271" s="474"/>
      <c r="U271" s="47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66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4"/>
      <c r="P272" s="474"/>
      <c r="Q272" s="474"/>
      <c r="R272" s="474"/>
      <c r="S272" s="474"/>
      <c r="T272" s="474"/>
      <c r="U272" s="47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66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4"/>
      <c r="P273" s="474"/>
      <c r="Q273" s="474"/>
      <c r="R273" s="474"/>
      <c r="S273" s="474"/>
      <c r="T273" s="474"/>
      <c r="U273" s="474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65" t="s">
        <v>222</v>
      </c>
      <c r="C274" s="126" t="s">
        <v>181</v>
      </c>
      <c r="D274" s="108">
        <v>9.36</v>
      </c>
      <c r="E274" s="108"/>
      <c r="F274" s="127"/>
      <c r="G274" s="128"/>
      <c r="H274" s="466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4"/>
      <c r="P274" s="474"/>
      <c r="Q274" s="474"/>
      <c r="R274" s="474"/>
      <c r="S274" s="474"/>
      <c r="T274" s="474"/>
      <c r="U274" s="474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65" t="s">
        <v>222</v>
      </c>
      <c r="C275" s="126" t="s">
        <v>179</v>
      </c>
      <c r="D275" s="108">
        <v>9.36</v>
      </c>
      <c r="E275" s="108"/>
      <c r="F275" s="127"/>
      <c r="G275" s="128"/>
      <c r="H275" s="466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4"/>
      <c r="P275" s="474"/>
      <c r="Q275" s="474"/>
      <c r="R275" s="474"/>
      <c r="S275" s="474"/>
      <c r="T275" s="474"/>
      <c r="U275" s="47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65" t="s">
        <v>222</v>
      </c>
      <c r="C276" s="126" t="s">
        <v>221</v>
      </c>
      <c r="D276" s="108">
        <v>9.36</v>
      </c>
      <c r="E276" s="108"/>
      <c r="F276" s="127"/>
      <c r="G276" s="128"/>
      <c r="H276" s="466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4"/>
      <c r="P276" s="474"/>
      <c r="Q276" s="474"/>
      <c r="R276" s="474"/>
      <c r="S276" s="474"/>
      <c r="T276" s="474"/>
      <c r="U276" s="47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65" t="s">
        <v>222</v>
      </c>
      <c r="C277" s="126" t="s">
        <v>186</v>
      </c>
      <c r="D277" s="108">
        <v>9.36</v>
      </c>
      <c r="E277" s="108"/>
      <c r="F277" s="127"/>
      <c r="G277" s="128"/>
      <c r="H277" s="466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4"/>
      <c r="P277" s="474"/>
      <c r="Q277" s="474"/>
      <c r="R277" s="474"/>
      <c r="S277" s="474"/>
      <c r="T277" s="474"/>
      <c r="U277" s="474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65" t="s">
        <v>393</v>
      </c>
      <c r="C278" s="187" t="s">
        <v>395</v>
      </c>
      <c r="D278" s="108">
        <v>5</v>
      </c>
      <c r="E278" s="108"/>
      <c r="F278" s="127"/>
      <c r="G278" s="128"/>
      <c r="H278" s="466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4"/>
      <c r="P278" s="474"/>
      <c r="Q278" s="474"/>
      <c r="R278" s="474"/>
      <c r="S278" s="474"/>
      <c r="T278" s="474"/>
      <c r="U278" s="47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65" t="s">
        <v>393</v>
      </c>
      <c r="C279" s="187" t="s">
        <v>402</v>
      </c>
      <c r="D279" s="108">
        <v>5</v>
      </c>
      <c r="E279" s="108"/>
      <c r="F279" s="127"/>
      <c r="G279" s="128"/>
      <c r="H279" s="466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4"/>
      <c r="P279" s="474"/>
      <c r="Q279" s="474"/>
      <c r="R279" s="474"/>
      <c r="S279" s="474"/>
      <c r="T279" s="474"/>
      <c r="U279" s="47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65" t="s">
        <v>404</v>
      </c>
      <c r="C280" s="187" t="s">
        <v>405</v>
      </c>
      <c r="D280" s="108">
        <v>5</v>
      </c>
      <c r="E280" s="108"/>
      <c r="F280" s="127"/>
      <c r="G280" s="128"/>
      <c r="H280" s="466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4"/>
      <c r="P280" s="474"/>
      <c r="Q280" s="474"/>
      <c r="R280" s="474"/>
      <c r="S280" s="474"/>
      <c r="T280" s="474"/>
      <c r="U280" s="47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65" t="s">
        <v>342</v>
      </c>
      <c r="C281" s="187" t="s">
        <v>372</v>
      </c>
      <c r="D281" s="108">
        <v>5</v>
      </c>
      <c r="E281" s="108"/>
      <c r="F281" s="127"/>
      <c r="G281" s="128"/>
      <c r="H281" s="466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4"/>
      <c r="P281" s="474"/>
      <c r="Q281" s="474"/>
      <c r="R281" s="474"/>
      <c r="S281" s="474"/>
      <c r="T281" s="474"/>
      <c r="U281" s="47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65" t="s">
        <v>343</v>
      </c>
      <c r="C282" s="126" t="s">
        <v>345</v>
      </c>
      <c r="D282" s="108">
        <v>5</v>
      </c>
      <c r="E282" s="108"/>
      <c r="F282" s="127"/>
      <c r="G282" s="128"/>
      <c r="H282" s="466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4"/>
      <c r="P282" s="474"/>
      <c r="Q282" s="474"/>
      <c r="R282" s="474"/>
      <c r="S282" s="474"/>
      <c r="T282" s="474"/>
      <c r="U282" s="47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30600010</v>
      </c>
      <c r="B283" s="465" t="s">
        <v>343</v>
      </c>
      <c r="C283" s="126" t="s">
        <v>347</v>
      </c>
      <c r="D283" s="108">
        <v>5</v>
      </c>
      <c r="E283" s="108"/>
      <c r="F283" s="127"/>
      <c r="G283" s="128"/>
      <c r="H283" s="466">
        <f t="shared" si="116"/>
        <v>0</v>
      </c>
      <c r="I283" s="129"/>
      <c r="J283" s="130"/>
      <c r="K283" s="131">
        <f t="array" ref="K283">IF(ISERROR(G283/L283),"",G283/L283)</f>
        <v>0</v>
      </c>
      <c r="L283" s="129">
        <v>5</v>
      </c>
      <c r="M283" s="109">
        <f t="shared" si="120"/>
        <v>0</v>
      </c>
      <c r="N283" s="130">
        <f t="shared" si="121"/>
        <v>0</v>
      </c>
      <c r="O283" s="474"/>
      <c r="P283" s="474"/>
      <c r="Q283" s="474"/>
      <c r="R283" s="474"/>
      <c r="S283" s="474"/>
      <c r="T283" s="474"/>
      <c r="U283" s="474"/>
      <c r="V283" s="132"/>
      <c r="W283" s="133"/>
      <c r="X283" s="132"/>
      <c r="Y283" s="132"/>
      <c r="Z283" s="132"/>
      <c r="AA283" s="132"/>
    </row>
    <row r="284" spans="1:27" ht="20.100000000000001" hidden="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/>
      <c r="G284" s="128"/>
      <c r="H284" s="466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4"/>
      <c r="P284" s="474"/>
      <c r="Q284" s="474"/>
      <c r="R284" s="474"/>
      <c r="S284" s="474"/>
      <c r="T284" s="474"/>
      <c r="U284" s="474"/>
      <c r="V284" s="132">
        <f t="shared" ref="V284:V285" si="125">SUM(X284:AA284)</f>
        <v>0</v>
      </c>
      <c r="W284" s="133" t="str">
        <f t="shared" ref="W284:W285" si="126">IF(ISERROR(V284/G284),"",V284/G284)</f>
        <v/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66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4"/>
      <c r="P285" s="474"/>
      <c r="Q285" s="474"/>
      <c r="R285" s="474"/>
      <c r="S285" s="474"/>
      <c r="T285" s="474"/>
      <c r="U285" s="474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66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4"/>
      <c r="P286" s="474"/>
      <c r="Q286" s="474"/>
      <c r="R286" s="474"/>
      <c r="S286" s="474"/>
      <c r="T286" s="474"/>
      <c r="U286" s="47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66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4"/>
      <c r="P287" s="474"/>
      <c r="Q287" s="474"/>
      <c r="R287" s="474"/>
      <c r="S287" s="474"/>
      <c r="T287" s="474"/>
      <c r="U287" s="474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66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4"/>
      <c r="P288" s="474"/>
      <c r="Q288" s="474"/>
      <c r="R288" s="474"/>
      <c r="S288" s="474"/>
      <c r="T288" s="474"/>
      <c r="U288" s="474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52">
        <v>95</v>
      </c>
      <c r="H289" s="466">
        <f t="shared" si="116"/>
        <v>481.65000000000003</v>
      </c>
      <c r="I289" s="129">
        <v>11</v>
      </c>
      <c r="J289" s="130">
        <f t="array" ref="J289">IF(ISERROR(G289/I289),"",G289/I289)</f>
        <v>8.6363636363636367</v>
      </c>
      <c r="K289" s="131">
        <f t="array" ref="K289">IF(ISERROR(G289/L289),"",G289/L289)</f>
        <v>10.555555555555555</v>
      </c>
      <c r="L289" s="129">
        <v>9</v>
      </c>
      <c r="M289" s="109">
        <f t="shared" ref="M289:M291" si="127">IF(ISERROR(I289-K289),"",I289-K289)</f>
        <v>0.44444444444444464</v>
      </c>
      <c r="N289" s="130">
        <f t="shared" ref="N289:N291" si="128">SUM(O289:U289)</f>
        <v>0</v>
      </c>
      <c r="O289" s="474"/>
      <c r="P289" s="474"/>
      <c r="Q289" s="474"/>
      <c r="R289" s="474"/>
      <c r="S289" s="474"/>
      <c r="T289" s="474"/>
      <c r="U289" s="474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66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4"/>
      <c r="P290" s="474"/>
      <c r="Q290" s="474"/>
      <c r="R290" s="474"/>
      <c r="S290" s="474"/>
      <c r="T290" s="474"/>
      <c r="U290" s="474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66">
        <f t="shared" si="116"/>
        <v>0</v>
      </c>
      <c r="I291" s="129"/>
      <c r="J291" s="130" t="str">
        <f t="array" ref="J291">IF(ISERROR(G291/I291),"",G291/I291)</f>
        <v/>
      </c>
      <c r="K291" s="466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4"/>
      <c r="P291" s="474"/>
      <c r="Q291" s="474"/>
      <c r="R291" s="474"/>
      <c r="S291" s="474"/>
      <c r="T291" s="474"/>
      <c r="U291" s="474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475" t="s">
        <v>202</v>
      </c>
      <c r="D292" s="143"/>
      <c r="E292" s="143"/>
      <c r="F292" s="144"/>
      <c r="G292" s="145">
        <f>SUM(G258:G291)</f>
        <v>95</v>
      </c>
      <c r="H292" s="146">
        <f>SUM(H258:H291)</f>
        <v>481.65000000000003</v>
      </c>
      <c r="I292" s="146">
        <f>SUM(I258:I291)</f>
        <v>11</v>
      </c>
      <c r="J292" s="130">
        <f t="array" ref="J292">IF(ISERROR(G292/I292),"",G292/I292)</f>
        <v>8.6363636363636367</v>
      </c>
      <c r="K292" s="146">
        <f>SUM(K258:K291)</f>
        <v>10.555555555555555</v>
      </c>
      <c r="L292" s="147"/>
      <c r="M292" s="150">
        <f t="shared" ref="M292:V292" si="131">SUM(M258:M291)</f>
        <v>0.44444444444444464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hidden="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/>
      <c r="G293" s="152"/>
      <c r="H293" s="466">
        <f t="shared" ref="H293:H307" si="132">D293*G293</f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ref="M293:M307" si="133">IF(ISERROR(I293-K293),"",I293-K293)</f>
        <v>0</v>
      </c>
      <c r="N293" s="130">
        <f t="shared" ref="N293:N307" si="134">SUM(O293:U293)</f>
        <v>0</v>
      </c>
      <c r="O293" s="474"/>
      <c r="P293" s="474"/>
      <c r="Q293" s="474"/>
      <c r="R293" s="474"/>
      <c r="S293" s="474"/>
      <c r="T293" s="474"/>
      <c r="U293" s="474"/>
      <c r="V293" s="132">
        <f t="shared" ref="V293:V307" si="135">SUM(X293:AA293)</f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6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4"/>
      <c r="P294" s="474"/>
      <c r="Q294" s="474"/>
      <c r="R294" s="474"/>
      <c r="S294" s="474"/>
      <c r="T294" s="474"/>
      <c r="U294" s="47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/>
      <c r="G295" s="128"/>
      <c r="H295" s="46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20</v>
      </c>
      <c r="M295" s="109">
        <f t="shared" si="133"/>
        <v>0</v>
      </c>
      <c r="N295" s="130">
        <f t="shared" si="134"/>
        <v>0</v>
      </c>
      <c r="O295" s="474"/>
      <c r="P295" s="474"/>
      <c r="Q295" s="474"/>
      <c r="R295" s="474"/>
      <c r="S295" s="474"/>
      <c r="T295" s="474"/>
      <c r="U295" s="47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6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4"/>
      <c r="P296" s="474"/>
      <c r="Q296" s="474"/>
      <c r="R296" s="474"/>
      <c r="S296" s="474"/>
      <c r="T296" s="474"/>
      <c r="U296" s="47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71" t="s">
        <v>203</v>
      </c>
      <c r="D297" s="108">
        <v>5.03</v>
      </c>
      <c r="E297" s="108"/>
      <c r="F297" s="127"/>
      <c r="G297" s="152"/>
      <c r="H297" s="46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4"/>
      <c r="P297" s="474"/>
      <c r="Q297" s="474"/>
      <c r="R297" s="474"/>
      <c r="S297" s="474"/>
      <c r="T297" s="474"/>
      <c r="U297" s="47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6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4"/>
      <c r="P298" s="474"/>
      <c r="Q298" s="474"/>
      <c r="R298" s="474"/>
      <c r="S298" s="474"/>
      <c r="T298" s="474"/>
      <c r="U298" s="47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6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4"/>
      <c r="P299" s="474"/>
      <c r="Q299" s="474"/>
      <c r="R299" s="474"/>
      <c r="S299" s="474"/>
      <c r="T299" s="474"/>
      <c r="U299" s="47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71" t="s">
        <v>228</v>
      </c>
      <c r="D300" s="108">
        <v>5.03</v>
      </c>
      <c r="E300" s="108"/>
      <c r="F300" s="127"/>
      <c r="G300" s="128"/>
      <c r="H300" s="466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4"/>
      <c r="P300" s="474"/>
      <c r="Q300" s="474"/>
      <c r="R300" s="474"/>
      <c r="S300" s="474"/>
      <c r="T300" s="474"/>
      <c r="U300" s="47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71" t="s">
        <v>212</v>
      </c>
      <c r="D301" s="108">
        <v>5.03</v>
      </c>
      <c r="E301" s="108"/>
      <c r="F301" s="127"/>
      <c r="G301" s="128"/>
      <c r="H301" s="46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4"/>
      <c r="P301" s="474"/>
      <c r="Q301" s="474"/>
      <c r="R301" s="474"/>
      <c r="S301" s="474"/>
      <c r="T301" s="474"/>
      <c r="U301" s="47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71" t="s">
        <v>203</v>
      </c>
      <c r="D302" s="108">
        <v>5.03</v>
      </c>
      <c r="E302" s="108"/>
      <c r="F302" s="127"/>
      <c r="G302" s="128"/>
      <c r="H302" s="46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4"/>
      <c r="P302" s="474"/>
      <c r="Q302" s="474"/>
      <c r="R302" s="474"/>
      <c r="S302" s="474"/>
      <c r="T302" s="474"/>
      <c r="U302" s="47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71" t="s">
        <v>186</v>
      </c>
      <c r="D303" s="108">
        <v>5.03</v>
      </c>
      <c r="E303" s="108"/>
      <c r="F303" s="127"/>
      <c r="G303" s="128"/>
      <c r="H303" s="46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4"/>
      <c r="P303" s="474"/>
      <c r="Q303" s="474"/>
      <c r="R303" s="474"/>
      <c r="S303" s="474"/>
      <c r="T303" s="474"/>
      <c r="U303" s="47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71" t="s">
        <v>228</v>
      </c>
      <c r="D304" s="108">
        <v>5.03</v>
      </c>
      <c r="E304" s="108"/>
      <c r="F304" s="127"/>
      <c r="G304" s="128"/>
      <c r="H304" s="46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4"/>
      <c r="P304" s="474"/>
      <c r="Q304" s="474"/>
      <c r="R304" s="474"/>
      <c r="S304" s="474"/>
      <c r="T304" s="474"/>
      <c r="U304" s="47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71" t="s">
        <v>199</v>
      </c>
      <c r="D305" s="108">
        <v>5.03</v>
      </c>
      <c r="E305" s="108"/>
      <c r="F305" s="127"/>
      <c r="G305" s="128"/>
      <c r="H305" s="466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4"/>
      <c r="P305" s="474"/>
      <c r="Q305" s="474"/>
      <c r="R305" s="474"/>
      <c r="S305" s="474"/>
      <c r="T305" s="474"/>
      <c r="U305" s="47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66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4"/>
      <c r="P306" s="474"/>
      <c r="Q306" s="474"/>
      <c r="R306" s="474"/>
      <c r="S306" s="474"/>
      <c r="T306" s="474"/>
      <c r="U306" s="47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>
        <v>42741</v>
      </c>
      <c r="G307" s="152">
        <v>10</v>
      </c>
      <c r="H307" s="466">
        <f t="shared" si="132"/>
        <v>50.599999999999994</v>
      </c>
      <c r="I307" s="129">
        <f>0.5*4</f>
        <v>2</v>
      </c>
      <c r="J307" s="130">
        <f t="array" ref="J307">IF(ISERROR(G307/I307),"",G307/I307)</f>
        <v>5</v>
      </c>
      <c r="K307" s="131">
        <f t="array" ref="K307">IF(ISERROR(G307/L307),"",G307/L307)</f>
        <v>0.4</v>
      </c>
      <c r="L307" s="129">
        <v>25</v>
      </c>
      <c r="M307" s="109">
        <f t="shared" si="133"/>
        <v>1.6</v>
      </c>
      <c r="N307" s="130">
        <f t="shared" si="134"/>
        <v>0</v>
      </c>
      <c r="O307" s="474"/>
      <c r="P307" s="474"/>
      <c r="Q307" s="474"/>
      <c r="R307" s="474"/>
      <c r="S307" s="474"/>
      <c r="T307" s="474"/>
      <c r="U307" s="474"/>
      <c r="V307" s="132">
        <f t="shared" si="135"/>
        <v>0</v>
      </c>
      <c r="W307" s="133">
        <f t="shared" si="130"/>
        <v>0</v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475" t="s">
        <v>202</v>
      </c>
      <c r="D308" s="143"/>
      <c r="E308" s="143"/>
      <c r="F308" s="144"/>
      <c r="G308" s="145">
        <f>SUM(G293:G307)</f>
        <v>10</v>
      </c>
      <c r="H308" s="146">
        <f>SUM(H293:H307)</f>
        <v>50.599999999999994</v>
      </c>
      <c r="I308" s="146">
        <f>SUM(I293:I307)</f>
        <v>2</v>
      </c>
      <c r="J308" s="130">
        <f t="array" ref="J308">IF(ISERROR(G308/I308),"",G308/I308)</f>
        <v>5</v>
      </c>
      <c r="K308" s="146">
        <f>SUM(K293:K307)</f>
        <v>0.4</v>
      </c>
      <c r="L308" s="146"/>
      <c r="M308" s="150">
        <f>SUM(M293:M307)</f>
        <v>1.6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66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3" si="137">IF(ISERROR(I309-K309),"",I309-K309)</f>
        <v>0</v>
      </c>
      <c r="N309" s="130">
        <f t="shared" ref="N309:N313" si="138">SUM(O309:U309)</f>
        <v>0</v>
      </c>
      <c r="O309" s="474"/>
      <c r="P309" s="474"/>
      <c r="Q309" s="474"/>
      <c r="R309" s="474"/>
      <c r="S309" s="474"/>
      <c r="T309" s="474"/>
      <c r="U309" s="474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66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4"/>
      <c r="P310" s="474"/>
      <c r="Q310" s="474"/>
      <c r="R310" s="474"/>
      <c r="S310" s="474"/>
      <c r="T310" s="474"/>
      <c r="U310" s="47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66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4"/>
      <c r="P311" s="474"/>
      <c r="Q311" s="474"/>
      <c r="R311" s="474"/>
      <c r="S311" s="474"/>
      <c r="T311" s="474"/>
      <c r="U311" s="47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66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4"/>
      <c r="P312" s="474"/>
      <c r="Q312" s="474"/>
      <c r="R312" s="474"/>
      <c r="S312" s="474"/>
      <c r="T312" s="474"/>
      <c r="U312" s="47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66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4"/>
      <c r="P313" s="474"/>
      <c r="Q313" s="474"/>
      <c r="R313" s="474"/>
      <c r="S313" s="474"/>
      <c r="T313" s="474"/>
      <c r="U313" s="474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52">
        <f>90*7</f>
        <v>630</v>
      </c>
      <c r="H314" s="466">
        <f t="shared" si="136"/>
        <v>3168.9</v>
      </c>
      <c r="I314" s="129">
        <v>45</v>
      </c>
      <c r="J314" s="130"/>
      <c r="K314" s="131">
        <f t="array" ref="K314">IF(ISERROR(G314/L314),"",G314/L314)</f>
        <v>46.666666666666664</v>
      </c>
      <c r="L314" s="129">
        <v>13.5</v>
      </c>
      <c r="M314" s="109"/>
      <c r="N314" s="130"/>
      <c r="O314" s="474"/>
      <c r="P314" s="474"/>
      <c r="Q314" s="474"/>
      <c r="R314" s="474"/>
      <c r="S314" s="474"/>
      <c r="T314" s="474"/>
      <c r="U314" s="474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6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74"/>
      <c r="P315" s="474"/>
      <c r="Q315" s="474"/>
      <c r="R315" s="474"/>
      <c r="S315" s="474"/>
      <c r="T315" s="474"/>
      <c r="U315" s="474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/>
      <c r="G316" s="128"/>
      <c r="H316" s="466">
        <f t="shared" si="136"/>
        <v>0</v>
      </c>
      <c r="I316" s="129"/>
      <c r="J316" s="130"/>
      <c r="K316" s="131"/>
      <c r="L316" s="129">
        <v>13.5</v>
      </c>
      <c r="M316" s="109"/>
      <c r="N316" s="130"/>
      <c r="O316" s="474"/>
      <c r="P316" s="474"/>
      <c r="Q316" s="474"/>
      <c r="R316" s="474"/>
      <c r="S316" s="474"/>
      <c r="T316" s="474"/>
      <c r="U316" s="474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66">
        <f t="shared" si="136"/>
        <v>0</v>
      </c>
      <c r="I317" s="129"/>
      <c r="J317" s="130"/>
      <c r="K317" s="131"/>
      <c r="L317" s="129"/>
      <c r="M317" s="109"/>
      <c r="N317" s="130"/>
      <c r="O317" s="474"/>
      <c r="P317" s="474"/>
      <c r="Q317" s="474"/>
      <c r="R317" s="474"/>
      <c r="S317" s="474"/>
      <c r="T317" s="474"/>
      <c r="U317" s="474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66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4"/>
      <c r="P318" s="474"/>
      <c r="Q318" s="474"/>
      <c r="R318" s="474"/>
      <c r="S318" s="474"/>
      <c r="T318" s="474"/>
      <c r="U318" s="474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475" t="s">
        <v>202</v>
      </c>
      <c r="D319" s="143"/>
      <c r="E319" s="143"/>
      <c r="F319" s="144"/>
      <c r="G319" s="145">
        <f>SUM(G309:G318)</f>
        <v>630</v>
      </c>
      <c r="H319" s="146">
        <f>SUM(H309:H318)</f>
        <v>3168.9</v>
      </c>
      <c r="I319" s="146">
        <f>SUM(I309:I318)</f>
        <v>45</v>
      </c>
      <c r="J319" s="130">
        <f t="array" ref="J319">IF(ISERROR(G319/I319),"",G319/I319)</f>
        <v>14</v>
      </c>
      <c r="K319" s="146">
        <f>SUM(K309:K318)</f>
        <v>46.666666666666664</v>
      </c>
      <c r="L319" s="147"/>
      <c r="M319" s="150">
        <f>SUM(M309:M318)</f>
        <v>0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2"/>
      <c r="D320" s="108">
        <v>3.65</v>
      </c>
      <c r="E320" s="108"/>
      <c r="F320" s="153"/>
      <c r="G320" s="128"/>
      <c r="H320" s="466">
        <f t="shared" ref="H320:H333" si="144">D320*G320</f>
        <v>0</v>
      </c>
      <c r="I320" s="129"/>
      <c r="J320" s="130" t="str">
        <f t="array" ref="J320">IF(ISERROR(G320/I320),"",G320/I320)</f>
        <v/>
      </c>
      <c r="K320" s="466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4"/>
      <c r="P320" s="474"/>
      <c r="Q320" s="474"/>
      <c r="R320" s="474"/>
      <c r="S320" s="474"/>
      <c r="T320" s="474"/>
      <c r="U320" s="474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30700014</v>
      </c>
      <c r="B321" s="141" t="s">
        <v>236</v>
      </c>
      <c r="C321" s="472"/>
      <c r="D321" s="108">
        <v>6.58</v>
      </c>
      <c r="E321" s="108"/>
      <c r="F321" s="127"/>
      <c r="G321" s="128"/>
      <c r="H321" s="466">
        <f t="shared" si="144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</v>
      </c>
      <c r="M321" s="109">
        <f t="shared" si="145"/>
        <v>0</v>
      </c>
      <c r="N321" s="130">
        <f t="shared" si="146"/>
        <v>0</v>
      </c>
      <c r="O321" s="474"/>
      <c r="P321" s="474"/>
      <c r="Q321" s="474"/>
      <c r="R321" s="474"/>
      <c r="S321" s="474"/>
      <c r="T321" s="474"/>
      <c r="U321" s="474"/>
      <c r="V321" s="132">
        <f t="shared" si="147"/>
        <v>0</v>
      </c>
      <c r="W321" s="133" t="str">
        <f t="shared" si="143"/>
        <v/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2"/>
      <c r="D322" s="108">
        <v>7.8</v>
      </c>
      <c r="E322" s="108"/>
      <c r="F322" s="127">
        <v>42738</v>
      </c>
      <c r="G322" s="152">
        <f>10+32*5</f>
        <v>170</v>
      </c>
      <c r="H322" s="466">
        <f t="shared" si="144"/>
        <v>1326</v>
      </c>
      <c r="I322" s="129">
        <v>37</v>
      </c>
      <c r="J322" s="130">
        <f t="array" ref="J322">IF(ISERROR(G322/I322),"",G322/I322)</f>
        <v>4.5945945945945947</v>
      </c>
      <c r="K322" s="131">
        <f t="array" ref="K322">IF(ISERROR(G322/L322),"",G322/L322)</f>
        <v>36.956521739130437</v>
      </c>
      <c r="L322" s="129">
        <v>4.5999999999999996</v>
      </c>
      <c r="M322" s="109">
        <f t="shared" si="145"/>
        <v>4.3478260869562746E-2</v>
      </c>
      <c r="N322" s="130">
        <f t="shared" si="146"/>
        <v>0</v>
      </c>
      <c r="O322" s="474"/>
      <c r="P322" s="474"/>
      <c r="Q322" s="474"/>
      <c r="R322" s="474"/>
      <c r="S322" s="474"/>
      <c r="T322" s="474"/>
      <c r="U322" s="474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hidden="1" customHeight="1">
      <c r="A323" s="299">
        <v>30700017</v>
      </c>
      <c r="B323" s="141" t="s">
        <v>238</v>
      </c>
      <c r="C323" s="472"/>
      <c r="D323" s="108">
        <v>4.4000000000000004</v>
      </c>
      <c r="E323" s="108"/>
      <c r="F323" s="127"/>
      <c r="G323" s="128"/>
      <c r="H323" s="466">
        <f t="shared" si="144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5.8</v>
      </c>
      <c r="M323" s="109">
        <f t="shared" si="145"/>
        <v>0</v>
      </c>
      <c r="N323" s="130">
        <f t="shared" si="146"/>
        <v>0</v>
      </c>
      <c r="O323" s="474"/>
      <c r="P323" s="474"/>
      <c r="Q323" s="474"/>
      <c r="R323" s="474"/>
      <c r="S323" s="474"/>
      <c r="T323" s="474"/>
      <c r="U323" s="474"/>
      <c r="V323" s="132">
        <f t="shared" si="147"/>
        <v>0</v>
      </c>
      <c r="W323" s="133" t="str">
        <f t="shared" si="143"/>
        <v/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2"/>
      <c r="D324" s="108"/>
      <c r="E324" s="108"/>
      <c r="F324" s="127"/>
      <c r="G324" s="128"/>
      <c r="H324" s="466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4"/>
      <c r="P324" s="474"/>
      <c r="Q324" s="474"/>
      <c r="R324" s="474"/>
      <c r="S324" s="474"/>
      <c r="T324" s="474"/>
      <c r="U324" s="474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2" t="s">
        <v>239</v>
      </c>
      <c r="C325" s="472" t="s">
        <v>179</v>
      </c>
      <c r="D325" s="108">
        <v>6.04</v>
      </c>
      <c r="E325" s="108"/>
      <c r="F325" s="127"/>
      <c r="G325" s="128"/>
      <c r="H325" s="466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4"/>
      <c r="P325" s="474"/>
      <c r="Q325" s="474"/>
      <c r="R325" s="474"/>
      <c r="S325" s="474"/>
      <c r="T325" s="474"/>
      <c r="U325" s="474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2" t="s">
        <v>239</v>
      </c>
      <c r="C326" s="472" t="s">
        <v>186</v>
      </c>
      <c r="D326" s="108">
        <v>6.04</v>
      </c>
      <c r="E326" s="108"/>
      <c r="F326" s="127"/>
      <c r="G326" s="128"/>
      <c r="H326" s="466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4"/>
      <c r="P326" s="474"/>
      <c r="Q326" s="474"/>
      <c r="R326" s="474"/>
      <c r="S326" s="474"/>
      <c r="T326" s="474"/>
      <c r="U326" s="474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2" t="s">
        <v>443</v>
      </c>
      <c r="C327" s="472" t="s">
        <v>179</v>
      </c>
      <c r="D327" s="108">
        <v>6</v>
      </c>
      <c r="E327" s="108"/>
      <c r="F327" s="127"/>
      <c r="G327" s="128"/>
      <c r="H327" s="466">
        <f t="shared" si="144"/>
        <v>0</v>
      </c>
      <c r="I327" s="129"/>
      <c r="J327" s="130"/>
      <c r="K327" s="131"/>
      <c r="L327" s="129"/>
      <c r="M327" s="109"/>
      <c r="N327" s="130"/>
      <c r="O327" s="474"/>
      <c r="P327" s="474"/>
      <c r="Q327" s="474"/>
      <c r="R327" s="474"/>
      <c r="S327" s="474"/>
      <c r="T327" s="474"/>
      <c r="U327" s="47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2" t="s">
        <v>443</v>
      </c>
      <c r="C328" s="472" t="s">
        <v>60</v>
      </c>
      <c r="D328" s="108">
        <v>6</v>
      </c>
      <c r="E328" s="108"/>
      <c r="F328" s="127"/>
      <c r="G328" s="128"/>
      <c r="H328" s="466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4"/>
      <c r="P328" s="474"/>
      <c r="Q328" s="474"/>
      <c r="R328" s="474"/>
      <c r="S328" s="474"/>
      <c r="T328" s="474"/>
      <c r="U328" s="474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65" t="s">
        <v>240</v>
      </c>
      <c r="C329" s="126"/>
      <c r="D329" s="108">
        <v>7.3</v>
      </c>
      <c r="E329" s="108"/>
      <c r="F329" s="127"/>
      <c r="G329" s="128"/>
      <c r="H329" s="466">
        <f t="shared" si="144"/>
        <v>0</v>
      </c>
      <c r="I329" s="129"/>
      <c r="J329" s="130"/>
      <c r="K329" s="131"/>
      <c r="L329" s="129"/>
      <c r="M329" s="109"/>
      <c r="N329" s="130"/>
      <c r="O329" s="474"/>
      <c r="P329" s="474"/>
      <c r="Q329" s="474"/>
      <c r="R329" s="474"/>
      <c r="S329" s="474"/>
      <c r="T329" s="474"/>
      <c r="U329" s="47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65" t="s">
        <v>241</v>
      </c>
      <c r="C330" s="126"/>
      <c r="D330" s="108">
        <f>78*120/1000</f>
        <v>9.36</v>
      </c>
      <c r="E330" s="108"/>
      <c r="F330" s="127"/>
      <c r="G330" s="128"/>
      <c r="H330" s="466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4"/>
      <c r="P330" s="474"/>
      <c r="Q330" s="474"/>
      <c r="R330" s="474"/>
      <c r="S330" s="474"/>
      <c r="T330" s="474"/>
      <c r="U330" s="474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65" t="s">
        <v>242</v>
      </c>
      <c r="C331" s="126"/>
      <c r="D331" s="108">
        <v>4.5</v>
      </c>
      <c r="E331" s="108"/>
      <c r="F331" s="127"/>
      <c r="G331" s="128"/>
      <c r="H331" s="466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4"/>
      <c r="P331" s="474"/>
      <c r="Q331" s="474"/>
      <c r="R331" s="474"/>
      <c r="S331" s="474"/>
      <c r="T331" s="474"/>
      <c r="U331" s="474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65" t="s">
        <v>243</v>
      </c>
      <c r="C332" s="126"/>
      <c r="D332" s="108">
        <v>4.5</v>
      </c>
      <c r="E332" s="108"/>
      <c r="F332" s="127"/>
      <c r="G332" s="128"/>
      <c r="H332" s="466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4"/>
      <c r="P332" s="474"/>
      <c r="Q332" s="474"/>
      <c r="R332" s="474"/>
      <c r="S332" s="474"/>
      <c r="T332" s="474"/>
      <c r="U332" s="474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66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4"/>
      <c r="P333" s="474"/>
      <c r="Q333" s="474"/>
      <c r="R333" s="474"/>
      <c r="S333" s="474"/>
      <c r="T333" s="474"/>
      <c r="U333" s="474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475" t="s">
        <v>202</v>
      </c>
      <c r="D334" s="143"/>
      <c r="E334" s="143"/>
      <c r="F334" s="144"/>
      <c r="G334" s="145">
        <f>SUM(G320:G333)</f>
        <v>170</v>
      </c>
      <c r="H334" s="146">
        <f>SUM(H320:H330)</f>
        <v>1326</v>
      </c>
      <c r="I334" s="146">
        <f>SUM(I320:I333)</f>
        <v>37</v>
      </c>
      <c r="J334" s="130"/>
      <c r="K334" s="146">
        <f>SUM(K320:K330)</f>
        <v>36.956521739130437</v>
      </c>
      <c r="L334" s="147"/>
      <c r="M334" s="150">
        <f t="shared" ref="M334:AA334" si="155">SUM(M320:M330)</f>
        <v>4.3478260869562746E-2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5401</v>
      </c>
      <c r="H335" s="154">
        <f>SUM(H199,H257,H292,H308,H319,H334)</f>
        <v>27702.61</v>
      </c>
      <c r="I335" s="154">
        <f>SUM(I199,I257,I292,I308,I319,I334)</f>
        <v>297.5</v>
      </c>
      <c r="J335" s="155">
        <f t="array" ref="J335">IF(ISERROR(G335/I335),"",G335/I335)</f>
        <v>18.154621848739495</v>
      </c>
      <c r="K335" s="154">
        <f>SUM(K199,K257,K292,K308,K319,K334)</f>
        <v>271.54269480578984</v>
      </c>
      <c r="L335" s="155">
        <f>IF(ISERROR(G335/K335),"",G335/K335)</f>
        <v>19.890058187213807</v>
      </c>
      <c r="M335" s="154">
        <f t="shared" ref="M335:AA335" si="156">SUM(M199,M257,M292,M308,M319,M334)</f>
        <v>28.162433399338347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3" t="s">
        <v>476</v>
      </c>
      <c r="B336" s="468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468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468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468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468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468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468">
        <f>G335</f>
        <v>5401</v>
      </c>
      <c r="C342" s="638" t="s">
        <v>269</v>
      </c>
      <c r="D342" s="639"/>
      <c r="E342" s="631">
        <f>H335</f>
        <v>27702.61</v>
      </c>
      <c r="F342" s="631"/>
      <c r="G342" s="631" t="s">
        <v>270</v>
      </c>
      <c r="H342" s="631"/>
      <c r="I342" s="640">
        <f>L335</f>
        <v>19.890058187213807</v>
      </c>
      <c r="J342" s="640"/>
      <c r="K342" s="628" t="s">
        <v>271</v>
      </c>
      <c r="L342" s="628"/>
      <c r="M342" s="640">
        <f>J335</f>
        <v>18.154621848739495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468">
        <f>I335+C341</f>
        <v>299.5</v>
      </c>
      <c r="C343" s="641" t="s">
        <v>251</v>
      </c>
      <c r="D343" s="642"/>
      <c r="E343" s="643">
        <f>K335+I341</f>
        <v>301.54269480578984</v>
      </c>
      <c r="F343" s="643"/>
      <c r="G343" s="631" t="s">
        <v>274</v>
      </c>
      <c r="H343" s="631"/>
      <c r="I343" s="640">
        <f>B343-E343</f>
        <v>-2.0426948057898358</v>
      </c>
      <c r="J343" s="640"/>
      <c r="K343" s="628" t="s">
        <v>275</v>
      </c>
      <c r="L343" s="628"/>
      <c r="M343" s="632">
        <f>IF(ISERROR(I343/E343),"",I343/E343)</f>
        <v>-6.7741478768220337E-3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468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296</v>
      </c>
      <c r="H348" s="472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465" t="s">
        <v>178</v>
      </c>
      <c r="C349" s="126" t="s">
        <v>179</v>
      </c>
      <c r="D349" s="108">
        <v>5.03</v>
      </c>
      <c r="E349" s="108"/>
      <c r="F349" s="127"/>
      <c r="G349" s="128"/>
      <c r="H349" s="466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4"/>
      <c r="P349" s="474"/>
      <c r="Q349" s="474"/>
      <c r="R349" s="474"/>
      <c r="S349" s="474"/>
      <c r="T349" s="474"/>
      <c r="U349" s="474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66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4"/>
      <c r="P350" s="474"/>
      <c r="Q350" s="474"/>
      <c r="R350" s="474"/>
      <c r="S350" s="474"/>
      <c r="T350" s="474"/>
      <c r="U350" s="474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66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4"/>
      <c r="P351" s="474"/>
      <c r="Q351" s="474"/>
      <c r="R351" s="474"/>
      <c r="S351" s="474"/>
      <c r="T351" s="474"/>
      <c r="U351" s="474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66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4"/>
      <c r="P352" s="474"/>
      <c r="Q352" s="474"/>
      <c r="R352" s="474"/>
      <c r="S352" s="474"/>
      <c r="T352" s="474"/>
      <c r="U352" s="474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66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4"/>
      <c r="P353" s="474"/>
      <c r="Q353" s="474"/>
      <c r="R353" s="474"/>
      <c r="S353" s="474"/>
      <c r="T353" s="474"/>
      <c r="U353" s="474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66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4"/>
      <c r="P354" s="474"/>
      <c r="Q354" s="474"/>
      <c r="R354" s="474"/>
      <c r="S354" s="474"/>
      <c r="T354" s="474"/>
      <c r="U354" s="474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66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4"/>
      <c r="P355" s="474"/>
      <c r="Q355" s="474"/>
      <c r="R355" s="474"/>
      <c r="S355" s="474"/>
      <c r="T355" s="474"/>
      <c r="U355" s="474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66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4"/>
      <c r="P356" s="474"/>
      <c r="Q356" s="474"/>
      <c r="R356" s="474"/>
      <c r="S356" s="474"/>
      <c r="T356" s="474"/>
      <c r="U356" s="474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66">
        <f t="shared" si="157"/>
        <v>0</v>
      </c>
      <c r="I357" s="466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4"/>
      <c r="P357" s="474"/>
      <c r="Q357" s="474"/>
      <c r="R357" s="474"/>
      <c r="S357" s="474"/>
      <c r="T357" s="474"/>
      <c r="U357" s="474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66">
        <f t="shared" si="157"/>
        <v>0</v>
      </c>
      <c r="I358" s="466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4"/>
      <c r="P358" s="474"/>
      <c r="Q358" s="474"/>
      <c r="R358" s="474"/>
      <c r="S358" s="474"/>
      <c r="T358" s="474"/>
      <c r="U358" s="474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66">
        <f t="shared" si="157"/>
        <v>0</v>
      </c>
      <c r="I359" s="466"/>
      <c r="J359" s="130"/>
      <c r="K359" s="131"/>
      <c r="L359" s="129"/>
      <c r="M359" s="109"/>
      <c r="N359" s="130"/>
      <c r="O359" s="474"/>
      <c r="P359" s="474"/>
      <c r="Q359" s="474"/>
      <c r="R359" s="474"/>
      <c r="S359" s="474"/>
      <c r="T359" s="474"/>
      <c r="U359" s="474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66">
        <f t="shared" si="157"/>
        <v>0</v>
      </c>
      <c r="I360" s="466"/>
      <c r="J360" s="130"/>
      <c r="K360" s="131"/>
      <c r="L360" s="129"/>
      <c r="M360" s="109"/>
      <c r="N360" s="130"/>
      <c r="O360" s="474"/>
      <c r="P360" s="474"/>
      <c r="Q360" s="474"/>
      <c r="R360" s="474"/>
      <c r="S360" s="474"/>
      <c r="T360" s="474"/>
      <c r="U360" s="474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66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4"/>
      <c r="P361" s="474"/>
      <c r="Q361" s="474"/>
      <c r="R361" s="474"/>
      <c r="S361" s="474"/>
      <c r="T361" s="474"/>
      <c r="U361" s="474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66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4"/>
      <c r="P362" s="474"/>
      <c r="Q362" s="474"/>
      <c r="R362" s="474"/>
      <c r="S362" s="474"/>
      <c r="T362" s="474"/>
      <c r="U362" s="474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66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4"/>
      <c r="P363" s="474"/>
      <c r="Q363" s="474"/>
      <c r="R363" s="474"/>
      <c r="S363" s="474"/>
      <c r="T363" s="474"/>
      <c r="U363" s="474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2" t="s">
        <v>190</v>
      </c>
      <c r="D364" s="108">
        <v>4.8</v>
      </c>
      <c r="E364" s="108"/>
      <c r="F364" s="127"/>
      <c r="G364" s="128"/>
      <c r="H364" s="466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4"/>
      <c r="P364" s="474"/>
      <c r="Q364" s="474"/>
      <c r="R364" s="474"/>
      <c r="S364" s="474"/>
      <c r="T364" s="474"/>
      <c r="U364" s="47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2" t="s">
        <v>187</v>
      </c>
      <c r="D365" s="108">
        <v>4.8</v>
      </c>
      <c r="E365" s="108"/>
      <c r="F365" s="127"/>
      <c r="G365" s="128"/>
      <c r="H365" s="466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4"/>
      <c r="P365" s="474"/>
      <c r="Q365" s="474"/>
      <c r="R365" s="474"/>
      <c r="S365" s="474"/>
      <c r="T365" s="474"/>
      <c r="U365" s="47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2" t="s">
        <v>179</v>
      </c>
      <c r="D366" s="108">
        <v>4.8</v>
      </c>
      <c r="E366" s="108"/>
      <c r="F366" s="127"/>
      <c r="G366" s="128"/>
      <c r="H366" s="466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4"/>
      <c r="P366" s="474"/>
      <c r="Q366" s="474"/>
      <c r="R366" s="474"/>
      <c r="S366" s="474"/>
      <c r="T366" s="474"/>
      <c r="U366" s="474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2" t="s">
        <v>199</v>
      </c>
      <c r="D367" s="108">
        <v>4.8</v>
      </c>
      <c r="E367" s="108"/>
      <c r="F367" s="127"/>
      <c r="G367" s="128"/>
      <c r="H367" s="466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4"/>
      <c r="P367" s="474"/>
      <c r="Q367" s="474"/>
      <c r="R367" s="474"/>
      <c r="S367" s="474"/>
      <c r="T367" s="474"/>
      <c r="U367" s="474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66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4"/>
      <c r="P368" s="474"/>
      <c r="Q368" s="474"/>
      <c r="R368" s="474"/>
      <c r="S368" s="474"/>
      <c r="T368" s="474"/>
      <c r="U368" s="474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66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4"/>
      <c r="P369" s="474"/>
      <c r="Q369" s="474"/>
      <c r="R369" s="474"/>
      <c r="S369" s="474"/>
      <c r="T369" s="474"/>
      <c r="U369" s="474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475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65" t="s">
        <v>206</v>
      </c>
      <c r="C371" s="126" t="s">
        <v>199</v>
      </c>
      <c r="D371" s="108">
        <v>5.03</v>
      </c>
      <c r="E371" s="108"/>
      <c r="F371" s="127"/>
      <c r="G371" s="128"/>
      <c r="H371" s="466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70"/>
      <c r="P371" s="470"/>
      <c r="Q371" s="470"/>
      <c r="R371" s="470"/>
      <c r="S371" s="470"/>
      <c r="T371" s="470"/>
      <c r="U371" s="470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65" t="s">
        <v>425</v>
      </c>
      <c r="C372" s="187" t="s">
        <v>427</v>
      </c>
      <c r="D372" s="108">
        <v>5.03</v>
      </c>
      <c r="E372" s="108"/>
      <c r="F372" s="127"/>
      <c r="G372" s="128"/>
      <c r="H372" s="466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70"/>
      <c r="P372" s="470"/>
      <c r="Q372" s="470"/>
      <c r="R372" s="470"/>
      <c r="S372" s="470"/>
      <c r="T372" s="470"/>
      <c r="U372" s="470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65" t="s">
        <v>206</v>
      </c>
      <c r="C373" s="126" t="s">
        <v>186</v>
      </c>
      <c r="D373" s="108">
        <v>5.03</v>
      </c>
      <c r="E373" s="108"/>
      <c r="F373" s="127"/>
      <c r="G373" s="128"/>
      <c r="H373" s="466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70"/>
      <c r="P373" s="470"/>
      <c r="Q373" s="470"/>
      <c r="R373" s="470"/>
      <c r="S373" s="470"/>
      <c r="T373" s="470"/>
      <c r="U373" s="470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65" t="s">
        <v>206</v>
      </c>
      <c r="C374" s="126" t="s">
        <v>203</v>
      </c>
      <c r="D374" s="108">
        <v>5.03</v>
      </c>
      <c r="E374" s="108"/>
      <c r="F374" s="127"/>
      <c r="G374" s="128"/>
      <c r="H374" s="466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70"/>
      <c r="P374" s="470"/>
      <c r="Q374" s="470"/>
      <c r="R374" s="470"/>
      <c r="S374" s="470"/>
      <c r="T374" s="470"/>
      <c r="U374" s="470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65" t="s">
        <v>206</v>
      </c>
      <c r="C375" s="126" t="s">
        <v>207</v>
      </c>
      <c r="D375" s="108">
        <v>5.03</v>
      </c>
      <c r="E375" s="108"/>
      <c r="F375" s="127"/>
      <c r="G375" s="128"/>
      <c r="H375" s="466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70"/>
      <c r="P375" s="470"/>
      <c r="Q375" s="470"/>
      <c r="R375" s="470"/>
      <c r="S375" s="470"/>
      <c r="T375" s="470"/>
      <c r="U375" s="470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65" t="s">
        <v>414</v>
      </c>
      <c r="C376" s="187" t="s">
        <v>415</v>
      </c>
      <c r="D376" s="108"/>
      <c r="E376" s="108"/>
      <c r="F376" s="127"/>
      <c r="G376" s="128"/>
      <c r="H376" s="466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70"/>
      <c r="P376" s="470"/>
      <c r="Q376" s="470"/>
      <c r="R376" s="470"/>
      <c r="S376" s="470"/>
      <c r="T376" s="470"/>
      <c r="U376" s="47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65" t="s">
        <v>414</v>
      </c>
      <c r="C377" s="187" t="s">
        <v>416</v>
      </c>
      <c r="D377" s="108"/>
      <c r="E377" s="108"/>
      <c r="F377" s="127"/>
      <c r="G377" s="128"/>
      <c r="H377" s="466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70"/>
      <c r="P377" s="470"/>
      <c r="Q377" s="470"/>
      <c r="R377" s="470"/>
      <c r="S377" s="470"/>
      <c r="T377" s="470"/>
      <c r="U377" s="470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65" t="s">
        <v>414</v>
      </c>
      <c r="C378" s="187" t="s">
        <v>61</v>
      </c>
      <c r="D378" s="108"/>
      <c r="E378" s="108"/>
      <c r="F378" s="127"/>
      <c r="G378" s="128"/>
      <c r="H378" s="466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70"/>
      <c r="P378" s="470"/>
      <c r="Q378" s="470"/>
      <c r="R378" s="470"/>
      <c r="S378" s="470"/>
      <c r="T378" s="470"/>
      <c r="U378" s="470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65" t="s">
        <v>208</v>
      </c>
      <c r="C379" s="126" t="s">
        <v>179</v>
      </c>
      <c r="D379" s="108">
        <v>5.08</v>
      </c>
      <c r="E379" s="108"/>
      <c r="F379" s="127"/>
      <c r="G379" s="128"/>
      <c r="H379" s="466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70"/>
      <c r="P379" s="470"/>
      <c r="Q379" s="470"/>
      <c r="R379" s="470"/>
      <c r="S379" s="470"/>
      <c r="T379" s="470"/>
      <c r="U379" s="470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65" t="s">
        <v>208</v>
      </c>
      <c r="C380" s="126" t="s">
        <v>204</v>
      </c>
      <c r="D380" s="108">
        <v>5.08</v>
      </c>
      <c r="E380" s="108"/>
      <c r="F380" s="127"/>
      <c r="G380" s="128"/>
      <c r="H380" s="466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70"/>
      <c r="P380" s="470"/>
      <c r="Q380" s="470"/>
      <c r="R380" s="470"/>
      <c r="S380" s="470"/>
      <c r="T380" s="470"/>
      <c r="U380" s="470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65" t="s">
        <v>208</v>
      </c>
      <c r="C381" s="126" t="s">
        <v>205</v>
      </c>
      <c r="D381" s="108">
        <v>5.08</v>
      </c>
      <c r="E381" s="108"/>
      <c r="F381" s="127"/>
      <c r="G381" s="128"/>
      <c r="H381" s="466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70"/>
      <c r="P381" s="470"/>
      <c r="Q381" s="470"/>
      <c r="R381" s="470"/>
      <c r="S381" s="470"/>
      <c r="T381" s="470"/>
      <c r="U381" s="470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65" t="s">
        <v>208</v>
      </c>
      <c r="C382" s="126" t="s">
        <v>186</v>
      </c>
      <c r="D382" s="108">
        <v>5.08</v>
      </c>
      <c r="E382" s="108"/>
      <c r="F382" s="127"/>
      <c r="G382" s="128"/>
      <c r="H382" s="466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65" t="s">
        <v>208</v>
      </c>
      <c r="C383" s="126" t="s">
        <v>203</v>
      </c>
      <c r="D383" s="108">
        <v>5.08</v>
      </c>
      <c r="E383" s="108"/>
      <c r="F383" s="127"/>
      <c r="G383" s="128"/>
      <c r="H383" s="466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70"/>
      <c r="P383" s="470"/>
      <c r="Q383" s="470"/>
      <c r="R383" s="470"/>
      <c r="S383" s="470"/>
      <c r="T383" s="470"/>
      <c r="U383" s="470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65" t="s">
        <v>208</v>
      </c>
      <c r="C384" s="126" t="s">
        <v>199</v>
      </c>
      <c r="D384" s="108">
        <v>5.08</v>
      </c>
      <c r="E384" s="108"/>
      <c r="F384" s="127"/>
      <c r="G384" s="128"/>
      <c r="H384" s="466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4"/>
      <c r="P384" s="474"/>
      <c r="Q384" s="474"/>
      <c r="R384" s="474"/>
      <c r="S384" s="474"/>
      <c r="T384" s="474"/>
      <c r="U384" s="474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65" t="s">
        <v>208</v>
      </c>
      <c r="C385" s="126" t="s">
        <v>187</v>
      </c>
      <c r="D385" s="108">
        <v>5.08</v>
      </c>
      <c r="E385" s="108"/>
      <c r="F385" s="127"/>
      <c r="G385" s="128"/>
      <c r="H385" s="466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70"/>
      <c r="P385" s="470"/>
      <c r="Q385" s="470"/>
      <c r="R385" s="470"/>
      <c r="S385" s="470"/>
      <c r="T385" s="470"/>
      <c r="U385" s="470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65" t="s">
        <v>208</v>
      </c>
      <c r="C386" s="126" t="s">
        <v>207</v>
      </c>
      <c r="D386" s="108">
        <v>5.08</v>
      </c>
      <c r="E386" s="108"/>
      <c r="F386" s="127"/>
      <c r="G386" s="128"/>
      <c r="H386" s="466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65" t="s">
        <v>209</v>
      </c>
      <c r="C387" s="126" t="s">
        <v>194</v>
      </c>
      <c r="D387" s="108">
        <v>5.03</v>
      </c>
      <c r="E387" s="108"/>
      <c r="F387" s="127"/>
      <c r="G387" s="128"/>
      <c r="H387" s="466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70"/>
      <c r="P387" s="470"/>
      <c r="Q387" s="470"/>
      <c r="R387" s="470"/>
      <c r="S387" s="470"/>
      <c r="T387" s="470"/>
      <c r="U387" s="470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65" t="s">
        <v>209</v>
      </c>
      <c r="C388" s="126" t="s">
        <v>179</v>
      </c>
      <c r="D388" s="108">
        <v>5.03</v>
      </c>
      <c r="E388" s="108"/>
      <c r="F388" s="127"/>
      <c r="G388" s="128"/>
      <c r="H388" s="466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70"/>
      <c r="P388" s="470"/>
      <c r="Q388" s="470"/>
      <c r="R388" s="470"/>
      <c r="S388" s="470"/>
      <c r="T388" s="470"/>
      <c r="U388" s="470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65" t="s">
        <v>209</v>
      </c>
      <c r="C389" s="126" t="s">
        <v>195</v>
      </c>
      <c r="D389" s="108">
        <v>5.03</v>
      </c>
      <c r="E389" s="108"/>
      <c r="F389" s="127"/>
      <c r="G389" s="128"/>
      <c r="H389" s="466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70"/>
      <c r="P389" s="470"/>
      <c r="Q389" s="470"/>
      <c r="R389" s="470"/>
      <c r="S389" s="470"/>
      <c r="T389" s="470"/>
      <c r="U389" s="470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65" t="s">
        <v>209</v>
      </c>
      <c r="C390" s="126" t="s">
        <v>204</v>
      </c>
      <c r="D390" s="108">
        <v>5.03</v>
      </c>
      <c r="E390" s="108"/>
      <c r="F390" s="127"/>
      <c r="G390" s="128"/>
      <c r="H390" s="466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70"/>
      <c r="P390" s="470"/>
      <c r="Q390" s="470"/>
      <c r="R390" s="470"/>
      <c r="S390" s="470"/>
      <c r="T390" s="470"/>
      <c r="U390" s="470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65" t="s">
        <v>382</v>
      </c>
      <c r="C391" s="187" t="s">
        <v>383</v>
      </c>
      <c r="D391" s="108">
        <v>5.03</v>
      </c>
      <c r="E391" s="108"/>
      <c r="F391" s="127"/>
      <c r="G391" s="128"/>
      <c r="H391" s="466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70"/>
      <c r="P391" s="470"/>
      <c r="Q391" s="470"/>
      <c r="R391" s="470"/>
      <c r="S391" s="470"/>
      <c r="T391" s="470"/>
      <c r="U391" s="47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65" t="s">
        <v>382</v>
      </c>
      <c r="C392" s="187" t="s">
        <v>384</v>
      </c>
      <c r="D392" s="108">
        <v>5.03</v>
      </c>
      <c r="E392" s="108"/>
      <c r="F392" s="127"/>
      <c r="G392" s="128"/>
      <c r="H392" s="466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70"/>
      <c r="P392" s="470"/>
      <c r="Q392" s="470"/>
      <c r="R392" s="470"/>
      <c r="S392" s="470"/>
      <c r="T392" s="470"/>
      <c r="U392" s="47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65" t="s">
        <v>382</v>
      </c>
      <c r="C393" s="187" t="s">
        <v>389</v>
      </c>
      <c r="D393" s="108">
        <v>5.03</v>
      </c>
      <c r="E393" s="108"/>
      <c r="F393" s="127"/>
      <c r="G393" s="128"/>
      <c r="H393" s="466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70"/>
      <c r="P393" s="470"/>
      <c r="Q393" s="470"/>
      <c r="R393" s="470"/>
      <c r="S393" s="470"/>
      <c r="T393" s="470"/>
      <c r="U393" s="47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65" t="s">
        <v>382</v>
      </c>
      <c r="C394" s="187" t="s">
        <v>391</v>
      </c>
      <c r="D394" s="108">
        <v>5.03</v>
      </c>
      <c r="E394" s="108"/>
      <c r="F394" s="127"/>
      <c r="G394" s="128"/>
      <c r="H394" s="466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70"/>
      <c r="P394" s="470"/>
      <c r="Q394" s="470"/>
      <c r="R394" s="470"/>
      <c r="S394" s="470"/>
      <c r="T394" s="470"/>
      <c r="U394" s="47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65" t="s">
        <v>418</v>
      </c>
      <c r="C395" s="187" t="s">
        <v>364</v>
      </c>
      <c r="D395" s="108">
        <v>5.03</v>
      </c>
      <c r="E395" s="108"/>
      <c r="F395" s="127"/>
      <c r="G395" s="128"/>
      <c r="H395" s="466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70"/>
      <c r="P395" s="470"/>
      <c r="Q395" s="470"/>
      <c r="R395" s="470"/>
      <c r="S395" s="470"/>
      <c r="T395" s="470"/>
      <c r="U395" s="47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65" t="s">
        <v>418</v>
      </c>
      <c r="C396" s="187" t="s">
        <v>365</v>
      </c>
      <c r="D396" s="108">
        <v>5.03</v>
      </c>
      <c r="E396" s="108"/>
      <c r="F396" s="127"/>
      <c r="G396" s="128"/>
      <c r="H396" s="466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70"/>
      <c r="P396" s="470"/>
      <c r="Q396" s="470"/>
      <c r="R396" s="470"/>
      <c r="S396" s="470"/>
      <c r="T396" s="470"/>
      <c r="U396" s="47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65" t="s">
        <v>418</v>
      </c>
      <c r="C397" s="187" t="s">
        <v>366</v>
      </c>
      <c r="D397" s="108">
        <v>5.03</v>
      </c>
      <c r="E397" s="108"/>
      <c r="F397" s="127"/>
      <c r="G397" s="128"/>
      <c r="H397" s="466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70"/>
      <c r="P397" s="470"/>
      <c r="Q397" s="470"/>
      <c r="R397" s="470"/>
      <c r="S397" s="470"/>
      <c r="T397" s="470"/>
      <c r="U397" s="470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65" t="s">
        <v>418</v>
      </c>
      <c r="C398" s="187" t="s">
        <v>367</v>
      </c>
      <c r="D398" s="108">
        <v>5.03</v>
      </c>
      <c r="E398" s="108"/>
      <c r="F398" s="127"/>
      <c r="G398" s="128"/>
      <c r="H398" s="466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70"/>
      <c r="P398" s="470"/>
      <c r="Q398" s="470"/>
      <c r="R398" s="470"/>
      <c r="S398" s="470"/>
      <c r="T398" s="470"/>
      <c r="U398" s="470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66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4"/>
      <c r="P399" s="474"/>
      <c r="Q399" s="474"/>
      <c r="R399" s="474"/>
      <c r="S399" s="474"/>
      <c r="T399" s="474"/>
      <c r="U399" s="474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66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4"/>
      <c r="P400" s="474"/>
      <c r="Q400" s="474"/>
      <c r="R400" s="474"/>
      <c r="S400" s="474"/>
      <c r="T400" s="474"/>
      <c r="U400" s="474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66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4"/>
      <c r="P401" s="474"/>
      <c r="Q401" s="474"/>
      <c r="R401" s="474"/>
      <c r="S401" s="474"/>
      <c r="T401" s="474"/>
      <c r="U401" s="474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66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4"/>
      <c r="P402" s="474"/>
      <c r="Q402" s="474"/>
      <c r="R402" s="474"/>
      <c r="S402" s="474"/>
      <c r="T402" s="474"/>
      <c r="U402" s="474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66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4"/>
      <c r="P403" s="474"/>
      <c r="Q403" s="474"/>
      <c r="R403" s="474"/>
      <c r="S403" s="474"/>
      <c r="T403" s="474"/>
      <c r="U403" s="474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66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4"/>
      <c r="P404" s="474"/>
      <c r="Q404" s="474"/>
      <c r="R404" s="474"/>
      <c r="S404" s="474"/>
      <c r="T404" s="474"/>
      <c r="U404" s="474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66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4"/>
      <c r="P405" s="474"/>
      <c r="Q405" s="474"/>
      <c r="R405" s="474"/>
      <c r="S405" s="474"/>
      <c r="T405" s="474"/>
      <c r="U405" s="474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66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4"/>
      <c r="P406" s="474"/>
      <c r="Q406" s="474"/>
      <c r="R406" s="474"/>
      <c r="S406" s="474"/>
      <c r="T406" s="474"/>
      <c r="U406" s="474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66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4"/>
      <c r="P407" s="474"/>
      <c r="Q407" s="474"/>
      <c r="R407" s="474"/>
      <c r="S407" s="474"/>
      <c r="T407" s="474"/>
      <c r="U407" s="474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66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4"/>
      <c r="P408" s="474"/>
      <c r="Q408" s="474"/>
      <c r="R408" s="474"/>
      <c r="S408" s="474"/>
      <c r="T408" s="474"/>
      <c r="U408" s="474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66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4"/>
      <c r="P409" s="474"/>
      <c r="Q409" s="474"/>
      <c r="R409" s="474"/>
      <c r="S409" s="474"/>
      <c r="T409" s="474"/>
      <c r="U409" s="474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66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4"/>
      <c r="P410" s="474"/>
      <c r="Q410" s="474"/>
      <c r="R410" s="474"/>
      <c r="S410" s="474"/>
      <c r="T410" s="474"/>
      <c r="U410" s="474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66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4"/>
      <c r="P411" s="474"/>
      <c r="Q411" s="474"/>
      <c r="R411" s="474"/>
      <c r="S411" s="474"/>
      <c r="T411" s="474"/>
      <c r="U411" s="474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66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4"/>
      <c r="P412" s="474"/>
      <c r="Q412" s="474"/>
      <c r="R412" s="474"/>
      <c r="S412" s="474"/>
      <c r="T412" s="474"/>
      <c r="U412" s="474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66">
        <f t="shared" si="170"/>
        <v>0</v>
      </c>
      <c r="I413" s="129"/>
      <c r="J413" s="130"/>
      <c r="K413" s="131"/>
      <c r="L413" s="129"/>
      <c r="M413" s="109"/>
      <c r="N413" s="130"/>
      <c r="O413" s="474"/>
      <c r="P413" s="474"/>
      <c r="Q413" s="474"/>
      <c r="R413" s="474"/>
      <c r="S413" s="474"/>
      <c r="T413" s="474"/>
      <c r="U413" s="474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66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4"/>
      <c r="P414" s="474"/>
      <c r="Q414" s="474"/>
      <c r="R414" s="474"/>
      <c r="S414" s="474"/>
      <c r="T414" s="474"/>
      <c r="U414" s="474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66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4"/>
      <c r="P415" s="474"/>
      <c r="Q415" s="474"/>
      <c r="R415" s="474"/>
      <c r="S415" s="474"/>
      <c r="T415" s="474"/>
      <c r="U415" s="474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66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4"/>
      <c r="P416" s="474"/>
      <c r="Q416" s="474"/>
      <c r="R416" s="474"/>
      <c r="S416" s="474"/>
      <c r="T416" s="474"/>
      <c r="U416" s="474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66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4"/>
      <c r="P417" s="474"/>
      <c r="Q417" s="474"/>
      <c r="R417" s="474"/>
      <c r="S417" s="474"/>
      <c r="T417" s="474"/>
      <c r="U417" s="474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66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4"/>
      <c r="P418" s="474"/>
      <c r="Q418" s="474"/>
      <c r="R418" s="474"/>
      <c r="S418" s="474"/>
      <c r="T418" s="474"/>
      <c r="U418" s="47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66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4"/>
      <c r="P419" s="474"/>
      <c r="Q419" s="474"/>
      <c r="R419" s="474"/>
      <c r="S419" s="474"/>
      <c r="T419" s="474"/>
      <c r="U419" s="47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66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4"/>
      <c r="P420" s="474"/>
      <c r="Q420" s="474"/>
      <c r="R420" s="474"/>
      <c r="S420" s="474"/>
      <c r="T420" s="474"/>
      <c r="U420" s="47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66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4"/>
      <c r="P421" s="474"/>
      <c r="Q421" s="474"/>
      <c r="R421" s="474"/>
      <c r="S421" s="474"/>
      <c r="T421" s="474"/>
      <c r="U421" s="47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66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4"/>
      <c r="P422" s="474"/>
      <c r="Q422" s="474"/>
      <c r="R422" s="474"/>
      <c r="S422" s="474"/>
      <c r="T422" s="474"/>
      <c r="U422" s="47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66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4"/>
      <c r="P423" s="474"/>
      <c r="Q423" s="474"/>
      <c r="R423" s="474"/>
      <c r="S423" s="474"/>
      <c r="T423" s="474"/>
      <c r="U423" s="47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66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4"/>
      <c r="P424" s="474"/>
      <c r="Q424" s="474"/>
      <c r="R424" s="474"/>
      <c r="S424" s="474"/>
      <c r="T424" s="474"/>
      <c r="U424" s="47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66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4"/>
      <c r="P425" s="474"/>
      <c r="Q425" s="474"/>
      <c r="R425" s="474"/>
      <c r="S425" s="474"/>
      <c r="T425" s="474"/>
      <c r="U425" s="47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66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4"/>
      <c r="P426" s="474"/>
      <c r="Q426" s="474"/>
      <c r="R426" s="474"/>
      <c r="S426" s="474"/>
      <c r="T426" s="474"/>
      <c r="U426" s="474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66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4"/>
      <c r="P427" s="474"/>
      <c r="Q427" s="474"/>
      <c r="R427" s="474"/>
      <c r="S427" s="474"/>
      <c r="T427" s="474"/>
      <c r="U427" s="474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75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65" t="s">
        <v>217</v>
      </c>
      <c r="C429" s="126" t="s">
        <v>179</v>
      </c>
      <c r="D429" s="108">
        <v>5.03</v>
      </c>
      <c r="E429" s="108"/>
      <c r="F429" s="127"/>
      <c r="G429" s="128"/>
      <c r="H429" s="466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4"/>
      <c r="P429" s="474"/>
      <c r="Q429" s="474"/>
      <c r="R429" s="474"/>
      <c r="S429" s="474"/>
      <c r="T429" s="474"/>
      <c r="U429" s="474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65" t="s">
        <v>217</v>
      </c>
      <c r="C430" s="126" t="s">
        <v>186</v>
      </c>
      <c r="D430" s="108">
        <v>5.03</v>
      </c>
      <c r="E430" s="108"/>
      <c r="F430" s="127">
        <v>42741</v>
      </c>
      <c r="G430" s="152">
        <f>73+22+75+37</f>
        <v>207</v>
      </c>
      <c r="H430" s="466">
        <f t="shared" si="195"/>
        <v>1041.21</v>
      </c>
      <c r="I430" s="129">
        <f>3.5*2+1.5+2+2+2.5+3.5</f>
        <v>18.5</v>
      </c>
      <c r="J430" s="130">
        <f t="array" ref="J430">IF(ISERROR(G430/I430),"",G430/I430)</f>
        <v>11.189189189189189</v>
      </c>
      <c r="K430" s="131">
        <f t="array" ref="K430">IF(ISERROR(G430/L430),"",G430/L430)</f>
        <v>23.52272727272727</v>
      </c>
      <c r="L430" s="129">
        <v>8.8000000000000007</v>
      </c>
      <c r="M430" s="109">
        <f t="shared" si="196"/>
        <v>-5.0227272727272698</v>
      </c>
      <c r="N430" s="130">
        <f t="shared" si="197"/>
        <v>0</v>
      </c>
      <c r="O430" s="474"/>
      <c r="P430" s="474"/>
      <c r="Q430" s="474"/>
      <c r="R430" s="474"/>
      <c r="S430" s="474"/>
      <c r="T430" s="474"/>
      <c r="U430" s="474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30400011</v>
      </c>
      <c r="B431" s="465" t="s">
        <v>217</v>
      </c>
      <c r="C431" s="126" t="s">
        <v>204</v>
      </c>
      <c r="D431" s="108">
        <v>5.03</v>
      </c>
      <c r="E431" s="108"/>
      <c r="F431" s="127"/>
      <c r="G431" s="128"/>
      <c r="H431" s="46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8.8000000000000007</v>
      </c>
      <c r="M431" s="109">
        <f t="shared" si="196"/>
        <v>0</v>
      </c>
      <c r="N431" s="130">
        <f t="shared" si="197"/>
        <v>0</v>
      </c>
      <c r="O431" s="474"/>
      <c r="P431" s="474"/>
      <c r="Q431" s="474"/>
      <c r="R431" s="474"/>
      <c r="S431" s="474"/>
      <c r="T431" s="474"/>
      <c r="U431" s="474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6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4"/>
      <c r="P432" s="474"/>
      <c r="Q432" s="474"/>
      <c r="R432" s="474"/>
      <c r="S432" s="474"/>
      <c r="T432" s="474"/>
      <c r="U432" s="474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52">
        <f>53+90+108+94+52+48+108+76+108-108-100</f>
        <v>529</v>
      </c>
      <c r="H433" s="466">
        <f t="shared" si="195"/>
        <v>2660.8700000000003</v>
      </c>
      <c r="I433" s="129">
        <f>7*2+6.5*2+8.5+8.5+8+6.5*2</f>
        <v>65</v>
      </c>
      <c r="J433" s="130">
        <f t="array" ref="J433">IF(ISERROR(G433/I433),"",G433/I433)</f>
        <v>8.138461538461538</v>
      </c>
      <c r="K433" s="131">
        <f t="array" ref="K433">IF(ISERROR(G433/L433),"",G433/L433)</f>
        <v>56.881720430107521</v>
      </c>
      <c r="L433" s="129">
        <v>9.3000000000000007</v>
      </c>
      <c r="M433" s="109">
        <f t="shared" si="196"/>
        <v>8.1182795698924792</v>
      </c>
      <c r="N433" s="130">
        <f t="shared" si="197"/>
        <v>0</v>
      </c>
      <c r="O433" s="474"/>
      <c r="P433" s="474"/>
      <c r="Q433" s="474"/>
      <c r="R433" s="474"/>
      <c r="S433" s="474"/>
      <c r="T433" s="474"/>
      <c r="U433" s="474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66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4"/>
      <c r="P434" s="474"/>
      <c r="Q434" s="474"/>
      <c r="R434" s="474"/>
      <c r="S434" s="474"/>
      <c r="T434" s="474"/>
      <c r="U434" s="474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6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4"/>
      <c r="P435" s="474"/>
      <c r="Q435" s="474"/>
      <c r="R435" s="474"/>
      <c r="S435" s="474"/>
      <c r="T435" s="474"/>
      <c r="U435" s="474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66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4"/>
      <c r="P436" s="474"/>
      <c r="Q436" s="474"/>
      <c r="R436" s="474"/>
      <c r="S436" s="474"/>
      <c r="T436" s="474"/>
      <c r="U436" s="474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52"/>
      <c r="H437" s="46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4"/>
      <c r="P437" s="474"/>
      <c r="Q437" s="474"/>
      <c r="R437" s="474"/>
      <c r="S437" s="474"/>
      <c r="T437" s="474"/>
      <c r="U437" s="47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6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4"/>
      <c r="P438" s="474"/>
      <c r="Q438" s="474"/>
      <c r="R438" s="474"/>
      <c r="S438" s="474"/>
      <c r="T438" s="474"/>
      <c r="U438" s="47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6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4"/>
      <c r="P439" s="474"/>
      <c r="Q439" s="474"/>
      <c r="R439" s="474"/>
      <c r="S439" s="474"/>
      <c r="T439" s="474"/>
      <c r="U439" s="474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66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4"/>
      <c r="P440" s="474"/>
      <c r="Q440" s="474"/>
      <c r="R440" s="474"/>
      <c r="S440" s="474"/>
      <c r="T440" s="474"/>
      <c r="U440" s="474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66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4"/>
      <c r="P441" s="474"/>
      <c r="Q441" s="474"/>
      <c r="R441" s="474"/>
      <c r="S441" s="474"/>
      <c r="T441" s="474"/>
      <c r="U441" s="474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6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4"/>
      <c r="P442" s="474"/>
      <c r="Q442" s="474"/>
      <c r="R442" s="474"/>
      <c r="S442" s="474"/>
      <c r="T442" s="474"/>
      <c r="U442" s="474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66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4"/>
      <c r="P443" s="474"/>
      <c r="Q443" s="474"/>
      <c r="R443" s="474"/>
      <c r="S443" s="474"/>
      <c r="T443" s="474"/>
      <c r="U443" s="474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66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4"/>
      <c r="P444" s="474"/>
      <c r="Q444" s="474"/>
      <c r="R444" s="474"/>
      <c r="S444" s="474"/>
      <c r="T444" s="474"/>
      <c r="U444" s="474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65" t="s">
        <v>222</v>
      </c>
      <c r="C445" s="126" t="s">
        <v>181</v>
      </c>
      <c r="D445" s="108">
        <v>9.36</v>
      </c>
      <c r="E445" s="108"/>
      <c r="F445" s="127"/>
      <c r="G445" s="128"/>
      <c r="H445" s="46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4"/>
      <c r="P445" s="474"/>
      <c r="Q445" s="474"/>
      <c r="R445" s="474"/>
      <c r="S445" s="474"/>
      <c r="T445" s="474"/>
      <c r="U445" s="474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65" t="s">
        <v>222</v>
      </c>
      <c r="C446" s="126" t="s">
        <v>179</v>
      </c>
      <c r="D446" s="108">
        <v>9.36</v>
      </c>
      <c r="E446" s="108"/>
      <c r="F446" s="127"/>
      <c r="G446" s="128"/>
      <c r="H446" s="46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4"/>
      <c r="P446" s="474"/>
      <c r="Q446" s="474"/>
      <c r="R446" s="474"/>
      <c r="S446" s="474"/>
      <c r="T446" s="474"/>
      <c r="U446" s="474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65" t="s">
        <v>222</v>
      </c>
      <c r="C447" s="126" t="s">
        <v>221</v>
      </c>
      <c r="D447" s="108">
        <v>9.36</v>
      </c>
      <c r="E447" s="108"/>
      <c r="F447" s="127"/>
      <c r="G447" s="128"/>
      <c r="H447" s="466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4"/>
      <c r="P447" s="474"/>
      <c r="Q447" s="474"/>
      <c r="R447" s="474"/>
      <c r="S447" s="474"/>
      <c r="T447" s="474"/>
      <c r="U447" s="474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65" t="s">
        <v>222</v>
      </c>
      <c r="C448" s="126" t="s">
        <v>186</v>
      </c>
      <c r="D448" s="108">
        <v>9.36</v>
      </c>
      <c r="E448" s="108"/>
      <c r="F448" s="127"/>
      <c r="G448" s="128"/>
      <c r="H448" s="466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4"/>
      <c r="P448" s="474"/>
      <c r="Q448" s="474"/>
      <c r="R448" s="474"/>
      <c r="S448" s="474"/>
      <c r="T448" s="474"/>
      <c r="U448" s="474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65" t="s">
        <v>393</v>
      </c>
      <c r="C449" s="187" t="s">
        <v>395</v>
      </c>
      <c r="D449" s="108">
        <v>5</v>
      </c>
      <c r="E449" s="108"/>
      <c r="F449" s="127"/>
      <c r="G449" s="128"/>
      <c r="H449" s="46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4"/>
      <c r="P449" s="474"/>
      <c r="Q449" s="474"/>
      <c r="R449" s="474"/>
      <c r="S449" s="474"/>
      <c r="T449" s="474"/>
      <c r="U449" s="47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65" t="s">
        <v>393</v>
      </c>
      <c r="C450" s="187" t="s">
        <v>402</v>
      </c>
      <c r="D450" s="108">
        <v>5</v>
      </c>
      <c r="E450" s="108"/>
      <c r="F450" s="127"/>
      <c r="G450" s="128"/>
      <c r="H450" s="46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4"/>
      <c r="P450" s="474"/>
      <c r="Q450" s="474"/>
      <c r="R450" s="474"/>
      <c r="S450" s="474"/>
      <c r="T450" s="474"/>
      <c r="U450" s="47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65" t="s">
        <v>404</v>
      </c>
      <c r="C451" s="187" t="s">
        <v>405</v>
      </c>
      <c r="D451" s="108">
        <v>5</v>
      </c>
      <c r="E451" s="108"/>
      <c r="F451" s="127"/>
      <c r="G451" s="128"/>
      <c r="H451" s="46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4"/>
      <c r="P451" s="474"/>
      <c r="Q451" s="474"/>
      <c r="R451" s="474"/>
      <c r="S451" s="474"/>
      <c r="T451" s="474"/>
      <c r="U451" s="47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65" t="s">
        <v>342</v>
      </c>
      <c r="C452" s="187" t="s">
        <v>372</v>
      </c>
      <c r="D452" s="108">
        <v>5</v>
      </c>
      <c r="E452" s="108"/>
      <c r="F452" s="127"/>
      <c r="G452" s="128"/>
      <c r="H452" s="46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4"/>
      <c r="P452" s="474"/>
      <c r="Q452" s="474"/>
      <c r="R452" s="474"/>
      <c r="S452" s="474"/>
      <c r="T452" s="474"/>
      <c r="U452" s="47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65" t="s">
        <v>343</v>
      </c>
      <c r="C453" s="126" t="s">
        <v>345</v>
      </c>
      <c r="D453" s="108">
        <v>5</v>
      </c>
      <c r="E453" s="108"/>
      <c r="F453" s="127"/>
      <c r="G453" s="128"/>
      <c r="H453" s="466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4"/>
      <c r="P453" s="474"/>
      <c r="Q453" s="474"/>
      <c r="R453" s="474"/>
      <c r="S453" s="474"/>
      <c r="T453" s="474"/>
      <c r="U453" s="474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65" t="s">
        <v>343</v>
      </c>
      <c r="C454" s="126" t="s">
        <v>347</v>
      </c>
      <c r="D454" s="108">
        <v>5</v>
      </c>
      <c r="E454" s="108"/>
      <c r="F454" s="127"/>
      <c r="G454" s="128"/>
      <c r="H454" s="466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4"/>
      <c r="P454" s="474"/>
      <c r="Q454" s="474"/>
      <c r="R454" s="474"/>
      <c r="S454" s="474"/>
      <c r="T454" s="474"/>
      <c r="U454" s="474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66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4"/>
      <c r="P455" s="474"/>
      <c r="Q455" s="474"/>
      <c r="R455" s="474"/>
      <c r="S455" s="474"/>
      <c r="T455" s="474"/>
      <c r="U455" s="474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66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4"/>
      <c r="P456" s="474"/>
      <c r="Q456" s="474"/>
      <c r="R456" s="474"/>
      <c r="S456" s="474"/>
      <c r="T456" s="474"/>
      <c r="U456" s="474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66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4"/>
      <c r="P457" s="474"/>
      <c r="Q457" s="474"/>
      <c r="R457" s="474"/>
      <c r="S457" s="474"/>
      <c r="T457" s="474"/>
      <c r="U457" s="47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66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4"/>
      <c r="P458" s="474"/>
      <c r="Q458" s="474"/>
      <c r="R458" s="474"/>
      <c r="S458" s="474"/>
      <c r="T458" s="474"/>
      <c r="U458" s="474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66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4"/>
      <c r="P459" s="474"/>
      <c r="Q459" s="474"/>
      <c r="R459" s="474"/>
      <c r="S459" s="474"/>
      <c r="T459" s="474"/>
      <c r="U459" s="474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66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4"/>
      <c r="P460" s="474"/>
      <c r="Q460" s="474"/>
      <c r="R460" s="474"/>
      <c r="S460" s="474"/>
      <c r="T460" s="474"/>
      <c r="U460" s="474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66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4"/>
      <c r="P461" s="474"/>
      <c r="Q461" s="474"/>
      <c r="R461" s="474"/>
      <c r="S461" s="474"/>
      <c r="T461" s="474"/>
      <c r="U461" s="474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66">
        <f t="shared" si="195"/>
        <v>0</v>
      </c>
      <c r="I462" s="129"/>
      <c r="J462" s="130" t="str">
        <f t="array" ref="J462">IF(ISERROR(G462/I462),"",G462/I462)</f>
        <v/>
      </c>
      <c r="K462" s="466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4"/>
      <c r="P462" s="474"/>
      <c r="Q462" s="474"/>
      <c r="R462" s="474"/>
      <c r="S462" s="474"/>
      <c r="T462" s="474"/>
      <c r="U462" s="474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475" t="s">
        <v>202</v>
      </c>
      <c r="D463" s="143"/>
      <c r="E463" s="143"/>
      <c r="F463" s="144"/>
      <c r="G463" s="145">
        <f>SUM(G429:G462)</f>
        <v>736</v>
      </c>
      <c r="H463" s="146">
        <f>SUM(H429:H462)</f>
        <v>3702.0800000000004</v>
      </c>
      <c r="I463" s="146">
        <f>SUM(I429:I462)</f>
        <v>83.5</v>
      </c>
      <c r="J463" s="130">
        <f t="array" ref="J463">IF(ISERROR(G463/I463),"",G463/I463)</f>
        <v>8.8143712574850301</v>
      </c>
      <c r="K463" s="146">
        <f>SUM(K429:K462)</f>
        <v>80.404447702834787</v>
      </c>
      <c r="L463" s="147"/>
      <c r="M463" s="150">
        <f t="shared" ref="M463:V463" si="209">SUM(M429:M462)</f>
        <v>3.0955522971652094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66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4"/>
      <c r="P464" s="474"/>
      <c r="Q464" s="474"/>
      <c r="R464" s="474"/>
      <c r="S464" s="474"/>
      <c r="T464" s="474"/>
      <c r="U464" s="474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66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4"/>
      <c r="P465" s="474"/>
      <c r="Q465" s="474"/>
      <c r="R465" s="474"/>
      <c r="S465" s="474"/>
      <c r="T465" s="474"/>
      <c r="U465" s="474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66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4"/>
      <c r="P466" s="474"/>
      <c r="Q466" s="474"/>
      <c r="R466" s="474"/>
      <c r="S466" s="474"/>
      <c r="T466" s="474"/>
      <c r="U466" s="474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66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4"/>
      <c r="P467" s="474"/>
      <c r="Q467" s="474"/>
      <c r="R467" s="474"/>
      <c r="S467" s="474"/>
      <c r="T467" s="474"/>
      <c r="U467" s="474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71" t="s">
        <v>203</v>
      </c>
      <c r="D468" s="108">
        <v>5.03</v>
      </c>
      <c r="E468" s="108"/>
      <c r="F468" s="127"/>
      <c r="G468" s="128"/>
      <c r="H468" s="466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4"/>
      <c r="P468" s="474"/>
      <c r="Q468" s="474"/>
      <c r="R468" s="474"/>
      <c r="S468" s="474"/>
      <c r="T468" s="474"/>
      <c r="U468" s="474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66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4"/>
      <c r="P469" s="474"/>
      <c r="Q469" s="474"/>
      <c r="R469" s="474"/>
      <c r="S469" s="474"/>
      <c r="T469" s="474"/>
      <c r="U469" s="474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66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4"/>
      <c r="P470" s="474"/>
      <c r="Q470" s="474"/>
      <c r="R470" s="474"/>
      <c r="S470" s="474"/>
      <c r="T470" s="474"/>
      <c r="U470" s="474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71" t="s">
        <v>228</v>
      </c>
      <c r="D471" s="108">
        <v>5.03</v>
      </c>
      <c r="E471" s="108"/>
      <c r="F471" s="127"/>
      <c r="G471" s="128"/>
      <c r="H471" s="466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4"/>
      <c r="P471" s="474"/>
      <c r="Q471" s="474"/>
      <c r="R471" s="474"/>
      <c r="S471" s="474"/>
      <c r="T471" s="474"/>
      <c r="U471" s="474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71" t="s">
        <v>212</v>
      </c>
      <c r="D472" s="108">
        <v>5.03</v>
      </c>
      <c r="E472" s="108"/>
      <c r="F472" s="127"/>
      <c r="G472" s="128"/>
      <c r="H472" s="466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4"/>
      <c r="P472" s="474"/>
      <c r="Q472" s="474"/>
      <c r="R472" s="474"/>
      <c r="S472" s="474"/>
      <c r="T472" s="474"/>
      <c r="U472" s="474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71" t="s">
        <v>203</v>
      </c>
      <c r="D473" s="108">
        <v>5.03</v>
      </c>
      <c r="E473" s="108"/>
      <c r="F473" s="127"/>
      <c r="G473" s="128"/>
      <c r="H473" s="466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4"/>
      <c r="P473" s="474"/>
      <c r="Q473" s="474"/>
      <c r="R473" s="474"/>
      <c r="S473" s="474"/>
      <c r="T473" s="474"/>
      <c r="U473" s="474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71" t="s">
        <v>186</v>
      </c>
      <c r="D474" s="108">
        <v>5.03</v>
      </c>
      <c r="E474" s="108"/>
      <c r="F474" s="127"/>
      <c r="G474" s="128"/>
      <c r="H474" s="466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4"/>
      <c r="P474" s="474"/>
      <c r="Q474" s="474"/>
      <c r="R474" s="474"/>
      <c r="S474" s="474"/>
      <c r="T474" s="474"/>
      <c r="U474" s="474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71" t="s">
        <v>228</v>
      </c>
      <c r="D475" s="108">
        <v>5.03</v>
      </c>
      <c r="E475" s="108"/>
      <c r="F475" s="127"/>
      <c r="G475" s="128"/>
      <c r="H475" s="466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4"/>
      <c r="P475" s="474"/>
      <c r="Q475" s="474"/>
      <c r="R475" s="474"/>
      <c r="S475" s="474"/>
      <c r="T475" s="474"/>
      <c r="U475" s="474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71" t="s">
        <v>199</v>
      </c>
      <c r="D476" s="108">
        <v>5.03</v>
      </c>
      <c r="E476" s="108"/>
      <c r="F476" s="127"/>
      <c r="G476" s="128"/>
      <c r="H476" s="466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4"/>
      <c r="P476" s="474"/>
      <c r="Q476" s="474"/>
      <c r="R476" s="474"/>
      <c r="S476" s="474"/>
      <c r="T476" s="474"/>
      <c r="U476" s="474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66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4"/>
      <c r="P477" s="474"/>
      <c r="Q477" s="474"/>
      <c r="R477" s="474"/>
      <c r="S477" s="474"/>
      <c r="T477" s="474"/>
      <c r="U477" s="474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66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4"/>
      <c r="P478" s="474"/>
      <c r="Q478" s="474"/>
      <c r="R478" s="474"/>
      <c r="S478" s="474"/>
      <c r="T478" s="474"/>
      <c r="U478" s="474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475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66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4"/>
      <c r="P480" s="474"/>
      <c r="Q480" s="474"/>
      <c r="R480" s="474"/>
      <c r="S480" s="474"/>
      <c r="T480" s="474"/>
      <c r="U480" s="474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66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4"/>
      <c r="P481" s="474"/>
      <c r="Q481" s="474"/>
      <c r="R481" s="474"/>
      <c r="S481" s="474"/>
      <c r="T481" s="474"/>
      <c r="U481" s="474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66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4"/>
      <c r="P482" s="474"/>
      <c r="Q482" s="474"/>
      <c r="R482" s="474"/>
      <c r="S482" s="474"/>
      <c r="T482" s="474"/>
      <c r="U482" s="474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66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4"/>
      <c r="P483" s="474"/>
      <c r="Q483" s="474"/>
      <c r="R483" s="474"/>
      <c r="S483" s="474"/>
      <c r="T483" s="474"/>
      <c r="U483" s="474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66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4"/>
      <c r="P484" s="474"/>
      <c r="Q484" s="474"/>
      <c r="R484" s="474"/>
      <c r="S484" s="474"/>
      <c r="T484" s="474"/>
      <c r="U484" s="474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66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4"/>
      <c r="P485" s="474"/>
      <c r="Q485" s="474"/>
      <c r="R485" s="474"/>
      <c r="S485" s="474"/>
      <c r="T485" s="474"/>
      <c r="U485" s="474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66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4"/>
      <c r="P486" s="474"/>
      <c r="Q486" s="474"/>
      <c r="R486" s="474"/>
      <c r="S486" s="474"/>
      <c r="T486" s="474"/>
      <c r="U486" s="474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66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4"/>
      <c r="P487" s="474"/>
      <c r="Q487" s="474"/>
      <c r="R487" s="474"/>
      <c r="S487" s="474"/>
      <c r="T487" s="474"/>
      <c r="U487" s="474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66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4"/>
      <c r="P488" s="474"/>
      <c r="Q488" s="474"/>
      <c r="R488" s="474"/>
      <c r="S488" s="474"/>
      <c r="T488" s="474"/>
      <c r="U488" s="474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66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4"/>
      <c r="P489" s="474"/>
      <c r="Q489" s="474"/>
      <c r="R489" s="474"/>
      <c r="S489" s="474"/>
      <c r="T489" s="474"/>
      <c r="U489" s="474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475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2"/>
      <c r="D491" s="108">
        <v>3.65</v>
      </c>
      <c r="E491" s="108"/>
      <c r="F491" s="153"/>
      <c r="G491" s="128"/>
      <c r="H491" s="466">
        <f t="shared" ref="H491:H505" si="222">D491*G491</f>
        <v>0</v>
      </c>
      <c r="I491" s="129"/>
      <c r="J491" s="130" t="str">
        <f t="array" ref="J491">IF(ISERROR(G491/I491),"",G491/I491)</f>
        <v/>
      </c>
      <c r="K491" s="466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4"/>
      <c r="P491" s="474"/>
      <c r="Q491" s="474"/>
      <c r="R491" s="474"/>
      <c r="S491" s="474"/>
      <c r="T491" s="474"/>
      <c r="U491" s="474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2"/>
      <c r="D492" s="108">
        <v>6.58</v>
      </c>
      <c r="E492" s="108"/>
      <c r="F492" s="127"/>
      <c r="G492" s="128"/>
      <c r="H492" s="466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4"/>
      <c r="P492" s="474"/>
      <c r="Q492" s="474"/>
      <c r="R492" s="474"/>
      <c r="S492" s="474"/>
      <c r="T492" s="474"/>
      <c r="U492" s="474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2"/>
      <c r="D493" s="108">
        <v>7.8</v>
      </c>
      <c r="E493" s="108"/>
      <c r="F493" s="127"/>
      <c r="G493" s="128"/>
      <c r="H493" s="466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4"/>
      <c r="P493" s="474"/>
      <c r="Q493" s="474"/>
      <c r="R493" s="474"/>
      <c r="S493" s="474"/>
      <c r="T493" s="474"/>
      <c r="U493" s="474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2"/>
      <c r="D494" s="108">
        <v>4.4000000000000004</v>
      </c>
      <c r="E494" s="108"/>
      <c r="F494" s="127"/>
      <c r="G494" s="128"/>
      <c r="H494" s="466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4"/>
      <c r="P494" s="474"/>
      <c r="Q494" s="474"/>
      <c r="R494" s="474"/>
      <c r="S494" s="474"/>
      <c r="T494" s="474"/>
      <c r="U494" s="474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66">
        <f t="shared" si="222"/>
        <v>0</v>
      </c>
      <c r="I495" s="129"/>
      <c r="J495" s="130"/>
      <c r="K495" s="131"/>
      <c r="L495" s="129"/>
      <c r="M495" s="109"/>
      <c r="N495" s="130"/>
      <c r="O495" s="474"/>
      <c r="P495" s="474"/>
      <c r="Q495" s="474"/>
      <c r="R495" s="474"/>
      <c r="S495" s="474"/>
      <c r="T495" s="474"/>
      <c r="U495" s="474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2"/>
      <c r="D496" s="108"/>
      <c r="E496" s="108"/>
      <c r="F496" s="127"/>
      <c r="G496" s="128"/>
      <c r="H496" s="466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4"/>
      <c r="P496" s="474"/>
      <c r="Q496" s="474"/>
      <c r="R496" s="474"/>
      <c r="S496" s="474"/>
      <c r="T496" s="474"/>
      <c r="U496" s="47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2" t="s">
        <v>239</v>
      </c>
      <c r="C497" s="472" t="s">
        <v>179</v>
      </c>
      <c r="D497" s="108">
        <v>6.04</v>
      </c>
      <c r="E497" s="108"/>
      <c r="F497" s="127"/>
      <c r="G497" s="128"/>
      <c r="H497" s="466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4"/>
      <c r="P497" s="474"/>
      <c r="Q497" s="474"/>
      <c r="R497" s="474"/>
      <c r="S497" s="474"/>
      <c r="T497" s="474"/>
      <c r="U497" s="474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2" t="s">
        <v>239</v>
      </c>
      <c r="C498" s="472" t="s">
        <v>186</v>
      </c>
      <c r="D498" s="108">
        <v>6.04</v>
      </c>
      <c r="E498" s="108"/>
      <c r="F498" s="127"/>
      <c r="G498" s="128"/>
      <c r="H498" s="466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4"/>
      <c r="P498" s="474"/>
      <c r="Q498" s="474"/>
      <c r="R498" s="474"/>
      <c r="S498" s="474"/>
      <c r="T498" s="474"/>
      <c r="U498" s="474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2" t="s">
        <v>443</v>
      </c>
      <c r="C499" s="472" t="s">
        <v>179</v>
      </c>
      <c r="D499" s="108"/>
      <c r="E499" s="108"/>
      <c r="F499" s="127"/>
      <c r="G499" s="128"/>
      <c r="H499" s="466">
        <f t="shared" si="222"/>
        <v>0</v>
      </c>
      <c r="I499" s="129"/>
      <c r="J499" s="130"/>
      <c r="K499" s="131"/>
      <c r="L499" s="129"/>
      <c r="M499" s="109"/>
      <c r="N499" s="130"/>
      <c r="O499" s="474"/>
      <c r="P499" s="474"/>
      <c r="Q499" s="474"/>
      <c r="R499" s="474"/>
      <c r="S499" s="474"/>
      <c r="T499" s="474"/>
      <c r="U499" s="47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2" t="s">
        <v>443</v>
      </c>
      <c r="C500" s="472" t="s">
        <v>186</v>
      </c>
      <c r="D500" s="108"/>
      <c r="E500" s="108"/>
      <c r="F500" s="127"/>
      <c r="G500" s="128"/>
      <c r="H500" s="466">
        <f t="shared" si="222"/>
        <v>0</v>
      </c>
      <c r="I500" s="129"/>
      <c r="J500" s="130"/>
      <c r="K500" s="131"/>
      <c r="L500" s="129"/>
      <c r="M500" s="109"/>
      <c r="N500" s="130"/>
      <c r="O500" s="474"/>
      <c r="P500" s="474"/>
      <c r="Q500" s="474"/>
      <c r="R500" s="474"/>
      <c r="S500" s="474"/>
      <c r="T500" s="474"/>
      <c r="U500" s="47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65" t="s">
        <v>240</v>
      </c>
      <c r="C501" s="126"/>
      <c r="D501" s="108">
        <v>7.3</v>
      </c>
      <c r="E501" s="108"/>
      <c r="F501" s="127"/>
      <c r="G501" s="128"/>
      <c r="H501" s="466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4"/>
      <c r="P501" s="474"/>
      <c r="Q501" s="474"/>
      <c r="R501" s="474"/>
      <c r="S501" s="474"/>
      <c r="T501" s="474"/>
      <c r="U501" s="474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65" t="s">
        <v>241</v>
      </c>
      <c r="C502" s="126"/>
      <c r="D502" s="108">
        <f>78*120/1000</f>
        <v>9.36</v>
      </c>
      <c r="E502" s="108"/>
      <c r="F502" s="127"/>
      <c r="G502" s="128"/>
      <c r="H502" s="466">
        <f t="shared" si="222"/>
        <v>0</v>
      </c>
      <c r="I502" s="129"/>
      <c r="J502" s="130"/>
      <c r="K502" s="131"/>
      <c r="L502" s="129"/>
      <c r="M502" s="109"/>
      <c r="N502" s="130"/>
      <c r="O502" s="474"/>
      <c r="P502" s="474"/>
      <c r="Q502" s="474"/>
      <c r="R502" s="474"/>
      <c r="S502" s="474"/>
      <c r="T502" s="474"/>
      <c r="U502" s="47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65" t="s">
        <v>242</v>
      </c>
      <c r="C503" s="126"/>
      <c r="D503" s="108">
        <v>4.5</v>
      </c>
      <c r="E503" s="108"/>
      <c r="F503" s="127"/>
      <c r="G503" s="128"/>
      <c r="H503" s="466">
        <f t="shared" si="222"/>
        <v>0</v>
      </c>
      <c r="I503" s="129"/>
      <c r="J503" s="130"/>
      <c r="K503" s="131"/>
      <c r="L503" s="129"/>
      <c r="M503" s="109"/>
      <c r="N503" s="130"/>
      <c r="O503" s="474"/>
      <c r="P503" s="474"/>
      <c r="Q503" s="474"/>
      <c r="R503" s="474"/>
      <c r="S503" s="474"/>
      <c r="T503" s="474"/>
      <c r="U503" s="474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65" t="s">
        <v>243</v>
      </c>
      <c r="C504" s="126"/>
      <c r="D504" s="108">
        <v>4.5</v>
      </c>
      <c r="E504" s="108"/>
      <c r="F504" s="127"/>
      <c r="G504" s="128"/>
      <c r="H504" s="466">
        <f t="shared" si="222"/>
        <v>0</v>
      </c>
      <c r="I504" s="129"/>
      <c r="J504" s="130"/>
      <c r="K504" s="131"/>
      <c r="L504" s="129"/>
      <c r="M504" s="109"/>
      <c r="N504" s="130"/>
      <c r="O504" s="474"/>
      <c r="P504" s="474"/>
      <c r="Q504" s="474"/>
      <c r="R504" s="474"/>
      <c r="S504" s="474"/>
      <c r="T504" s="474"/>
      <c r="U504" s="474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65"/>
      <c r="C505" s="126"/>
      <c r="D505" s="108"/>
      <c r="E505" s="108"/>
      <c r="F505" s="127"/>
      <c r="G505" s="128"/>
      <c r="H505" s="466">
        <f t="shared" si="222"/>
        <v>0</v>
      </c>
      <c r="I505" s="129"/>
      <c r="J505" s="130"/>
      <c r="K505" s="131"/>
      <c r="L505" s="129"/>
      <c r="M505" s="109"/>
      <c r="N505" s="130"/>
      <c r="O505" s="474"/>
      <c r="P505" s="474"/>
      <c r="Q505" s="474"/>
      <c r="R505" s="474"/>
      <c r="S505" s="474"/>
      <c r="T505" s="474"/>
      <c r="U505" s="474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475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736</v>
      </c>
      <c r="H507" s="154">
        <f>SUM(H370,H428,H463,H479,H490,H506)</f>
        <v>3702.0800000000004</v>
      </c>
      <c r="I507" s="154">
        <f>SUM(I370,I428,I463,I479,I490,I506)</f>
        <v>83.5</v>
      </c>
      <c r="J507" s="155">
        <f t="array" ref="J507">IF(ISERROR(G507/I507),"",G507/I507)</f>
        <v>8.8143712574850301</v>
      </c>
      <c r="K507" s="154">
        <f>SUM(K370,K428,K463,K479,K490,K506)</f>
        <v>80.404447702834787</v>
      </c>
      <c r="L507" s="155">
        <f>IF(ISERROR(G507/K507),"",G507/K507)</f>
        <v>9.1537224746592116</v>
      </c>
      <c r="M507" s="154">
        <f t="shared" ref="M507:V507" si="235">SUM(M370,M428,M463,M479,M490,M506)</f>
        <v>3.0955522971652094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468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468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468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468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468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468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468">
        <f>G507</f>
        <v>736</v>
      </c>
      <c r="C514" s="638" t="s">
        <v>269</v>
      </c>
      <c r="D514" s="639"/>
      <c r="E514" s="631">
        <f>H507</f>
        <v>3702.0800000000004</v>
      </c>
      <c r="F514" s="631"/>
      <c r="G514" s="631" t="s">
        <v>270</v>
      </c>
      <c r="H514" s="631"/>
      <c r="I514" s="640">
        <f>L507</f>
        <v>9.1537224746592116</v>
      </c>
      <c r="J514" s="640"/>
      <c r="K514" s="628" t="s">
        <v>271</v>
      </c>
      <c r="L514" s="628"/>
      <c r="M514" s="640">
        <f>J507</f>
        <v>8.8143712574850301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468">
        <f>I507+C513</f>
        <v>84.5</v>
      </c>
      <c r="C515" s="641" t="s">
        <v>251</v>
      </c>
      <c r="D515" s="642"/>
      <c r="E515" s="643">
        <f>K507+I513</f>
        <v>91.404447702834787</v>
      </c>
      <c r="F515" s="643"/>
      <c r="G515" s="631" t="s">
        <v>274</v>
      </c>
      <c r="H515" s="631"/>
      <c r="I515" s="640">
        <f>B515-E515</f>
        <v>-6.904447702834787</v>
      </c>
      <c r="J515" s="640"/>
      <c r="K515" s="628" t="s">
        <v>275</v>
      </c>
      <c r="L515" s="628"/>
      <c r="M515" s="632">
        <f>IF(ISERROR(I515/E515),"",I515/E515)</f>
        <v>-7.5537327519136194E-2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468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469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12677</v>
      </c>
      <c r="D519" s="627"/>
      <c r="E519" s="673" t="s">
        <v>269</v>
      </c>
      <c r="F519" s="673"/>
      <c r="G519" s="643">
        <f>SUM(E171,E342,E514)</f>
        <v>64712.060000000005</v>
      </c>
      <c r="H519" s="643"/>
      <c r="I519" s="631" t="s">
        <v>270</v>
      </c>
      <c r="J519" s="673"/>
      <c r="K519" s="626">
        <f>IF(ISERROR(C519/G520),"",C519/G520)</f>
        <v>16.899292134500772</v>
      </c>
      <c r="L519" s="627"/>
      <c r="M519" s="631" t="s">
        <v>271</v>
      </c>
      <c r="N519" s="631"/>
      <c r="O519" s="668">
        <f t="array" ref="O519">IF(ISERROR(C519/C520),"",C519/C520)</f>
        <v>18.03271692745377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703</v>
      </c>
      <c r="D520" s="627"/>
      <c r="E520" s="631" t="s">
        <v>251</v>
      </c>
      <c r="F520" s="631"/>
      <c r="G520" s="643">
        <f>SUM(E172,E343,E515)</f>
        <v>750.14976361756919</v>
      </c>
      <c r="H520" s="643"/>
      <c r="I520" s="641" t="s">
        <v>274</v>
      </c>
      <c r="J520" s="642"/>
      <c r="K520" s="638">
        <f>C520-G520</f>
        <v>-47.149763617569192</v>
      </c>
      <c r="L520" s="639"/>
      <c r="M520" s="638" t="s">
        <v>275</v>
      </c>
      <c r="N520" s="639"/>
      <c r="O520" s="671">
        <f>IF(ISERROR(K520/C520),"",K520/C520)</f>
        <v>-6.7069365032104117E-2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69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2034</v>
      </c>
      <c r="D524" s="642"/>
      <c r="E524" s="681">
        <f>IF(ISERROR(C524/C530),"",C524/C530)</f>
        <v>0.16044805553364361</v>
      </c>
      <c r="F524" s="682"/>
      <c r="G524" s="676"/>
      <c r="H524" s="677"/>
      <c r="I524" s="683" t="s">
        <v>301</v>
      </c>
      <c r="J524" s="684"/>
      <c r="K524" s="638">
        <f t="shared" ref="K524:K529" si="237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8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6783</v>
      </c>
      <c r="D525" s="642"/>
      <c r="E525" s="681">
        <f>IF(ISERROR(C525/C530),"",C525/C530)</f>
        <v>0.5350635008282717</v>
      </c>
      <c r="F525" s="682"/>
      <c r="G525" s="676"/>
      <c r="H525" s="677"/>
      <c r="I525" s="683" t="s">
        <v>302</v>
      </c>
      <c r="J525" s="684"/>
      <c r="K525" s="638">
        <f t="shared" si="237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8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831</v>
      </c>
      <c r="D526" s="642"/>
      <c r="E526" s="681">
        <f>IF(ISERROR(C526/C530),"",C526/C530)</f>
        <v>6.5551786700323425E-2</v>
      </c>
      <c r="F526" s="682"/>
      <c r="G526" s="676"/>
      <c r="H526" s="677"/>
      <c r="I526" s="683" t="s">
        <v>303</v>
      </c>
      <c r="J526" s="684"/>
      <c r="K526" s="638">
        <f t="shared" si="237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8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1374</v>
      </c>
      <c r="D527" s="642"/>
      <c r="E527" s="681">
        <f>IF(ISERROR(C527/C530),"",C527/C530)</f>
        <v>0.10838526465252031</v>
      </c>
      <c r="F527" s="682"/>
      <c r="G527" s="676"/>
      <c r="H527" s="677"/>
      <c r="I527" s="683" t="s">
        <v>304</v>
      </c>
      <c r="J527" s="684"/>
      <c r="K527" s="638">
        <f t="shared" si="237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8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1260</v>
      </c>
      <c r="D528" s="642"/>
      <c r="E528" s="681">
        <f>IF(ISERROR(C528/C530),"",C528/C530)</f>
        <v>9.9392600773053563E-2</v>
      </c>
      <c r="F528" s="682"/>
      <c r="G528" s="676"/>
      <c r="H528" s="677"/>
      <c r="I528" s="683" t="s">
        <v>306</v>
      </c>
      <c r="J528" s="684"/>
      <c r="K528" s="638">
        <f t="shared" si="237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8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395</v>
      </c>
      <c r="D529" s="642"/>
      <c r="E529" s="681">
        <f>IF(ISERROR(C529/C530),"",C529/C530)</f>
        <v>3.1158791512187426E-2</v>
      </c>
      <c r="F529" s="682"/>
      <c r="G529" s="676"/>
      <c r="H529" s="677"/>
      <c r="I529" s="683" t="s">
        <v>307</v>
      </c>
      <c r="J529" s="684"/>
      <c r="K529" s="638">
        <f t="shared" si="237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8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12677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472" t="s">
        <v>309</v>
      </c>
      <c r="D532" s="472" t="s">
        <v>310</v>
      </c>
      <c r="E532" s="472" t="s">
        <v>311</v>
      </c>
      <c r="F532" s="472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4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66" t="s">
        <v>322</v>
      </c>
      <c r="Q532" s="129" t="s">
        <v>323</v>
      </c>
      <c r="R532" s="109" t="s">
        <v>324</v>
      </c>
      <c r="S532" s="472" t="s">
        <v>325</v>
      </c>
      <c r="T532" s="472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+'6'!C533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73">
        <f t="array" ref="S533">IF(ISERROR(Q533/J533),"",Q533/J533)</f>
        <v>1</v>
      </c>
      <c r="T533" s="473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44</v>
      </c>
      <c r="D534" s="106">
        <f>+'6'!C534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2</v>
      </c>
      <c r="L534" s="106"/>
      <c r="M534" s="106"/>
      <c r="N534" s="106"/>
      <c r="O534" s="110"/>
      <c r="P534" s="111"/>
      <c r="Q534" s="106">
        <f>J534-K534-L534</f>
        <v>42</v>
      </c>
      <c r="R534" s="109">
        <f>Q534*11-M534-N534</f>
        <v>462</v>
      </c>
      <c r="S534" s="473">
        <f t="array" ref="S534">IF(ISERROR(Q534/J534),"",Q534/J534)</f>
        <v>0.95454545454545459</v>
      </c>
      <c r="T534" s="473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+'6'!C535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73">
        <f t="array" ref="S535">IF(ISERROR(Q535/J535),"",Q535/J535)</f>
        <v>1</v>
      </c>
      <c r="T535" s="473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2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98</v>
      </c>
      <c r="R536" s="114">
        <f>SUM(R533:R535)</f>
        <v>1078</v>
      </c>
      <c r="S536" s="115">
        <f t="array" ref="S536">IF(ISERROR(Q536/J536),"",Q536/J536)</f>
        <v>0.98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7">
      <c r="B554" s="121"/>
      <c r="G554" s="121"/>
    </row>
  </sheetData>
  <mergeCells count="541"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4"/>
  <sheetViews>
    <sheetView zoomScaleNormal="100" workbookViewId="0">
      <pane xSplit="4" ySplit="6" topLeftCell="E7" activePane="bottomRight" state="frozen"/>
      <selection activeCell="E487" sqref="E487"/>
      <selection pane="topRight" activeCell="E487" sqref="E487"/>
      <selection pane="bottomLeft" activeCell="E487" sqref="E487"/>
      <selection pane="bottomRight" activeCell="G19" sqref="G19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95" t="s">
        <v>413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  <c r="Q1" s="595"/>
      <c r="R1" s="595"/>
      <c r="S1" s="595"/>
      <c r="T1" s="595"/>
      <c r="U1" s="595"/>
      <c r="V1" s="595"/>
      <c r="W1" s="595"/>
      <c r="X1" s="595"/>
      <c r="Y1" s="595"/>
      <c r="Z1" s="595"/>
      <c r="AA1" s="595"/>
    </row>
    <row r="2" spans="1:27" ht="18.75">
      <c r="A2" s="596"/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  <c r="Q2" s="596"/>
      <c r="R2" s="596"/>
      <c r="S2" s="596"/>
      <c r="T2" s="596"/>
      <c r="U2" s="596"/>
      <c r="V2" s="596"/>
      <c r="W2" s="596"/>
      <c r="X2" s="596"/>
      <c r="Y2" s="596"/>
      <c r="Z2" s="596"/>
      <c r="AA2" s="596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97" t="s">
        <v>12</v>
      </c>
      <c r="B4" s="597" t="s">
        <v>25</v>
      </c>
      <c r="C4" s="597" t="s">
        <v>26</v>
      </c>
      <c r="D4" s="597" t="s">
        <v>27</v>
      </c>
      <c r="E4" s="600" t="s">
        <v>28</v>
      </c>
      <c r="F4" s="603" t="s">
        <v>29</v>
      </c>
      <c r="G4" s="606" t="s">
        <v>30</v>
      </c>
      <c r="H4" s="606"/>
      <c r="I4" s="597" t="s">
        <v>31</v>
      </c>
      <c r="J4" s="609" t="s">
        <v>32</v>
      </c>
      <c r="K4" s="612" t="s">
        <v>33</v>
      </c>
      <c r="L4" s="597" t="s">
        <v>34</v>
      </c>
      <c r="M4" s="615" t="s">
        <v>35</v>
      </c>
      <c r="N4" s="617" t="s">
        <v>36</v>
      </c>
      <c r="O4" s="606" t="s">
        <v>37</v>
      </c>
      <c r="P4" s="606"/>
      <c r="Q4" s="606"/>
      <c r="R4" s="606"/>
      <c r="S4" s="606"/>
      <c r="T4" s="606"/>
      <c r="U4" s="606"/>
      <c r="V4" s="606" t="s">
        <v>38</v>
      </c>
      <c r="W4" s="617" t="s">
        <v>39</v>
      </c>
      <c r="X4" s="606" t="s">
        <v>40</v>
      </c>
      <c r="Y4" s="606"/>
      <c r="Z4" s="606"/>
      <c r="AA4" s="606"/>
    </row>
    <row r="5" spans="1:27" s="104" customFormat="1" ht="15" customHeight="1">
      <c r="A5" s="598"/>
      <c r="B5" s="598"/>
      <c r="C5" s="598"/>
      <c r="D5" s="598"/>
      <c r="E5" s="601"/>
      <c r="F5" s="604"/>
      <c r="G5" s="606"/>
      <c r="H5" s="606"/>
      <c r="I5" s="598"/>
      <c r="J5" s="610"/>
      <c r="K5" s="613"/>
      <c r="L5" s="598"/>
      <c r="M5" s="616"/>
      <c r="N5" s="617"/>
      <c r="O5" s="606" t="s">
        <v>41</v>
      </c>
      <c r="P5" s="606" t="s">
        <v>42</v>
      </c>
      <c r="Q5" s="606" t="s">
        <v>43</v>
      </c>
      <c r="R5" s="607" t="s">
        <v>44</v>
      </c>
      <c r="S5" s="608" t="s">
        <v>45</v>
      </c>
      <c r="T5" s="606" t="s">
        <v>46</v>
      </c>
      <c r="U5" s="606" t="s">
        <v>47</v>
      </c>
      <c r="V5" s="606"/>
      <c r="W5" s="617"/>
      <c r="X5" s="606" t="s">
        <v>13</v>
      </c>
      <c r="Y5" s="606" t="s">
        <v>48</v>
      </c>
      <c r="Z5" s="606" t="s">
        <v>49</v>
      </c>
      <c r="AA5" s="606" t="s">
        <v>47</v>
      </c>
    </row>
    <row r="6" spans="1:27" s="104" customFormat="1" ht="27.75" customHeight="1">
      <c r="A6" s="599"/>
      <c r="B6" s="599"/>
      <c r="C6" s="599"/>
      <c r="D6" s="599"/>
      <c r="E6" s="602"/>
      <c r="F6" s="605"/>
      <c r="G6" s="350" t="s">
        <v>50</v>
      </c>
      <c r="H6" s="477" t="s">
        <v>51</v>
      </c>
      <c r="I6" s="599"/>
      <c r="J6" s="611"/>
      <c r="K6" s="614"/>
      <c r="L6" s="599"/>
      <c r="M6" s="616"/>
      <c r="N6" s="617"/>
      <c r="O6" s="606"/>
      <c r="P6" s="606"/>
      <c r="Q6" s="606"/>
      <c r="R6" s="607"/>
      <c r="S6" s="608"/>
      <c r="T6" s="606"/>
      <c r="U6" s="606"/>
      <c r="V6" s="606"/>
      <c r="W6" s="617"/>
      <c r="X6" s="606"/>
      <c r="Y6" s="606"/>
      <c r="Z6" s="606"/>
      <c r="AA6" s="606"/>
    </row>
    <row r="7" spans="1:27" ht="20.100000000000001" hidden="1" customHeight="1">
      <c r="A7" s="299">
        <v>30100030</v>
      </c>
      <c r="B7" s="480" t="s">
        <v>178</v>
      </c>
      <c r="C7" s="126" t="s">
        <v>179</v>
      </c>
      <c r="D7" s="108">
        <v>5.03</v>
      </c>
      <c r="E7" s="108"/>
      <c r="F7" s="127"/>
      <c r="G7" s="128"/>
      <c r="H7" s="488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9"/>
      <c r="P7" s="479"/>
      <c r="Q7" s="479"/>
      <c r="R7" s="479"/>
      <c r="S7" s="479"/>
      <c r="T7" s="479"/>
      <c r="U7" s="47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88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9"/>
      <c r="Q8" s="479"/>
      <c r="R8" s="479"/>
      <c r="S8" s="479"/>
      <c r="T8" s="479"/>
      <c r="U8" s="47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88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9"/>
      <c r="P9" s="479"/>
      <c r="Q9" s="479"/>
      <c r="R9" s="479"/>
      <c r="S9" s="479"/>
      <c r="T9" s="479"/>
      <c r="U9" s="47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88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9"/>
      <c r="P10" s="479"/>
      <c r="Q10" s="479"/>
      <c r="R10" s="479"/>
      <c r="S10" s="479"/>
      <c r="T10" s="479"/>
      <c r="U10" s="47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88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9"/>
      <c r="P11" s="479"/>
      <c r="Q11" s="479"/>
      <c r="R11" s="479"/>
      <c r="S11" s="479"/>
      <c r="T11" s="479"/>
      <c r="U11" s="47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9">
        <v>42742</v>
      </c>
      <c r="G12" s="128">
        <f>100*4+75+100</f>
        <v>575</v>
      </c>
      <c r="H12" s="488">
        <f t="shared" si="0"/>
        <v>2898</v>
      </c>
      <c r="I12" s="129">
        <f>4*3+4*3</f>
        <v>24</v>
      </c>
      <c r="J12" s="130">
        <f t="array" ref="J12">IF(ISERROR(G12/I12),"",G12/I12)</f>
        <v>23.958333333333332</v>
      </c>
      <c r="K12" s="131">
        <f t="array" ref="K12">IF(ISERROR(G12/L12),"",G12/L12)</f>
        <v>30.263157894736842</v>
      </c>
      <c r="L12" s="129">
        <v>19</v>
      </c>
      <c r="M12" s="109">
        <f t="shared" si="1"/>
        <v>-6.2631578947368425</v>
      </c>
      <c r="N12" s="130">
        <f t="shared" si="4"/>
        <v>0</v>
      </c>
      <c r="O12" s="479"/>
      <c r="P12" s="479"/>
      <c r="Q12" s="479"/>
      <c r="R12" s="479"/>
      <c r="S12" s="479"/>
      <c r="T12" s="479"/>
      <c r="U12" s="479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88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9"/>
      <c r="P13" s="479"/>
      <c r="Q13" s="479"/>
      <c r="R13" s="479"/>
      <c r="S13" s="479"/>
      <c r="T13" s="479"/>
      <c r="U13" s="47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88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9"/>
      <c r="P14" s="479"/>
      <c r="Q14" s="479"/>
      <c r="R14" s="479"/>
      <c r="S14" s="479"/>
      <c r="T14" s="479"/>
      <c r="U14" s="47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42742</v>
      </c>
      <c r="G15" s="128">
        <f>100*3+58</f>
        <v>358</v>
      </c>
      <c r="H15" s="488">
        <f t="shared" si="0"/>
        <v>1804.32</v>
      </c>
      <c r="I15" s="488">
        <f>5*5</f>
        <v>25</v>
      </c>
      <c r="J15" s="130">
        <f t="array" ref="J15">IF(ISERROR(G15/I15),"",G15/I15)</f>
        <v>14.32</v>
      </c>
      <c r="K15" s="131">
        <f t="array" ref="K15">IF(ISERROR(G15/L15),"",G15/L15)</f>
        <v>21.058823529411764</v>
      </c>
      <c r="L15" s="129">
        <v>17</v>
      </c>
      <c r="M15" s="109">
        <f t="shared" si="1"/>
        <v>3.9411764705882355</v>
      </c>
      <c r="N15" s="130">
        <f t="shared" si="4"/>
        <v>0</v>
      </c>
      <c r="O15" s="479"/>
      <c r="P15" s="479"/>
      <c r="Q15" s="479"/>
      <c r="R15" s="479"/>
      <c r="S15" s="479"/>
      <c r="T15" s="479"/>
      <c r="U15" s="479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88">
        <f t="shared" si="0"/>
        <v>0</v>
      </c>
      <c r="I16" s="488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9"/>
      <c r="P16" s="479"/>
      <c r="Q16" s="479"/>
      <c r="R16" s="479"/>
      <c r="S16" s="479"/>
      <c r="T16" s="479"/>
      <c r="U16" s="47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88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9"/>
      <c r="P17" s="479"/>
      <c r="Q17" s="479"/>
      <c r="R17" s="479"/>
      <c r="S17" s="479"/>
      <c r="T17" s="479"/>
      <c r="U17" s="47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42742</v>
      </c>
      <c r="G18" s="128">
        <f>100+19</f>
        <v>119</v>
      </c>
      <c r="H18" s="488">
        <f t="shared" si="0"/>
        <v>598.57000000000005</v>
      </c>
      <c r="I18" s="129">
        <f>1.5*5</f>
        <v>7.5</v>
      </c>
      <c r="J18" s="130">
        <f t="array" ref="J18">IF(ISERROR(G18/I18),"",G18/I18)</f>
        <v>15.866666666666667</v>
      </c>
      <c r="K18" s="131">
        <f t="array" ref="K18">IF(ISERROR(G18/L18),"",G18/L18)</f>
        <v>7</v>
      </c>
      <c r="L18" s="129">
        <v>17</v>
      </c>
      <c r="M18" s="109">
        <f t="shared" si="1"/>
        <v>0.5</v>
      </c>
      <c r="N18" s="130">
        <f t="shared" si="4"/>
        <v>0</v>
      </c>
      <c r="O18" s="479"/>
      <c r="P18" s="479"/>
      <c r="Q18" s="479"/>
      <c r="R18" s="479"/>
      <c r="S18" s="479"/>
      <c r="T18" s="479"/>
      <c r="U18" s="47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42742</v>
      </c>
      <c r="G19" s="128">
        <f>90+27</f>
        <v>117</v>
      </c>
      <c r="H19" s="488">
        <f t="shared" si="0"/>
        <v>592.02</v>
      </c>
      <c r="I19" s="129">
        <f>1.5*5</f>
        <v>7.5</v>
      </c>
      <c r="J19" s="129">
        <f t="array" ref="J19">IF(ISERROR(G19/I19),"",G19/I19)</f>
        <v>15.6</v>
      </c>
      <c r="K19" s="131">
        <f t="array" ref="K19">IF(ISERROR(G19/L19),"",G19/L19)</f>
        <v>6.1578947368421053</v>
      </c>
      <c r="L19" s="129">
        <v>19</v>
      </c>
      <c r="M19" s="109">
        <f t="shared" si="1"/>
        <v>1.3421052631578947</v>
      </c>
      <c r="N19" s="129">
        <f t="shared" si="4"/>
        <v>0</v>
      </c>
      <c r="O19" s="479"/>
      <c r="P19" s="479"/>
      <c r="Q19" s="479"/>
      <c r="R19" s="479"/>
      <c r="S19" s="479"/>
      <c r="T19" s="479"/>
      <c r="U19" s="479"/>
      <c r="V19" s="132">
        <f t="shared" ref="V19:V21" si="5">SUM(X19:AA19)</f>
        <v>0</v>
      </c>
      <c r="W19" s="482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88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79"/>
      <c r="P20" s="479"/>
      <c r="Q20" s="479"/>
      <c r="R20" s="479"/>
      <c r="S20" s="479"/>
      <c r="T20" s="479"/>
      <c r="U20" s="47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88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9"/>
      <c r="P21" s="479"/>
      <c r="Q21" s="479"/>
      <c r="R21" s="479"/>
      <c r="S21" s="479"/>
      <c r="T21" s="479"/>
      <c r="U21" s="47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78" t="s">
        <v>190</v>
      </c>
      <c r="D22" s="108">
        <v>4.8</v>
      </c>
      <c r="E22" s="108"/>
      <c r="F22" s="127"/>
      <c r="G22" s="128"/>
      <c r="H22" s="488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9"/>
      <c r="P22" s="479"/>
      <c r="Q22" s="479"/>
      <c r="R22" s="479"/>
      <c r="S22" s="479"/>
      <c r="T22" s="479"/>
      <c r="U22" s="47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78" t="s">
        <v>187</v>
      </c>
      <c r="D23" s="108">
        <v>4.8</v>
      </c>
      <c r="E23" s="108"/>
      <c r="F23" s="127"/>
      <c r="G23" s="128"/>
      <c r="H23" s="488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9"/>
      <c r="P23" s="479"/>
      <c r="Q23" s="479"/>
      <c r="R23" s="479"/>
      <c r="S23" s="479"/>
      <c r="T23" s="479"/>
      <c r="U23" s="47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78" t="s">
        <v>179</v>
      </c>
      <c r="D24" s="108">
        <v>4.8</v>
      </c>
      <c r="E24" s="108"/>
      <c r="F24" s="127"/>
      <c r="G24" s="128"/>
      <c r="H24" s="488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9"/>
      <c r="P24" s="479"/>
      <c r="Q24" s="479"/>
      <c r="R24" s="479"/>
      <c r="S24" s="479"/>
      <c r="T24" s="479"/>
      <c r="U24" s="47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78" t="s">
        <v>199</v>
      </c>
      <c r="D25" s="108">
        <v>4.8</v>
      </c>
      <c r="E25" s="108"/>
      <c r="F25" s="127"/>
      <c r="G25" s="128"/>
      <c r="H25" s="488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9"/>
      <c r="P25" s="479"/>
      <c r="Q25" s="479"/>
      <c r="R25" s="479"/>
      <c r="S25" s="479"/>
      <c r="T25" s="479"/>
      <c r="U25" s="47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88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9"/>
      <c r="P26" s="479"/>
      <c r="Q26" s="479"/>
      <c r="R26" s="479"/>
      <c r="S26" s="479"/>
      <c r="T26" s="479"/>
      <c r="U26" s="47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88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9"/>
      <c r="P27" s="479"/>
      <c r="Q27" s="479"/>
      <c r="R27" s="479"/>
      <c r="S27" s="479"/>
      <c r="T27" s="479"/>
      <c r="U27" s="47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618" t="s">
        <v>201</v>
      </c>
      <c r="B28" s="619"/>
      <c r="C28" s="486" t="s">
        <v>202</v>
      </c>
      <c r="D28" s="143"/>
      <c r="E28" s="143"/>
      <c r="F28" s="144"/>
      <c r="G28" s="145">
        <f>SUM(G7:G27)</f>
        <v>1169</v>
      </c>
      <c r="H28" s="146">
        <f>SUM(H7:H27)</f>
        <v>5892.91</v>
      </c>
      <c r="I28" s="146">
        <f>SUM(I7:I27)</f>
        <v>64</v>
      </c>
      <c r="J28" s="130">
        <f t="array" ref="J28">IF(ISERROR(G28/I28),"",G28/I28)</f>
        <v>18.265625</v>
      </c>
      <c r="K28" s="146">
        <f>SUM(K7:K27)</f>
        <v>64.479876160990713</v>
      </c>
      <c r="L28" s="147"/>
      <c r="M28" s="146">
        <f t="shared" ref="M28:V28" si="10">SUM(M7:M27)</f>
        <v>-0.47987616099071229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80" t="s">
        <v>206</v>
      </c>
      <c r="C29" s="126" t="s">
        <v>199</v>
      </c>
      <c r="D29" s="108">
        <v>5.03</v>
      </c>
      <c r="E29" s="108"/>
      <c r="F29" s="127"/>
      <c r="G29" s="128"/>
      <c r="H29" s="488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83"/>
      <c r="P29" s="483"/>
      <c r="Q29" s="483"/>
      <c r="R29" s="483"/>
      <c r="S29" s="483"/>
      <c r="T29" s="483"/>
      <c r="U29" s="483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0" t="s">
        <v>425</v>
      </c>
      <c r="C30" s="187" t="s">
        <v>427</v>
      </c>
      <c r="D30" s="108">
        <v>5.03</v>
      </c>
      <c r="E30" s="108"/>
      <c r="F30" s="127"/>
      <c r="G30" s="128"/>
      <c r="H30" s="488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3"/>
      <c r="P30" s="483"/>
      <c r="Q30" s="483"/>
      <c r="R30" s="483"/>
      <c r="S30" s="483"/>
      <c r="T30" s="483"/>
      <c r="U30" s="483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80" t="s">
        <v>206</v>
      </c>
      <c r="C31" s="126" t="s">
        <v>186</v>
      </c>
      <c r="D31" s="108">
        <v>5.03</v>
      </c>
      <c r="E31" s="108"/>
      <c r="F31" s="127">
        <v>42741</v>
      </c>
      <c r="G31" s="128">
        <f>108*15+108</f>
        <v>1728</v>
      </c>
      <c r="H31" s="488">
        <f t="shared" si="11"/>
        <v>8691.84</v>
      </c>
      <c r="I31" s="129">
        <f>11*2</f>
        <v>22</v>
      </c>
      <c r="J31" s="130">
        <f t="array" ref="J31">IF(ISERROR(G31/I31),"",G31/I31)</f>
        <v>78.545454545454547</v>
      </c>
      <c r="K31" s="131">
        <f t="array" ref="K31">IF(ISERROR(G31/L31),"",G31/L31)</f>
        <v>33.230769230769234</v>
      </c>
      <c r="L31" s="129">
        <v>52</v>
      </c>
      <c r="M31" s="109">
        <f t="shared" ref="M31:M33" si="15">IF(ISERROR(I31-K31),"",I31-K31)</f>
        <v>-11.230769230769234</v>
      </c>
      <c r="N31" s="130">
        <f t="shared" ref="N31:N33" si="16">SUM(O31:U31)</f>
        <v>0</v>
      </c>
      <c r="O31" s="483"/>
      <c r="P31" s="483"/>
      <c r="Q31" s="483"/>
      <c r="R31" s="483"/>
      <c r="S31" s="483"/>
      <c r="T31" s="483"/>
      <c r="U31" s="483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0" t="s">
        <v>206</v>
      </c>
      <c r="C32" s="126" t="s">
        <v>203</v>
      </c>
      <c r="D32" s="108">
        <v>5.03</v>
      </c>
      <c r="E32" s="108"/>
      <c r="F32" s="127"/>
      <c r="G32" s="128"/>
      <c r="H32" s="488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3"/>
      <c r="P32" s="483"/>
      <c r="Q32" s="483"/>
      <c r="R32" s="483"/>
      <c r="S32" s="483"/>
      <c r="T32" s="483"/>
      <c r="U32" s="483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0" t="s">
        <v>206</v>
      </c>
      <c r="C33" s="126" t="s">
        <v>207</v>
      </c>
      <c r="D33" s="108">
        <v>5.03</v>
      </c>
      <c r="E33" s="108"/>
      <c r="F33" s="127"/>
      <c r="G33" s="128"/>
      <c r="H33" s="488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3"/>
      <c r="P33" s="483"/>
      <c r="Q33" s="483"/>
      <c r="R33" s="483"/>
      <c r="S33" s="483"/>
      <c r="T33" s="483"/>
      <c r="U33" s="483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0" t="s">
        <v>414</v>
      </c>
      <c r="C34" s="187" t="s">
        <v>415</v>
      </c>
      <c r="D34" s="108">
        <v>5.03</v>
      </c>
      <c r="E34" s="108"/>
      <c r="F34" s="127"/>
      <c r="G34" s="128"/>
      <c r="H34" s="488">
        <f t="shared" si="11"/>
        <v>0</v>
      </c>
      <c r="I34" s="129"/>
      <c r="J34" s="130"/>
      <c r="K34" s="131"/>
      <c r="L34" s="129">
        <v>52</v>
      </c>
      <c r="M34" s="109"/>
      <c r="N34" s="130"/>
      <c r="O34" s="483"/>
      <c r="P34" s="483"/>
      <c r="Q34" s="483"/>
      <c r="R34" s="483"/>
      <c r="S34" s="483"/>
      <c r="T34" s="483"/>
      <c r="U34" s="483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80" t="s">
        <v>414</v>
      </c>
      <c r="C35" s="187" t="s">
        <v>416</v>
      </c>
      <c r="D35" s="108">
        <v>5.03</v>
      </c>
      <c r="E35" s="108"/>
      <c r="F35" s="127"/>
      <c r="G35" s="128"/>
      <c r="H35" s="488">
        <f t="shared" si="11"/>
        <v>0</v>
      </c>
      <c r="I35" s="129"/>
      <c r="J35" s="130"/>
      <c r="K35" s="131"/>
      <c r="L35" s="129">
        <v>52</v>
      </c>
      <c r="M35" s="109"/>
      <c r="N35" s="130"/>
      <c r="O35" s="483"/>
      <c r="P35" s="483"/>
      <c r="Q35" s="483"/>
      <c r="R35" s="483"/>
      <c r="S35" s="483"/>
      <c r="T35" s="483"/>
      <c r="U35" s="483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0" t="s">
        <v>414</v>
      </c>
      <c r="C36" s="187" t="s">
        <v>61</v>
      </c>
      <c r="D36" s="108">
        <v>5.03</v>
      </c>
      <c r="E36" s="108"/>
      <c r="F36" s="127"/>
      <c r="G36" s="128"/>
      <c r="H36" s="488">
        <f t="shared" si="11"/>
        <v>0</v>
      </c>
      <c r="I36" s="129"/>
      <c r="J36" s="130"/>
      <c r="K36" s="131"/>
      <c r="L36" s="129">
        <v>52</v>
      </c>
      <c r="M36" s="109"/>
      <c r="N36" s="130"/>
      <c r="O36" s="483"/>
      <c r="P36" s="483"/>
      <c r="Q36" s="483"/>
      <c r="R36" s="483"/>
      <c r="S36" s="483"/>
      <c r="T36" s="483"/>
      <c r="U36" s="483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0" t="s">
        <v>208</v>
      </c>
      <c r="C37" s="126" t="s">
        <v>179</v>
      </c>
      <c r="D37" s="108">
        <v>5.08</v>
      </c>
      <c r="E37" s="108"/>
      <c r="F37" s="127"/>
      <c r="G37" s="128"/>
      <c r="H37" s="488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3"/>
      <c r="P37" s="483"/>
      <c r="Q37" s="483"/>
      <c r="R37" s="483"/>
      <c r="S37" s="483"/>
      <c r="T37" s="483"/>
      <c r="U37" s="483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0" t="s">
        <v>208</v>
      </c>
      <c r="C38" s="126" t="s">
        <v>204</v>
      </c>
      <c r="D38" s="108">
        <v>5.08</v>
      </c>
      <c r="E38" s="108"/>
      <c r="F38" s="127"/>
      <c r="G38" s="128"/>
      <c r="H38" s="488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3"/>
      <c r="P38" s="483"/>
      <c r="Q38" s="483"/>
      <c r="R38" s="483"/>
      <c r="S38" s="483"/>
      <c r="T38" s="483"/>
      <c r="U38" s="483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0" t="s">
        <v>208</v>
      </c>
      <c r="C39" s="126" t="s">
        <v>205</v>
      </c>
      <c r="D39" s="108">
        <v>5.08</v>
      </c>
      <c r="E39" s="108"/>
      <c r="F39" s="127"/>
      <c r="G39" s="128"/>
      <c r="H39" s="488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3"/>
      <c r="P39" s="483"/>
      <c r="Q39" s="483"/>
      <c r="R39" s="483"/>
      <c r="S39" s="483"/>
      <c r="T39" s="483"/>
      <c r="U39" s="483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0" t="s">
        <v>208</v>
      </c>
      <c r="C40" s="126" t="s">
        <v>186</v>
      </c>
      <c r="D40" s="108">
        <v>5.08</v>
      </c>
      <c r="E40" s="108"/>
      <c r="F40" s="127"/>
      <c r="G40" s="128"/>
      <c r="H40" s="488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3"/>
      <c r="P40" s="483"/>
      <c r="Q40" s="483"/>
      <c r="R40" s="483"/>
      <c r="S40" s="483"/>
      <c r="T40" s="483"/>
      <c r="U40" s="483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0" t="s">
        <v>208</v>
      </c>
      <c r="C41" s="126" t="s">
        <v>203</v>
      </c>
      <c r="D41" s="108">
        <v>5.08</v>
      </c>
      <c r="E41" s="108"/>
      <c r="F41" s="127"/>
      <c r="G41" s="128"/>
      <c r="H41" s="488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3"/>
      <c r="P41" s="483"/>
      <c r="Q41" s="483"/>
      <c r="R41" s="483"/>
      <c r="S41" s="483"/>
      <c r="T41" s="483"/>
      <c r="U41" s="483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0" t="s">
        <v>208</v>
      </c>
      <c r="C42" s="126" t="s">
        <v>199</v>
      </c>
      <c r="D42" s="108">
        <v>5.08</v>
      </c>
      <c r="E42" s="108"/>
      <c r="F42" s="127"/>
      <c r="G42" s="128"/>
      <c r="H42" s="488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9"/>
      <c r="P42" s="479"/>
      <c r="Q42" s="479"/>
      <c r="R42" s="479"/>
      <c r="S42" s="479"/>
      <c r="T42" s="479"/>
      <c r="U42" s="47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0" t="s">
        <v>208</v>
      </c>
      <c r="C43" s="126" t="s">
        <v>187</v>
      </c>
      <c r="D43" s="108">
        <v>5.08</v>
      </c>
      <c r="E43" s="108"/>
      <c r="F43" s="127"/>
      <c r="G43" s="128"/>
      <c r="H43" s="488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3"/>
      <c r="P43" s="483"/>
      <c r="Q43" s="483"/>
      <c r="R43" s="483"/>
      <c r="S43" s="483"/>
      <c r="T43" s="483"/>
      <c r="U43" s="483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80" t="s">
        <v>208</v>
      </c>
      <c r="C44" s="126" t="s">
        <v>207</v>
      </c>
      <c r="D44" s="108">
        <v>5.08</v>
      </c>
      <c r="E44" s="108"/>
      <c r="F44" s="127">
        <v>42742</v>
      </c>
      <c r="G44" s="128">
        <f>53+108*3+72</f>
        <v>449</v>
      </c>
      <c r="H44" s="488">
        <f t="shared" si="11"/>
        <v>2280.92</v>
      </c>
      <c r="I44" s="129">
        <f>2.5*3+6*3</f>
        <v>25.5</v>
      </c>
      <c r="J44" s="130">
        <f t="array" ref="J44">IF(ISERROR(G44/I44),"",G44/I44)</f>
        <v>17.607843137254903</v>
      </c>
      <c r="K44" s="131">
        <f t="array" ref="K44">IF(ISERROR(G44/L44),"",G44/L44)</f>
        <v>21.38095238095238</v>
      </c>
      <c r="L44" s="129">
        <v>21</v>
      </c>
      <c r="M44" s="109">
        <f t="shared" si="19"/>
        <v>4.1190476190476204</v>
      </c>
      <c r="N44" s="130">
        <f t="shared" si="20"/>
        <v>0</v>
      </c>
      <c r="O44" s="479"/>
      <c r="P44" s="479"/>
      <c r="Q44" s="479"/>
      <c r="R44" s="479"/>
      <c r="S44" s="479"/>
      <c r="T44" s="479"/>
      <c r="U44" s="479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0" t="s">
        <v>209</v>
      </c>
      <c r="C45" s="126" t="s">
        <v>194</v>
      </c>
      <c r="D45" s="108">
        <v>5.03</v>
      </c>
      <c r="E45" s="108"/>
      <c r="F45" s="127"/>
      <c r="G45" s="128"/>
      <c r="H45" s="488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3"/>
      <c r="P45" s="483"/>
      <c r="Q45" s="483"/>
      <c r="R45" s="483"/>
      <c r="S45" s="483"/>
      <c r="T45" s="483"/>
      <c r="U45" s="483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0" t="s">
        <v>209</v>
      </c>
      <c r="C46" s="126" t="s">
        <v>179</v>
      </c>
      <c r="D46" s="108">
        <v>5.03</v>
      </c>
      <c r="E46" s="108"/>
      <c r="F46" s="127"/>
      <c r="G46" s="128"/>
      <c r="H46" s="488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3"/>
      <c r="P46" s="483"/>
      <c r="Q46" s="483"/>
      <c r="R46" s="483"/>
      <c r="S46" s="483"/>
      <c r="T46" s="483"/>
      <c r="U46" s="483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0" t="s">
        <v>209</v>
      </c>
      <c r="C47" s="126" t="s">
        <v>195</v>
      </c>
      <c r="D47" s="108">
        <v>5.03</v>
      </c>
      <c r="E47" s="108"/>
      <c r="F47" s="127"/>
      <c r="G47" s="128"/>
      <c r="H47" s="488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3"/>
      <c r="P47" s="483"/>
      <c r="Q47" s="483"/>
      <c r="R47" s="483"/>
      <c r="S47" s="483"/>
      <c r="T47" s="483"/>
      <c r="U47" s="483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80" t="s">
        <v>209</v>
      </c>
      <c r="C48" s="126" t="s">
        <v>204</v>
      </c>
      <c r="D48" s="108">
        <v>5.03</v>
      </c>
      <c r="E48" s="108"/>
      <c r="F48" s="127"/>
      <c r="G48" s="128"/>
      <c r="H48" s="488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83"/>
      <c r="P48" s="483"/>
      <c r="Q48" s="483"/>
      <c r="R48" s="483"/>
      <c r="S48" s="483"/>
      <c r="T48" s="483"/>
      <c r="U48" s="483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0" t="s">
        <v>382</v>
      </c>
      <c r="C49" s="187" t="s">
        <v>383</v>
      </c>
      <c r="D49" s="108">
        <v>5.03</v>
      </c>
      <c r="E49" s="108"/>
      <c r="F49" s="127"/>
      <c r="G49" s="128"/>
      <c r="H49" s="488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3"/>
      <c r="P49" s="483"/>
      <c r="Q49" s="483"/>
      <c r="R49" s="483"/>
      <c r="S49" s="483"/>
      <c r="T49" s="483"/>
      <c r="U49" s="483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80" t="s">
        <v>382</v>
      </c>
      <c r="C50" s="187" t="s">
        <v>384</v>
      </c>
      <c r="D50" s="108">
        <v>5.03</v>
      </c>
      <c r="E50" s="108"/>
      <c r="F50" s="127"/>
      <c r="G50" s="128"/>
      <c r="H50" s="488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83"/>
      <c r="P50" s="483"/>
      <c r="Q50" s="483"/>
      <c r="R50" s="483"/>
      <c r="S50" s="483"/>
      <c r="T50" s="483"/>
      <c r="U50" s="483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80" t="s">
        <v>382</v>
      </c>
      <c r="C51" s="187" t="s">
        <v>389</v>
      </c>
      <c r="D51" s="108">
        <v>5.03</v>
      </c>
      <c r="E51" s="108"/>
      <c r="F51" s="127"/>
      <c r="G51" s="128"/>
      <c r="H51" s="488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83"/>
      <c r="P51" s="483"/>
      <c r="Q51" s="483"/>
      <c r="R51" s="483"/>
      <c r="S51" s="483"/>
      <c r="T51" s="483"/>
      <c r="U51" s="483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0" t="s">
        <v>382</v>
      </c>
      <c r="C52" s="187" t="s">
        <v>391</v>
      </c>
      <c r="D52" s="108">
        <v>5.03</v>
      </c>
      <c r="E52" s="108"/>
      <c r="F52" s="127"/>
      <c r="G52" s="128"/>
      <c r="H52" s="488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3"/>
      <c r="P52" s="483"/>
      <c r="Q52" s="483"/>
      <c r="R52" s="483"/>
      <c r="S52" s="483"/>
      <c r="T52" s="483"/>
      <c r="U52" s="483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0" t="s">
        <v>418</v>
      </c>
      <c r="C53" s="187" t="s">
        <v>364</v>
      </c>
      <c r="D53" s="108">
        <v>5.03</v>
      </c>
      <c r="E53" s="108"/>
      <c r="F53" s="127"/>
      <c r="G53" s="128"/>
      <c r="H53" s="488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3"/>
      <c r="P53" s="483"/>
      <c r="Q53" s="483"/>
      <c r="R53" s="483"/>
      <c r="S53" s="483"/>
      <c r="T53" s="483"/>
      <c r="U53" s="483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0" t="s">
        <v>418</v>
      </c>
      <c r="C54" s="187" t="s">
        <v>365</v>
      </c>
      <c r="D54" s="108">
        <v>5.03</v>
      </c>
      <c r="E54" s="108"/>
      <c r="F54" s="127"/>
      <c r="G54" s="128"/>
      <c r="H54" s="488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3"/>
      <c r="P54" s="483"/>
      <c r="Q54" s="483"/>
      <c r="R54" s="483"/>
      <c r="S54" s="483"/>
      <c r="T54" s="483"/>
      <c r="U54" s="483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0" t="s">
        <v>418</v>
      </c>
      <c r="C55" s="187" t="s">
        <v>366</v>
      </c>
      <c r="D55" s="108">
        <v>5.03</v>
      </c>
      <c r="E55" s="108"/>
      <c r="F55" s="127"/>
      <c r="G55" s="128"/>
      <c r="H55" s="488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3"/>
      <c r="P55" s="483"/>
      <c r="Q55" s="483"/>
      <c r="R55" s="483"/>
      <c r="S55" s="483"/>
      <c r="T55" s="483"/>
      <c r="U55" s="483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0" t="s">
        <v>418</v>
      </c>
      <c r="C56" s="187" t="s">
        <v>367</v>
      </c>
      <c r="D56" s="108">
        <v>5.03</v>
      </c>
      <c r="E56" s="108"/>
      <c r="F56" s="127"/>
      <c r="G56" s="128"/>
      <c r="H56" s="488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3"/>
      <c r="P56" s="483"/>
      <c r="Q56" s="483"/>
      <c r="R56" s="483"/>
      <c r="S56" s="483"/>
      <c r="T56" s="483"/>
      <c r="U56" s="483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88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9"/>
      <c r="P57" s="479"/>
      <c r="Q57" s="479"/>
      <c r="R57" s="479"/>
      <c r="S57" s="479"/>
      <c r="T57" s="479"/>
      <c r="U57" s="47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88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9"/>
      <c r="P58" s="479"/>
      <c r="Q58" s="479"/>
      <c r="R58" s="479"/>
      <c r="S58" s="479"/>
      <c r="T58" s="479"/>
      <c r="U58" s="47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88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9"/>
      <c r="P59" s="479"/>
      <c r="Q59" s="479"/>
      <c r="R59" s="479"/>
      <c r="S59" s="479"/>
      <c r="T59" s="479"/>
      <c r="U59" s="47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88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9"/>
      <c r="P60" s="479"/>
      <c r="Q60" s="479"/>
      <c r="R60" s="479"/>
      <c r="S60" s="479"/>
      <c r="T60" s="479"/>
      <c r="U60" s="47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88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9"/>
      <c r="P61" s="479"/>
      <c r="Q61" s="479"/>
      <c r="R61" s="479"/>
      <c r="S61" s="479"/>
      <c r="T61" s="479"/>
      <c r="U61" s="47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88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9"/>
      <c r="P62" s="479"/>
      <c r="Q62" s="479"/>
      <c r="R62" s="479"/>
      <c r="S62" s="479"/>
      <c r="T62" s="479"/>
      <c r="U62" s="47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88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9"/>
      <c r="P63" s="479"/>
      <c r="Q63" s="479"/>
      <c r="R63" s="479"/>
      <c r="S63" s="479"/>
      <c r="T63" s="479"/>
      <c r="U63" s="47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88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9"/>
      <c r="P64" s="479"/>
      <c r="Q64" s="479"/>
      <c r="R64" s="479"/>
      <c r="S64" s="479"/>
      <c r="T64" s="479"/>
      <c r="U64" s="47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88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9"/>
      <c r="P65" s="479"/>
      <c r="Q65" s="479"/>
      <c r="R65" s="479"/>
      <c r="S65" s="479"/>
      <c r="T65" s="479"/>
      <c r="U65" s="47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88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9"/>
      <c r="P66" s="479"/>
      <c r="Q66" s="479"/>
      <c r="R66" s="479"/>
      <c r="S66" s="479"/>
      <c r="T66" s="479"/>
      <c r="U66" s="47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88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79"/>
      <c r="P67" s="479"/>
      <c r="Q67" s="479"/>
      <c r="R67" s="479"/>
      <c r="S67" s="479"/>
      <c r="T67" s="479"/>
      <c r="U67" s="47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88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79"/>
      <c r="P68" s="479"/>
      <c r="Q68" s="479"/>
      <c r="R68" s="479"/>
      <c r="S68" s="479"/>
      <c r="T68" s="479"/>
      <c r="U68" s="47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42741</v>
      </c>
      <c r="G69" s="128">
        <f>100*11+102</f>
        <v>1202</v>
      </c>
      <c r="H69" s="488">
        <f t="shared" si="11"/>
        <v>6046.06</v>
      </c>
      <c r="I69" s="129">
        <f>11*4</f>
        <v>44</v>
      </c>
      <c r="J69" s="130">
        <f t="array" ref="J69">IF(ISERROR(G69/I69),"",G69/I69)</f>
        <v>27.318181818181817</v>
      </c>
      <c r="K69" s="131">
        <f t="array" ref="K69">IF(ISERROR(G69/L69),"",G69/L69)</f>
        <v>55.906976744186046</v>
      </c>
      <c r="L69" s="129">
        <v>21.5</v>
      </c>
      <c r="M69" s="109">
        <f t="shared" ref="M69:M70" si="26">IF(ISERROR(I69-K69),"",I69-K69)</f>
        <v>-11.906976744186046</v>
      </c>
      <c r="N69" s="130">
        <f t="shared" ref="N69:N70" si="27">SUM(O69:U69)</f>
        <v>0</v>
      </c>
      <c r="O69" s="479"/>
      <c r="P69" s="479"/>
      <c r="Q69" s="479"/>
      <c r="R69" s="479"/>
      <c r="S69" s="479"/>
      <c r="T69" s="479"/>
      <c r="U69" s="479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88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9"/>
      <c r="P70" s="479"/>
      <c r="Q70" s="479"/>
      <c r="R70" s="479"/>
      <c r="S70" s="479"/>
      <c r="T70" s="479"/>
      <c r="U70" s="47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88">
        <f t="shared" si="11"/>
        <v>0</v>
      </c>
      <c r="I71" s="129"/>
      <c r="J71" s="130"/>
      <c r="K71" s="131"/>
      <c r="L71" s="129"/>
      <c r="M71" s="109"/>
      <c r="N71" s="130"/>
      <c r="O71" s="479"/>
      <c r="P71" s="479"/>
      <c r="Q71" s="479"/>
      <c r="R71" s="479"/>
      <c r="S71" s="479"/>
      <c r="T71" s="479"/>
      <c r="U71" s="47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88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9"/>
      <c r="P72" s="479"/>
      <c r="Q72" s="479"/>
      <c r="R72" s="479"/>
      <c r="S72" s="479"/>
      <c r="T72" s="479"/>
      <c r="U72" s="47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88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9"/>
      <c r="P73" s="479"/>
      <c r="Q73" s="479"/>
      <c r="R73" s="479"/>
      <c r="S73" s="479"/>
      <c r="T73" s="479"/>
      <c r="U73" s="47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88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9"/>
      <c r="P74" s="479"/>
      <c r="Q74" s="479"/>
      <c r="R74" s="479"/>
      <c r="S74" s="479"/>
      <c r="T74" s="479"/>
      <c r="U74" s="47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88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9"/>
      <c r="P75" s="479"/>
      <c r="Q75" s="479"/>
      <c r="R75" s="479"/>
      <c r="S75" s="479"/>
      <c r="T75" s="479"/>
      <c r="U75" s="47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88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9"/>
      <c r="P76" s="479"/>
      <c r="Q76" s="479"/>
      <c r="R76" s="479"/>
      <c r="S76" s="479"/>
      <c r="T76" s="479"/>
      <c r="U76" s="47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88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9"/>
      <c r="P77" s="479"/>
      <c r="Q77" s="479"/>
      <c r="R77" s="479"/>
      <c r="S77" s="479"/>
      <c r="T77" s="479"/>
      <c r="U77" s="47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88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9"/>
      <c r="P78" s="479"/>
      <c r="Q78" s="479"/>
      <c r="R78" s="479"/>
      <c r="S78" s="479"/>
      <c r="T78" s="479"/>
      <c r="U78" s="47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88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9"/>
      <c r="P79" s="479"/>
      <c r="Q79" s="479"/>
      <c r="R79" s="479"/>
      <c r="S79" s="479"/>
      <c r="T79" s="479"/>
      <c r="U79" s="47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88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9"/>
      <c r="P80" s="479"/>
      <c r="Q80" s="479"/>
      <c r="R80" s="479"/>
      <c r="S80" s="479"/>
      <c r="T80" s="479"/>
      <c r="U80" s="47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88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9"/>
      <c r="P81" s="479"/>
      <c r="Q81" s="479"/>
      <c r="R81" s="479"/>
      <c r="S81" s="479"/>
      <c r="T81" s="479"/>
      <c r="U81" s="47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88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9"/>
      <c r="P82" s="479"/>
      <c r="Q82" s="479"/>
      <c r="R82" s="479"/>
      <c r="S82" s="479"/>
      <c r="T82" s="479"/>
      <c r="U82" s="47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88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9"/>
      <c r="P83" s="479"/>
      <c r="Q83" s="479"/>
      <c r="R83" s="479"/>
      <c r="S83" s="479"/>
      <c r="T83" s="479"/>
      <c r="U83" s="47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88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9"/>
      <c r="P84" s="479"/>
      <c r="Q84" s="479"/>
      <c r="R84" s="479"/>
      <c r="S84" s="479"/>
      <c r="T84" s="479"/>
      <c r="U84" s="47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88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9"/>
      <c r="P85" s="479"/>
      <c r="Q85" s="479"/>
      <c r="R85" s="479"/>
      <c r="S85" s="479"/>
      <c r="T85" s="479"/>
      <c r="U85" s="479"/>
      <c r="V85" s="132"/>
      <c r="W85" s="133"/>
      <c r="X85" s="132"/>
      <c r="Y85" s="132"/>
      <c r="Z85" s="132"/>
      <c r="AA85" s="132"/>
    </row>
    <row r="86" spans="1:27" ht="20.100000000000001" customHeight="1">
      <c r="A86" s="629" t="s">
        <v>216</v>
      </c>
      <c r="B86" s="629"/>
      <c r="C86" s="486" t="s">
        <v>202</v>
      </c>
      <c r="D86" s="143"/>
      <c r="E86" s="143"/>
      <c r="F86" s="144"/>
      <c r="G86" s="145">
        <f>SUM(G29:G85)</f>
        <v>3379</v>
      </c>
      <c r="H86" s="146">
        <f>SUM(H29:H85)</f>
        <v>17018.82</v>
      </c>
      <c r="I86" s="146">
        <f>SUM(I29:I85)</f>
        <v>91.5</v>
      </c>
      <c r="J86" s="130">
        <f t="array" ref="J86">IF(ISERROR(G86/I86),"",G86/I86)</f>
        <v>36.928961748633881</v>
      </c>
      <c r="K86" s="146">
        <f>SUM(K29:K85)</f>
        <v>110.51869835590766</v>
      </c>
      <c r="L86" s="147"/>
      <c r="M86" s="150">
        <f t="shared" ref="M86:V86" si="34">SUM(M29:M85)</f>
        <v>-19.018698355907659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0" t="s">
        <v>217</v>
      </c>
      <c r="C87" s="126" t="s">
        <v>179</v>
      </c>
      <c r="D87" s="108">
        <v>5.03</v>
      </c>
      <c r="E87" s="108"/>
      <c r="F87" s="127"/>
      <c r="G87" s="128"/>
      <c r="H87" s="488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9"/>
      <c r="P87" s="479"/>
      <c r="Q87" s="479"/>
      <c r="R87" s="479"/>
      <c r="S87" s="479"/>
      <c r="T87" s="479"/>
      <c r="U87" s="47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0" t="s">
        <v>217</v>
      </c>
      <c r="C88" s="126" t="s">
        <v>186</v>
      </c>
      <c r="D88" s="108">
        <v>5.03</v>
      </c>
      <c r="E88" s="108"/>
      <c r="F88" s="127"/>
      <c r="G88" s="128"/>
      <c r="H88" s="488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9"/>
      <c r="P88" s="479"/>
      <c r="Q88" s="479"/>
      <c r="R88" s="479"/>
      <c r="S88" s="479"/>
      <c r="T88" s="479"/>
      <c r="U88" s="47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0" t="s">
        <v>217</v>
      </c>
      <c r="C89" s="126" t="s">
        <v>204</v>
      </c>
      <c r="D89" s="108">
        <v>5.03</v>
      </c>
      <c r="E89" s="108"/>
      <c r="F89" s="127"/>
      <c r="G89" s="128"/>
      <c r="H89" s="488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9"/>
      <c r="P89" s="479"/>
      <c r="Q89" s="479"/>
      <c r="R89" s="479"/>
      <c r="S89" s="479"/>
      <c r="T89" s="479"/>
      <c r="U89" s="47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88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9"/>
      <c r="P90" s="479"/>
      <c r="Q90" s="479"/>
      <c r="R90" s="479"/>
      <c r="S90" s="479"/>
      <c r="T90" s="479"/>
      <c r="U90" s="47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88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9"/>
      <c r="P91" s="479"/>
      <c r="Q91" s="479"/>
      <c r="R91" s="479"/>
      <c r="S91" s="479"/>
      <c r="T91" s="479"/>
      <c r="U91" s="479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88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9"/>
      <c r="P92" s="479"/>
      <c r="Q92" s="479"/>
      <c r="R92" s="479"/>
      <c r="S92" s="479"/>
      <c r="T92" s="479"/>
      <c r="U92" s="479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88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9"/>
      <c r="P93" s="479"/>
      <c r="Q93" s="479"/>
      <c r="R93" s="479"/>
      <c r="S93" s="479"/>
      <c r="T93" s="479"/>
      <c r="U93" s="479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88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9"/>
      <c r="P94" s="479"/>
      <c r="Q94" s="479"/>
      <c r="R94" s="479"/>
      <c r="S94" s="479"/>
      <c r="T94" s="479"/>
      <c r="U94" s="47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88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9"/>
      <c r="P95" s="479"/>
      <c r="Q95" s="479"/>
      <c r="R95" s="479"/>
      <c r="S95" s="479"/>
      <c r="T95" s="479"/>
      <c r="U95" s="47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88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9"/>
      <c r="P96" s="479"/>
      <c r="Q96" s="479"/>
      <c r="R96" s="479"/>
      <c r="S96" s="479"/>
      <c r="T96" s="479"/>
      <c r="U96" s="47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88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9"/>
      <c r="P97" s="479"/>
      <c r="Q97" s="479"/>
      <c r="R97" s="479"/>
      <c r="S97" s="479"/>
      <c r="T97" s="479"/>
      <c r="U97" s="47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88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9"/>
      <c r="P98" s="479"/>
      <c r="Q98" s="479"/>
      <c r="R98" s="479"/>
      <c r="S98" s="479"/>
      <c r="T98" s="479"/>
      <c r="U98" s="47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88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9"/>
      <c r="P99" s="479"/>
      <c r="Q99" s="479"/>
      <c r="R99" s="479"/>
      <c r="S99" s="479"/>
      <c r="T99" s="479"/>
      <c r="U99" s="47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88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9"/>
      <c r="P100" s="479"/>
      <c r="Q100" s="479"/>
      <c r="R100" s="479"/>
      <c r="S100" s="479"/>
      <c r="T100" s="479"/>
      <c r="U100" s="47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88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9"/>
      <c r="P101" s="479"/>
      <c r="Q101" s="479"/>
      <c r="R101" s="479"/>
      <c r="S101" s="479"/>
      <c r="T101" s="479"/>
      <c r="U101" s="47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88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9"/>
      <c r="P102" s="479"/>
      <c r="Q102" s="479"/>
      <c r="R102" s="479"/>
      <c r="S102" s="479"/>
      <c r="T102" s="479"/>
      <c r="U102" s="47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88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9"/>
      <c r="P103" s="479"/>
      <c r="Q103" s="479"/>
      <c r="R103" s="479"/>
      <c r="S103" s="479"/>
      <c r="T103" s="479"/>
      <c r="U103" s="47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88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9"/>
      <c r="P104" s="479"/>
      <c r="Q104" s="479"/>
      <c r="R104" s="479"/>
      <c r="S104" s="479"/>
      <c r="T104" s="479"/>
      <c r="U104" s="47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88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9"/>
      <c r="P105" s="479"/>
      <c r="Q105" s="479"/>
      <c r="R105" s="479"/>
      <c r="S105" s="479"/>
      <c r="T105" s="479"/>
      <c r="U105" s="47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88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9"/>
      <c r="P106" s="479"/>
      <c r="Q106" s="479"/>
      <c r="R106" s="479"/>
      <c r="S106" s="479"/>
      <c r="T106" s="479"/>
      <c r="U106" s="47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0" t="s">
        <v>393</v>
      </c>
      <c r="C107" s="187" t="s">
        <v>395</v>
      </c>
      <c r="D107" s="108">
        <v>5</v>
      </c>
      <c r="E107" s="108"/>
      <c r="F107" s="127"/>
      <c r="G107" s="128"/>
      <c r="H107" s="488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79"/>
      <c r="P107" s="479"/>
      <c r="Q107" s="479"/>
      <c r="R107" s="479"/>
      <c r="S107" s="479"/>
      <c r="T107" s="479"/>
      <c r="U107" s="47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80" t="s">
        <v>393</v>
      </c>
      <c r="C108" s="187" t="s">
        <v>402</v>
      </c>
      <c r="D108" s="108">
        <v>5</v>
      </c>
      <c r="E108" s="108"/>
      <c r="F108" s="127"/>
      <c r="G108" s="128"/>
      <c r="H108" s="488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79"/>
      <c r="P108" s="479"/>
      <c r="Q108" s="479"/>
      <c r="R108" s="479"/>
      <c r="S108" s="479"/>
      <c r="T108" s="479"/>
      <c r="U108" s="47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0" t="s">
        <v>404</v>
      </c>
      <c r="C109" s="187" t="s">
        <v>405</v>
      </c>
      <c r="D109" s="108">
        <v>5</v>
      </c>
      <c r="E109" s="108"/>
      <c r="F109" s="127"/>
      <c r="G109" s="128"/>
      <c r="H109" s="488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79"/>
      <c r="P109" s="479"/>
      <c r="Q109" s="479"/>
      <c r="R109" s="479"/>
      <c r="S109" s="479"/>
      <c r="T109" s="479"/>
      <c r="U109" s="47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0" t="s">
        <v>492</v>
      </c>
      <c r="C110" s="187" t="s">
        <v>372</v>
      </c>
      <c r="D110" s="108">
        <v>5</v>
      </c>
      <c r="E110" s="108"/>
      <c r="F110" s="127"/>
      <c r="G110" s="128"/>
      <c r="H110" s="488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9"/>
      <c r="P110" s="479"/>
      <c r="Q110" s="479"/>
      <c r="R110" s="479"/>
      <c r="S110" s="479"/>
      <c r="T110" s="479"/>
      <c r="U110" s="47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80" t="s">
        <v>343</v>
      </c>
      <c r="C111" s="126" t="s">
        <v>345</v>
      </c>
      <c r="D111" s="108">
        <v>5</v>
      </c>
      <c r="E111" s="108"/>
      <c r="F111" s="127"/>
      <c r="G111" s="128"/>
      <c r="H111" s="488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9"/>
      <c r="P111" s="479"/>
      <c r="Q111" s="479"/>
      <c r="R111" s="479"/>
      <c r="S111" s="479"/>
      <c r="T111" s="479"/>
      <c r="U111" s="47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0" t="s">
        <v>343</v>
      </c>
      <c r="C112" s="126" t="s">
        <v>347</v>
      </c>
      <c r="D112" s="108">
        <v>5</v>
      </c>
      <c r="E112" s="108"/>
      <c r="F112" s="127"/>
      <c r="G112" s="128"/>
      <c r="H112" s="488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9"/>
      <c r="P112" s="479"/>
      <c r="Q112" s="479"/>
      <c r="R112" s="479"/>
      <c r="S112" s="479"/>
      <c r="T112" s="479"/>
      <c r="U112" s="47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88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9"/>
      <c r="P113" s="479"/>
      <c r="Q113" s="479"/>
      <c r="R113" s="479"/>
      <c r="S113" s="479"/>
      <c r="T113" s="479"/>
      <c r="U113" s="47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88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9"/>
      <c r="P114" s="479"/>
      <c r="Q114" s="479"/>
      <c r="R114" s="479"/>
      <c r="S114" s="479"/>
      <c r="T114" s="479"/>
      <c r="U114" s="47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88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9"/>
      <c r="P115" s="479"/>
      <c r="Q115" s="479"/>
      <c r="R115" s="479"/>
      <c r="S115" s="479"/>
      <c r="T115" s="479"/>
      <c r="U115" s="47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88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9"/>
      <c r="P116" s="479"/>
      <c r="Q116" s="479"/>
      <c r="R116" s="479"/>
      <c r="S116" s="479"/>
      <c r="T116" s="479"/>
      <c r="U116" s="47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88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9"/>
      <c r="P117" s="479"/>
      <c r="Q117" s="479"/>
      <c r="R117" s="479"/>
      <c r="S117" s="479"/>
      <c r="T117" s="479"/>
      <c r="U117" s="47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42740</v>
      </c>
      <c r="G118" s="128">
        <f>90+100-90</f>
        <v>100</v>
      </c>
      <c r="H118" s="488">
        <f t="shared" si="36"/>
        <v>507</v>
      </c>
      <c r="I118" s="129">
        <f>1.5*4</f>
        <v>6</v>
      </c>
      <c r="J118" s="130">
        <f t="array" ref="J118">IF(ISERROR(G118/I118),"",G118/I118)</f>
        <v>16.666666666666668</v>
      </c>
      <c r="K118" s="131">
        <f t="array" ref="K118">IF(ISERROR(G118/L118),"",G118/L118)</f>
        <v>11.111111111111111</v>
      </c>
      <c r="L118" s="129">
        <v>9</v>
      </c>
      <c r="M118" s="109">
        <f t="shared" ref="M118:M120" si="46">IF(ISERROR(I118-K118),"",I118-K118)</f>
        <v>-5.1111111111111107</v>
      </c>
      <c r="N118" s="130">
        <f t="shared" ref="N118:N120" si="47">SUM(O118:U118)</f>
        <v>0</v>
      </c>
      <c r="O118" s="479"/>
      <c r="P118" s="479"/>
      <c r="Q118" s="479"/>
      <c r="R118" s="479"/>
      <c r="S118" s="479"/>
      <c r="T118" s="479"/>
      <c r="U118" s="479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88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9"/>
      <c r="P119" s="479"/>
      <c r="Q119" s="479"/>
      <c r="R119" s="479"/>
      <c r="S119" s="479"/>
      <c r="T119" s="479"/>
      <c r="U119" s="47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88">
        <f t="shared" si="36"/>
        <v>0</v>
      </c>
      <c r="I120" s="129"/>
      <c r="J120" s="130" t="str">
        <f t="array" ref="J120">IF(ISERROR(G120/I120),"",G120/I120)</f>
        <v/>
      </c>
      <c r="K120" s="488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9"/>
      <c r="P120" s="479"/>
      <c r="Q120" s="479"/>
      <c r="R120" s="479"/>
      <c r="S120" s="479"/>
      <c r="T120" s="479"/>
      <c r="U120" s="47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618" t="s">
        <v>224</v>
      </c>
      <c r="B121" s="619"/>
      <c r="C121" s="486" t="s">
        <v>202</v>
      </c>
      <c r="D121" s="143"/>
      <c r="E121" s="143"/>
      <c r="F121" s="144"/>
      <c r="G121" s="145">
        <f>SUM(G87:G120)</f>
        <v>100</v>
      </c>
      <c r="H121" s="146">
        <f>SUM(H87:H120)</f>
        <v>507</v>
      </c>
      <c r="I121" s="146">
        <f>SUM(I87:I120)</f>
        <v>6</v>
      </c>
      <c r="J121" s="130">
        <f t="array" ref="J121">IF(ISERROR(G121/I121),"",G121/I121)</f>
        <v>16.666666666666668</v>
      </c>
      <c r="K121" s="146">
        <f>SUM(K87:K120)</f>
        <v>11.111111111111111</v>
      </c>
      <c r="L121" s="147"/>
      <c r="M121" s="150">
        <f t="shared" ref="M121:V121" si="50">SUM(M87:M120)</f>
        <v>-5.1111111111111107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>
        <v>42742</v>
      </c>
      <c r="G122" s="128">
        <f>90*6+90</f>
        <v>630</v>
      </c>
      <c r="H122" s="488">
        <f t="shared" ref="H122:H136" si="51">D122*G122</f>
        <v>3168.9</v>
      </c>
      <c r="I122" s="129">
        <f>5.5*2+5.5*3</f>
        <v>27.5</v>
      </c>
      <c r="J122" s="130">
        <f t="array" ref="J122">IF(ISERROR(G122/I122),"",G122/I122)</f>
        <v>22.90909090909091</v>
      </c>
      <c r="K122" s="131">
        <f t="array" ref="K122">IF(ISERROR(G122/L122),"",G122/L122)</f>
        <v>25.2</v>
      </c>
      <c r="L122" s="129">
        <v>25</v>
      </c>
      <c r="M122" s="109">
        <f t="shared" ref="M122:M136" si="52">IF(ISERROR(I122-K122),"",I122-K122)</f>
        <v>2.3000000000000007</v>
      </c>
      <c r="N122" s="130">
        <f t="shared" ref="N122:N136" si="53">SUM(O122:U122)</f>
        <v>0</v>
      </c>
      <c r="O122" s="479"/>
      <c r="P122" s="479"/>
      <c r="Q122" s="479"/>
      <c r="R122" s="479"/>
      <c r="S122" s="479"/>
      <c r="T122" s="479"/>
      <c r="U122" s="479"/>
      <c r="V122" s="132">
        <f t="shared" ref="V122:V136" si="54">SUM(X122:AA122)</f>
        <v>0</v>
      </c>
      <c r="W122" s="133">
        <f t="shared" si="49"/>
        <v>0</v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88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9"/>
      <c r="P123" s="479"/>
      <c r="Q123" s="479"/>
      <c r="R123" s="479"/>
      <c r="S123" s="479"/>
      <c r="T123" s="479"/>
      <c r="U123" s="47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88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9"/>
      <c r="P124" s="479"/>
      <c r="Q124" s="479"/>
      <c r="R124" s="479"/>
      <c r="S124" s="479"/>
      <c r="T124" s="479"/>
      <c r="U124" s="47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88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9"/>
      <c r="P125" s="479"/>
      <c r="Q125" s="479"/>
      <c r="R125" s="479"/>
      <c r="S125" s="479"/>
      <c r="T125" s="479"/>
      <c r="U125" s="47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84" t="s">
        <v>203</v>
      </c>
      <c r="D126" s="108">
        <v>5.03</v>
      </c>
      <c r="E126" s="108"/>
      <c r="F126" s="127"/>
      <c r="G126" s="128"/>
      <c r="H126" s="488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9"/>
      <c r="P126" s="479"/>
      <c r="Q126" s="479"/>
      <c r="R126" s="479"/>
      <c r="S126" s="479"/>
      <c r="T126" s="479"/>
      <c r="U126" s="47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88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9"/>
      <c r="P127" s="479"/>
      <c r="Q127" s="479"/>
      <c r="R127" s="479"/>
      <c r="S127" s="479"/>
      <c r="T127" s="479"/>
      <c r="U127" s="47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88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9"/>
      <c r="P128" s="479"/>
      <c r="Q128" s="479"/>
      <c r="R128" s="479"/>
      <c r="S128" s="479"/>
      <c r="T128" s="479"/>
      <c r="U128" s="47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84" t="s">
        <v>228</v>
      </c>
      <c r="D129" s="108">
        <v>5.03</v>
      </c>
      <c r="E129" s="108"/>
      <c r="F129" s="127"/>
      <c r="G129" s="128"/>
      <c r="H129" s="488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9"/>
      <c r="P129" s="479"/>
      <c r="Q129" s="479"/>
      <c r="R129" s="479"/>
      <c r="S129" s="479"/>
      <c r="T129" s="479"/>
      <c r="U129" s="47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84" t="s">
        <v>212</v>
      </c>
      <c r="D130" s="108">
        <v>5.03</v>
      </c>
      <c r="E130" s="108"/>
      <c r="F130" s="127"/>
      <c r="G130" s="128"/>
      <c r="H130" s="488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9"/>
      <c r="P130" s="479"/>
      <c r="Q130" s="479"/>
      <c r="R130" s="479"/>
      <c r="S130" s="479"/>
      <c r="T130" s="479"/>
      <c r="U130" s="47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84" t="s">
        <v>203</v>
      </c>
      <c r="D131" s="108">
        <v>5.03</v>
      </c>
      <c r="E131" s="108"/>
      <c r="F131" s="127"/>
      <c r="G131" s="128"/>
      <c r="H131" s="488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9"/>
      <c r="P131" s="479"/>
      <c r="Q131" s="479"/>
      <c r="R131" s="479"/>
      <c r="S131" s="479"/>
      <c r="T131" s="479"/>
      <c r="U131" s="47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84" t="s">
        <v>186</v>
      </c>
      <c r="D132" s="108">
        <v>5.03</v>
      </c>
      <c r="E132" s="108"/>
      <c r="F132" s="127"/>
      <c r="G132" s="128"/>
      <c r="H132" s="488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9"/>
      <c r="P132" s="479"/>
      <c r="Q132" s="479"/>
      <c r="R132" s="479"/>
      <c r="S132" s="479"/>
      <c r="T132" s="479"/>
      <c r="U132" s="47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84" t="s">
        <v>228</v>
      </c>
      <c r="D133" s="108">
        <v>5.03</v>
      </c>
      <c r="E133" s="108"/>
      <c r="F133" s="127"/>
      <c r="G133" s="128"/>
      <c r="H133" s="488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9"/>
      <c r="P133" s="479"/>
      <c r="Q133" s="479"/>
      <c r="R133" s="479"/>
      <c r="S133" s="479"/>
      <c r="T133" s="479"/>
      <c r="U133" s="47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84" t="s">
        <v>199</v>
      </c>
      <c r="D134" s="108">
        <v>5.03</v>
      </c>
      <c r="E134" s="108"/>
      <c r="F134" s="127"/>
      <c r="G134" s="128"/>
      <c r="H134" s="488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9"/>
      <c r="P134" s="479"/>
      <c r="Q134" s="479"/>
      <c r="R134" s="479"/>
      <c r="S134" s="479"/>
      <c r="T134" s="479"/>
      <c r="U134" s="47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88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9"/>
      <c r="P135" s="479"/>
      <c r="Q135" s="479"/>
      <c r="R135" s="479"/>
      <c r="S135" s="479"/>
      <c r="T135" s="479"/>
      <c r="U135" s="47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88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9"/>
      <c r="P136" s="479"/>
      <c r="Q136" s="479"/>
      <c r="R136" s="479"/>
      <c r="S136" s="479"/>
      <c r="T136" s="479"/>
      <c r="U136" s="47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618" t="s">
        <v>231</v>
      </c>
      <c r="B137" s="619"/>
      <c r="C137" s="486" t="s">
        <v>202</v>
      </c>
      <c r="D137" s="143"/>
      <c r="E137" s="143"/>
      <c r="F137" s="144"/>
      <c r="G137" s="145">
        <f>SUM(G122:G136)</f>
        <v>630</v>
      </c>
      <c r="H137" s="146">
        <f>SUM(H122:H136)</f>
        <v>3168.9</v>
      </c>
      <c r="I137" s="146">
        <f>SUM(I122:I136)</f>
        <v>27.5</v>
      </c>
      <c r="J137" s="130">
        <f t="array" ref="J137">IF(ISERROR(G137/I137),"",G137/I137)</f>
        <v>22.90909090909091</v>
      </c>
      <c r="K137" s="146">
        <f>SUM(K122:K136)</f>
        <v>25.2</v>
      </c>
      <c r="L137" s="147"/>
      <c r="M137" s="150">
        <f>SUM(M122:M136)</f>
        <v>2.3000000000000007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88">
        <f t="shared" ref="H138:H147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9"/>
      <c r="P138" s="479"/>
      <c r="Q138" s="479"/>
      <c r="R138" s="479"/>
      <c r="S138" s="479"/>
      <c r="T138" s="479"/>
      <c r="U138" s="47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88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9"/>
      <c r="P139" s="479"/>
      <c r="Q139" s="479"/>
      <c r="R139" s="479"/>
      <c r="S139" s="479"/>
      <c r="T139" s="479"/>
      <c r="U139" s="47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88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9"/>
      <c r="P140" s="479"/>
      <c r="Q140" s="479"/>
      <c r="R140" s="479"/>
      <c r="S140" s="479"/>
      <c r="T140" s="479"/>
      <c r="U140" s="47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88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9"/>
      <c r="P141" s="479"/>
      <c r="Q141" s="479"/>
      <c r="R141" s="479"/>
      <c r="S141" s="479"/>
      <c r="T141" s="479"/>
      <c r="U141" s="47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88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9"/>
      <c r="P142" s="479"/>
      <c r="Q142" s="479"/>
      <c r="R142" s="479"/>
      <c r="S142" s="479"/>
      <c r="T142" s="479"/>
      <c r="U142" s="47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88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9"/>
      <c r="P143" s="479"/>
      <c r="Q143" s="479"/>
      <c r="R143" s="479"/>
      <c r="S143" s="479"/>
      <c r="T143" s="479"/>
      <c r="U143" s="479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488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9"/>
      <c r="P144" s="479"/>
      <c r="Q144" s="479"/>
      <c r="R144" s="479"/>
      <c r="S144" s="479"/>
      <c r="T144" s="479"/>
      <c r="U144" s="479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30400021</v>
      </c>
      <c r="B145" s="134" t="s">
        <v>439</v>
      </c>
      <c r="C145" s="187" t="s">
        <v>53</v>
      </c>
      <c r="D145" s="108">
        <v>5.04</v>
      </c>
      <c r="E145" s="108"/>
      <c r="F145" s="127">
        <v>42743</v>
      </c>
      <c r="G145" s="128">
        <f>90*6+46</f>
        <v>586</v>
      </c>
      <c r="H145" s="488">
        <f t="shared" si="55"/>
        <v>2953.44</v>
      </c>
      <c r="I145" s="129">
        <f>10*4</f>
        <v>40</v>
      </c>
      <c r="J145" s="130"/>
      <c r="K145" s="131">
        <f t="array" ref="K145">IF(ISERROR(G145/L145),"",G145/L145)</f>
        <v>43.407407407407405</v>
      </c>
      <c r="L145" s="129">
        <v>13.5</v>
      </c>
      <c r="M145" s="109"/>
      <c r="N145" s="130"/>
      <c r="O145" s="479"/>
      <c r="P145" s="479"/>
      <c r="Q145" s="479"/>
      <c r="R145" s="479"/>
      <c r="S145" s="479"/>
      <c r="T145" s="479"/>
      <c r="U145" s="479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30400018</v>
      </c>
      <c r="B146" s="134" t="s">
        <v>439</v>
      </c>
      <c r="C146" s="126" t="s">
        <v>181</v>
      </c>
      <c r="D146" s="108">
        <v>5.04</v>
      </c>
      <c r="E146" s="108"/>
      <c r="F146" s="127"/>
      <c r="G146" s="128"/>
      <c r="H146" s="488">
        <f t="shared" si="55"/>
        <v>0</v>
      </c>
      <c r="I146" s="129"/>
      <c r="J146" s="130"/>
      <c r="K146" s="131">
        <f t="array" ref="K146">IF(ISERROR(G146/L146),"",G146/L146)</f>
        <v>0</v>
      </c>
      <c r="L146" s="129">
        <v>13.5</v>
      </c>
      <c r="M146" s="109"/>
      <c r="N146" s="130"/>
      <c r="O146" s="479"/>
      <c r="P146" s="479"/>
      <c r="Q146" s="479"/>
      <c r="R146" s="479"/>
      <c r="S146" s="479"/>
      <c r="T146" s="479"/>
      <c r="U146" s="479"/>
      <c r="V146" s="132"/>
      <c r="W146" s="133"/>
      <c r="X146" s="132"/>
      <c r="Y146" s="132"/>
      <c r="Z146" s="132"/>
      <c r="AA146" s="132"/>
    </row>
    <row r="147" spans="1:27" ht="20.100000000000001" hidden="1" customHeight="1">
      <c r="A147" s="300">
        <v>30400022</v>
      </c>
      <c r="B147" s="134" t="s">
        <v>232</v>
      </c>
      <c r="C147" s="126" t="s">
        <v>181</v>
      </c>
      <c r="D147" s="108">
        <v>5.04</v>
      </c>
      <c r="E147" s="108"/>
      <c r="F147" s="127"/>
      <c r="G147" s="128"/>
      <c r="H147" s="488">
        <f t="shared" si="55"/>
        <v>0</v>
      </c>
      <c r="I147" s="129"/>
      <c r="J147" s="130" t="str">
        <f t="array" ref="J147">IF(ISERROR(G147/I147),"",G147/I147)</f>
        <v/>
      </c>
      <c r="K147" s="131">
        <f t="array" ref="K147">IF(ISERROR(G147/L147),"",G147/L147)</f>
        <v>0</v>
      </c>
      <c r="L147" s="129">
        <v>22</v>
      </c>
      <c r="M147" s="109">
        <f t="shared" ref="M147" si="59">IF(ISERROR(I147-K147),"",I147-K147)</f>
        <v>0</v>
      </c>
      <c r="N147" s="130">
        <f t="shared" ref="N147" si="60">SUM(O147:U147)</f>
        <v>0</v>
      </c>
      <c r="O147" s="479"/>
      <c r="P147" s="479"/>
      <c r="Q147" s="479"/>
      <c r="R147" s="479"/>
      <c r="S147" s="479"/>
      <c r="T147" s="479"/>
      <c r="U147" s="479"/>
      <c r="V147" s="132">
        <f t="shared" ref="V147" si="61">SUM(X147:AA147)</f>
        <v>0</v>
      </c>
      <c r="W147" s="133" t="str">
        <f t="shared" ref="W147:W152" si="62">IF(ISERROR(V147/G147),"",V147/G147)</f>
        <v/>
      </c>
      <c r="X147" s="132"/>
      <c r="Y147" s="132"/>
      <c r="Z147" s="132"/>
      <c r="AA147" s="132"/>
    </row>
    <row r="148" spans="1:27" ht="20.100000000000001" customHeight="1">
      <c r="A148" s="618" t="s">
        <v>234</v>
      </c>
      <c r="B148" s="619"/>
      <c r="C148" s="486" t="s">
        <v>202</v>
      </c>
      <c r="D148" s="143"/>
      <c r="E148" s="143"/>
      <c r="F148" s="144"/>
      <c r="G148" s="145">
        <f>SUM(G138:G147)</f>
        <v>586</v>
      </c>
      <c r="H148" s="146">
        <f>SUM(H138:H147)</f>
        <v>2953.44</v>
      </c>
      <c r="I148" s="146">
        <f>SUM(I138:I147)</f>
        <v>40</v>
      </c>
      <c r="J148" s="130">
        <f t="array" ref="J148">IF(ISERROR(G148/I148),"",G148/I148)</f>
        <v>14.65</v>
      </c>
      <c r="K148" s="146">
        <f>SUM(K138:K147)</f>
        <v>43.407407407407405</v>
      </c>
      <c r="L148" s="147"/>
      <c r="M148" s="150">
        <f>SUM(M138:M147)</f>
        <v>0</v>
      </c>
      <c r="N148" s="146">
        <f>SUM(N138:N147)</f>
        <v>0</v>
      </c>
      <c r="O148" s="148">
        <f>SUM(O138:O147)</f>
        <v>0</v>
      </c>
      <c r="P148" s="148">
        <f>SUM(P138:P147)</f>
        <v>0</v>
      </c>
      <c r="Q148" s="148">
        <f>SUM(Q138:Q147)</f>
        <v>0</v>
      </c>
      <c r="R148" s="148"/>
      <c r="S148" s="148">
        <f>SUM(S138:S147)</f>
        <v>0</v>
      </c>
      <c r="T148" s="148">
        <f>SUM(T138:T147)</f>
        <v>0</v>
      </c>
      <c r="U148" s="148">
        <f>SUM(U138:U147)</f>
        <v>0</v>
      </c>
      <c r="V148" s="149">
        <f>SUM(V138:V147)</f>
        <v>0</v>
      </c>
      <c r="W148" s="133">
        <f t="shared" si="62"/>
        <v>0</v>
      </c>
      <c r="X148" s="149">
        <f>SUM(X138:X147)</f>
        <v>0</v>
      </c>
      <c r="Y148" s="149">
        <f>SUM(Y138:Y147)</f>
        <v>0</v>
      </c>
      <c r="Z148" s="149">
        <f>SUM(Z138:Z147)</f>
        <v>0</v>
      </c>
      <c r="AA148" s="149">
        <f>SUM(AA138:AA147)</f>
        <v>0</v>
      </c>
    </row>
    <row r="149" spans="1:27" ht="20.100000000000001" hidden="1" customHeight="1">
      <c r="A149" s="299">
        <v>30700013</v>
      </c>
      <c r="B149" s="298" t="s">
        <v>103</v>
      </c>
      <c r="C149" s="478"/>
      <c r="D149" s="108">
        <v>3.65</v>
      </c>
      <c r="E149" s="108"/>
      <c r="F149" s="153"/>
      <c r="G149" s="128"/>
      <c r="H149" s="488">
        <f t="shared" ref="H149:H162" si="63">D149*G149</f>
        <v>0</v>
      </c>
      <c r="I149" s="129"/>
      <c r="J149" s="130" t="str">
        <f t="array" ref="J149">IF(ISERROR(G149/I149),"",G149/I149)</f>
        <v/>
      </c>
      <c r="K149" s="488">
        <f t="array" ref="K149">IF(ISERROR(G149/L149),"",G149/L149)</f>
        <v>0</v>
      </c>
      <c r="L149" s="129">
        <v>5</v>
      </c>
      <c r="M149" s="109">
        <f t="shared" ref="M149:M152" si="64">IF(ISERROR(I149-K149),"",I149-K149)</f>
        <v>0</v>
      </c>
      <c r="N149" s="130">
        <f t="shared" ref="N149:N152" si="65">SUM(O149:U149)</f>
        <v>0</v>
      </c>
      <c r="O149" s="479"/>
      <c r="P149" s="479"/>
      <c r="Q149" s="479"/>
      <c r="R149" s="479"/>
      <c r="S149" s="479"/>
      <c r="T149" s="479"/>
      <c r="U149" s="479"/>
      <c r="V149" s="132">
        <f t="shared" ref="V149:V152" si="66">SUM(X149:AA149)</f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30700014</v>
      </c>
      <c r="B150" s="141" t="s">
        <v>236</v>
      </c>
      <c r="C150" s="478"/>
      <c r="D150" s="108">
        <v>6.58</v>
      </c>
      <c r="E150" s="108"/>
      <c r="F150" s="127">
        <v>42738</v>
      </c>
      <c r="G150" s="128">
        <f>36*6</f>
        <v>216</v>
      </c>
      <c r="H150" s="488">
        <f t="shared" si="63"/>
        <v>1421.28</v>
      </c>
      <c r="I150" s="129">
        <v>43</v>
      </c>
      <c r="J150" s="130">
        <f t="array" ref="J150">IF(ISERROR(G150/I150),"",G150/I150)</f>
        <v>5.0232558139534884</v>
      </c>
      <c r="K150" s="131">
        <f t="array" ref="K150">IF(ISERROR(G150/L150),"",G150/L150)</f>
        <v>43.2</v>
      </c>
      <c r="L150" s="129">
        <v>5</v>
      </c>
      <c r="M150" s="109">
        <f t="shared" si="64"/>
        <v>-0.20000000000000284</v>
      </c>
      <c r="N150" s="130">
        <f t="shared" si="65"/>
        <v>0</v>
      </c>
      <c r="O150" s="479"/>
      <c r="P150" s="479"/>
      <c r="Q150" s="479"/>
      <c r="R150" s="479"/>
      <c r="S150" s="479"/>
      <c r="T150" s="479"/>
      <c r="U150" s="479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30700016</v>
      </c>
      <c r="B151" s="141" t="s">
        <v>237</v>
      </c>
      <c r="C151" s="478"/>
      <c r="D151" s="108">
        <v>7.8</v>
      </c>
      <c r="E151" s="108"/>
      <c r="F151" s="127">
        <v>42738</v>
      </c>
      <c r="G151" s="128">
        <v>29</v>
      </c>
      <c r="H151" s="488">
        <f t="shared" si="63"/>
        <v>226.2</v>
      </c>
      <c r="I151" s="129">
        <v>6.5</v>
      </c>
      <c r="J151" s="130">
        <f t="array" ref="J151">IF(ISERROR(G151/I151),"",G151/I151)</f>
        <v>4.4615384615384617</v>
      </c>
      <c r="K151" s="131">
        <f t="array" ref="K151">IF(ISERROR(G151/L151),"",G151/L151)</f>
        <v>6.304347826086957</v>
      </c>
      <c r="L151" s="129">
        <v>4.5999999999999996</v>
      </c>
      <c r="M151" s="109">
        <f t="shared" si="64"/>
        <v>0.19565217391304301</v>
      </c>
      <c r="N151" s="130">
        <f t="shared" si="65"/>
        <v>0</v>
      </c>
      <c r="O151" s="479"/>
      <c r="P151" s="479"/>
      <c r="Q151" s="479"/>
      <c r="R151" s="479"/>
      <c r="S151" s="479"/>
      <c r="T151" s="479"/>
      <c r="U151" s="479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30700017</v>
      </c>
      <c r="B152" s="141" t="s">
        <v>238</v>
      </c>
      <c r="C152" s="478"/>
      <c r="D152" s="108">
        <v>4.4000000000000004</v>
      </c>
      <c r="E152" s="108"/>
      <c r="F152" s="127"/>
      <c r="G152" s="128"/>
      <c r="H152" s="488">
        <f t="shared" si="63"/>
        <v>0</v>
      </c>
      <c r="I152" s="129"/>
      <c r="J152" s="130" t="str">
        <f t="array" ref="J152">IF(ISERROR(G152/I152),"",G152/I152)</f>
        <v/>
      </c>
      <c r="K152" s="131">
        <f t="array" ref="K152">IF(ISERROR(G152/L152),"",G152/L152)</f>
        <v>0</v>
      </c>
      <c r="L152" s="129">
        <v>5.8</v>
      </c>
      <c r="M152" s="109">
        <f t="shared" si="64"/>
        <v>0</v>
      </c>
      <c r="N152" s="130">
        <f t="shared" si="65"/>
        <v>0</v>
      </c>
      <c r="O152" s="479"/>
      <c r="P152" s="479"/>
      <c r="Q152" s="479"/>
      <c r="R152" s="479"/>
      <c r="S152" s="479"/>
      <c r="T152" s="479"/>
      <c r="U152" s="479"/>
      <c r="V152" s="132">
        <f t="shared" si="66"/>
        <v>0</v>
      </c>
      <c r="W152" s="133" t="str">
        <f t="shared" si="62"/>
        <v/>
      </c>
      <c r="X152" s="132"/>
      <c r="Y152" s="132"/>
      <c r="Z152" s="132"/>
      <c r="AA152" s="132"/>
    </row>
    <row r="153" spans="1:27" ht="20.100000000000001" hidden="1" customHeight="1">
      <c r="A153" s="299">
        <v>30700001</v>
      </c>
      <c r="B153" s="127" t="s">
        <v>359</v>
      </c>
      <c r="C153" s="188"/>
      <c r="D153" s="108"/>
      <c r="E153" s="108"/>
      <c r="F153" s="127"/>
      <c r="G153" s="128"/>
      <c r="H153" s="488">
        <f t="shared" si="63"/>
        <v>0</v>
      </c>
      <c r="I153" s="129"/>
      <c r="J153" s="130"/>
      <c r="K153" s="131"/>
      <c r="L153" s="129">
        <v>6</v>
      </c>
      <c r="M153" s="109"/>
      <c r="N153" s="130"/>
      <c r="O153" s="479"/>
      <c r="P153" s="479"/>
      <c r="Q153" s="479"/>
      <c r="R153" s="479"/>
      <c r="S153" s="479"/>
      <c r="T153" s="479"/>
      <c r="U153" s="479"/>
      <c r="V153" s="132"/>
      <c r="W153" s="133"/>
      <c r="X153" s="132"/>
      <c r="Y153" s="132"/>
      <c r="Z153" s="132"/>
      <c r="AA153" s="132"/>
    </row>
    <row r="154" spans="1:27" ht="20.100000000000001" hidden="1" customHeight="1">
      <c r="A154" s="305"/>
      <c r="B154" s="478" t="s">
        <v>239</v>
      </c>
      <c r="C154" s="478" t="s">
        <v>179</v>
      </c>
      <c r="D154" s="108">
        <v>6.04</v>
      </c>
      <c r="E154" s="108"/>
      <c r="F154" s="127"/>
      <c r="G154" s="128"/>
      <c r="H154" s="488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ref="M154:M155" si="67">IF(ISERROR(I154-K154),"",I154-K154)</f>
        <v>0</v>
      </c>
      <c r="N154" s="130">
        <f t="shared" ref="N154:N155" si="68">SUM(O154:U154)</f>
        <v>0</v>
      </c>
      <c r="O154" s="479"/>
      <c r="P154" s="479"/>
      <c r="Q154" s="479"/>
      <c r="R154" s="479"/>
      <c r="S154" s="479"/>
      <c r="T154" s="479"/>
      <c r="U154" s="479"/>
      <c r="V154" s="132">
        <f t="shared" ref="V154:V155" si="69">SUM(X154:AA154)</f>
        <v>0</v>
      </c>
      <c r="W154" s="133" t="str">
        <f t="shared" ref="W154:W155" si="70">IF(ISERROR(V154/G154),"",V154/G154)</f>
        <v/>
      </c>
      <c r="X154" s="132"/>
      <c r="Y154" s="132"/>
      <c r="Z154" s="132"/>
      <c r="AA154" s="132"/>
    </row>
    <row r="155" spans="1:27" ht="20.100000000000001" hidden="1" customHeight="1">
      <c r="A155" s="305">
        <v>30700019</v>
      </c>
      <c r="B155" s="478" t="s">
        <v>239</v>
      </c>
      <c r="C155" s="478" t="s">
        <v>186</v>
      </c>
      <c r="D155" s="108">
        <v>6.04</v>
      </c>
      <c r="E155" s="108"/>
      <c r="F155" s="127"/>
      <c r="G155" s="128"/>
      <c r="H155" s="488">
        <f t="shared" si="63"/>
        <v>0</v>
      </c>
      <c r="I155" s="129"/>
      <c r="J155" s="130" t="str">
        <f t="array" ref="J155">IF(ISERROR(G155/I155),"",G155/I155)</f>
        <v/>
      </c>
      <c r="K155" s="131">
        <f t="array" ref="K155">IF(ISERROR(G155/L155),"",G155/L155)</f>
        <v>0</v>
      </c>
      <c r="L155" s="129">
        <v>6</v>
      </c>
      <c r="M155" s="109">
        <f t="shared" si="67"/>
        <v>0</v>
      </c>
      <c r="N155" s="130">
        <f t="shared" si="68"/>
        <v>0</v>
      </c>
      <c r="O155" s="479"/>
      <c r="P155" s="479"/>
      <c r="Q155" s="479"/>
      <c r="R155" s="479"/>
      <c r="S155" s="479"/>
      <c r="T155" s="479"/>
      <c r="U155" s="479"/>
      <c r="V155" s="132">
        <f t="shared" si="69"/>
        <v>0</v>
      </c>
      <c r="W155" s="133" t="str">
        <f t="shared" si="70"/>
        <v/>
      </c>
      <c r="X155" s="132"/>
      <c r="Y155" s="132"/>
      <c r="Z155" s="132"/>
      <c r="AA155" s="132"/>
    </row>
    <row r="156" spans="1:27" ht="20.100000000000001" hidden="1" customHeight="1">
      <c r="A156" s="305">
        <v>30601015</v>
      </c>
      <c r="B156" s="478" t="s">
        <v>443</v>
      </c>
      <c r="C156" s="478" t="s">
        <v>179</v>
      </c>
      <c r="D156" s="108">
        <v>6</v>
      </c>
      <c r="E156" s="108"/>
      <c r="F156" s="127"/>
      <c r="G156" s="128"/>
      <c r="H156" s="488">
        <f t="shared" si="63"/>
        <v>0</v>
      </c>
      <c r="I156" s="129"/>
      <c r="J156" s="130"/>
      <c r="K156" s="131"/>
      <c r="L156" s="129"/>
      <c r="M156" s="109"/>
      <c r="N156" s="130"/>
      <c r="O156" s="479"/>
      <c r="P156" s="479"/>
      <c r="Q156" s="479"/>
      <c r="R156" s="479"/>
      <c r="S156" s="479"/>
      <c r="T156" s="479"/>
      <c r="U156" s="47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305">
        <v>30101016</v>
      </c>
      <c r="B157" s="478" t="s">
        <v>443</v>
      </c>
      <c r="C157" s="478" t="s">
        <v>60</v>
      </c>
      <c r="D157" s="108">
        <v>6</v>
      </c>
      <c r="E157" s="108"/>
      <c r="F157" s="127"/>
      <c r="G157" s="128"/>
      <c r="H157" s="488">
        <f t="shared" si="63"/>
        <v>0</v>
      </c>
      <c r="I157" s="129"/>
      <c r="J157" s="130"/>
      <c r="K157" s="131"/>
      <c r="L157" s="129">
        <v>6</v>
      </c>
      <c r="M157" s="109"/>
      <c r="N157" s="130"/>
      <c r="O157" s="479"/>
      <c r="P157" s="479"/>
      <c r="Q157" s="479"/>
      <c r="R157" s="479"/>
      <c r="S157" s="479"/>
      <c r="T157" s="479"/>
      <c r="U157" s="479"/>
      <c r="V157" s="132"/>
      <c r="W157" s="133"/>
      <c r="X157" s="132"/>
      <c r="Y157" s="132"/>
      <c r="Z157" s="132"/>
      <c r="AA157" s="132"/>
    </row>
    <row r="158" spans="1:27" ht="20.100000000000001" hidden="1" customHeight="1">
      <c r="A158" s="299">
        <v>30700018</v>
      </c>
      <c r="B158" s="480" t="s">
        <v>240</v>
      </c>
      <c r="C158" s="126"/>
      <c r="D158" s="108">
        <v>7.3</v>
      </c>
      <c r="E158" s="108"/>
      <c r="F158" s="127"/>
      <c r="G158" s="128"/>
      <c r="H158" s="488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 t="str">
        <f t="shared" ref="M158" si="71">IF(ISERROR(I158-K158),"",I158-K158)</f>
        <v/>
      </c>
      <c r="N158" s="130">
        <f t="shared" ref="N158:N159" si="72">SUM(O158:U158)</f>
        <v>0</v>
      </c>
      <c r="O158" s="479"/>
      <c r="P158" s="479"/>
      <c r="Q158" s="479"/>
      <c r="R158" s="479"/>
      <c r="S158" s="479"/>
      <c r="T158" s="479"/>
      <c r="U158" s="479"/>
      <c r="V158" s="132">
        <f t="shared" ref="V158:V159" si="73">SUM(X158:AA158)</f>
        <v>0</v>
      </c>
      <c r="W158" s="133" t="str">
        <f t="shared" ref="W158:W159" si="74">IF(ISERROR(V158/G158),"",V158/G158)</f>
        <v/>
      </c>
      <c r="X158" s="132"/>
      <c r="Y158" s="132"/>
      <c r="Z158" s="132"/>
      <c r="AA158" s="132"/>
    </row>
    <row r="159" spans="1:27" ht="20.100000000000001" hidden="1" customHeight="1">
      <c r="A159" s="299">
        <v>30700010</v>
      </c>
      <c r="B159" s="480" t="s">
        <v>241</v>
      </c>
      <c r="C159" s="126"/>
      <c r="D159" s="108">
        <f>78*120/1000</f>
        <v>9.36</v>
      </c>
      <c r="E159" s="108"/>
      <c r="F159" s="127"/>
      <c r="G159" s="128"/>
      <c r="H159" s="488">
        <f t="shared" si="63"/>
        <v>0</v>
      </c>
      <c r="I159" s="129"/>
      <c r="J159" s="130" t="str">
        <f t="array" ref="J159">IF(ISERROR(G159/I159),"",G159/I159)</f>
        <v/>
      </c>
      <c r="K159" s="131" t="str">
        <f t="array" ref="K159">IF(ISERROR(G159/L159),"",G159/L159)</f>
        <v/>
      </c>
      <c r="L159" s="129"/>
      <c r="M159" s="109"/>
      <c r="N159" s="130">
        <f t="shared" si="72"/>
        <v>0</v>
      </c>
      <c r="O159" s="479"/>
      <c r="P159" s="479"/>
      <c r="Q159" s="479"/>
      <c r="R159" s="479"/>
      <c r="S159" s="479"/>
      <c r="T159" s="479"/>
      <c r="U159" s="479"/>
      <c r="V159" s="132">
        <f t="shared" si="73"/>
        <v>0</v>
      </c>
      <c r="W159" s="133" t="str">
        <f t="shared" si="74"/>
        <v/>
      </c>
      <c r="X159" s="132"/>
      <c r="Y159" s="132"/>
      <c r="Z159" s="132"/>
      <c r="AA159" s="132"/>
    </row>
    <row r="160" spans="1:27" ht="20.100000000000001" hidden="1" customHeight="1">
      <c r="A160" s="299">
        <v>30700015</v>
      </c>
      <c r="B160" s="480" t="s">
        <v>242</v>
      </c>
      <c r="C160" s="126"/>
      <c r="D160" s="108">
        <v>4.5</v>
      </c>
      <c r="E160" s="108"/>
      <c r="F160" s="127"/>
      <c r="G160" s="128"/>
      <c r="H160" s="488">
        <f t="shared" si="63"/>
        <v>0</v>
      </c>
      <c r="I160" s="129"/>
      <c r="J160" s="130"/>
      <c r="K160" s="131"/>
      <c r="L160" s="129"/>
      <c r="M160" s="109"/>
      <c r="N160" s="130"/>
      <c r="O160" s="479"/>
      <c r="P160" s="479"/>
      <c r="Q160" s="479"/>
      <c r="R160" s="479"/>
      <c r="S160" s="479"/>
      <c r="T160" s="479"/>
      <c r="U160" s="47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299">
        <v>30700012</v>
      </c>
      <c r="B161" s="480" t="s">
        <v>243</v>
      </c>
      <c r="C161" s="126"/>
      <c r="D161" s="108">
        <v>4.5</v>
      </c>
      <c r="E161" s="108"/>
      <c r="F161" s="127"/>
      <c r="G161" s="128"/>
      <c r="H161" s="488">
        <f t="shared" si="63"/>
        <v>0</v>
      </c>
      <c r="I161" s="129"/>
      <c r="J161" s="130"/>
      <c r="K161" s="131"/>
      <c r="L161" s="129"/>
      <c r="M161" s="109"/>
      <c r="N161" s="130"/>
      <c r="O161" s="479"/>
      <c r="P161" s="479"/>
      <c r="Q161" s="479"/>
      <c r="R161" s="479"/>
      <c r="S161" s="479"/>
      <c r="T161" s="479"/>
      <c r="U161" s="47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306">
        <v>30101063</v>
      </c>
      <c r="B162" s="254" t="s">
        <v>436</v>
      </c>
      <c r="C162" s="126"/>
      <c r="D162" s="108">
        <v>5.03</v>
      </c>
      <c r="E162" s="108"/>
      <c r="F162" s="127"/>
      <c r="G162" s="128"/>
      <c r="H162" s="488">
        <f t="shared" si="63"/>
        <v>0</v>
      </c>
      <c r="I162" s="129"/>
      <c r="J162" s="130"/>
      <c r="K162" s="131"/>
      <c r="L162" s="129"/>
      <c r="M162" s="109"/>
      <c r="N162" s="130"/>
      <c r="O162" s="479"/>
      <c r="P162" s="479"/>
      <c r="Q162" s="479"/>
      <c r="R162" s="479"/>
      <c r="S162" s="479"/>
      <c r="T162" s="479"/>
      <c r="U162" s="479"/>
      <c r="V162" s="132"/>
      <c r="W162" s="133"/>
      <c r="X162" s="132"/>
      <c r="Y162" s="132"/>
      <c r="Z162" s="132"/>
      <c r="AA162" s="132"/>
    </row>
    <row r="163" spans="1:27" ht="20.100000000000001" customHeight="1">
      <c r="A163" s="618" t="s">
        <v>244</v>
      </c>
      <c r="B163" s="619"/>
      <c r="C163" s="486" t="s">
        <v>202</v>
      </c>
      <c r="D163" s="143"/>
      <c r="E163" s="143"/>
      <c r="F163" s="144"/>
      <c r="G163" s="145">
        <f>SUM(G149:G161)</f>
        <v>245</v>
      </c>
      <c r="H163" s="146">
        <f>SUM(H149:H159)</f>
        <v>1647.48</v>
      </c>
      <c r="I163" s="146">
        <f>SUM(I149:I161)</f>
        <v>49.5</v>
      </c>
      <c r="J163" s="130">
        <f t="array" ref="J163">IF(ISERROR(G163/I163),"",G163/I163)</f>
        <v>4.9494949494949498</v>
      </c>
      <c r="K163" s="146">
        <f>SUM(K149:K159)</f>
        <v>49.504347826086956</v>
      </c>
      <c r="L163" s="147"/>
      <c r="M163" s="150">
        <f t="shared" ref="M163:V163" si="75">SUM(M149:M159)</f>
        <v>-4.3478260869598273E-3</v>
      </c>
      <c r="N163" s="146">
        <f t="shared" si="75"/>
        <v>0</v>
      </c>
      <c r="O163" s="148">
        <f t="shared" si="75"/>
        <v>0</v>
      </c>
      <c r="P163" s="148">
        <f t="shared" si="75"/>
        <v>0</v>
      </c>
      <c r="Q163" s="148">
        <f t="shared" si="75"/>
        <v>0</v>
      </c>
      <c r="R163" s="148">
        <f t="shared" si="75"/>
        <v>0</v>
      </c>
      <c r="S163" s="148">
        <f t="shared" si="75"/>
        <v>0</v>
      </c>
      <c r="T163" s="148">
        <f t="shared" si="75"/>
        <v>0</v>
      </c>
      <c r="U163" s="148">
        <f t="shared" si="75"/>
        <v>0</v>
      </c>
      <c r="V163" s="149">
        <f t="shared" si="75"/>
        <v>0</v>
      </c>
      <c r="W163" s="133">
        <f>IF(ISERROR(V163/G163),"",V163/G163)</f>
        <v>0</v>
      </c>
      <c r="X163" s="149">
        <f>SUM(X149:X159)</f>
        <v>0</v>
      </c>
      <c r="Y163" s="149">
        <f>SUM(Y149:Y159)</f>
        <v>0</v>
      </c>
      <c r="Z163" s="149">
        <f>SUM(Z149:Z159)</f>
        <v>0</v>
      </c>
      <c r="AA163" s="149">
        <f>SUM(AA149:AA159)</f>
        <v>0</v>
      </c>
    </row>
    <row r="164" spans="1:27" ht="20.100000000000001" customHeight="1">
      <c r="A164" s="620" t="s">
        <v>246</v>
      </c>
      <c r="B164" s="621"/>
      <c r="C164" s="621"/>
      <c r="D164" s="621"/>
      <c r="E164" s="621"/>
      <c r="F164" s="622"/>
      <c r="G164" s="154">
        <f>SUM(G28,G86,G121,G137,G148,G163)</f>
        <v>6109</v>
      </c>
      <c r="H164" s="154">
        <f>SUM(H28,H86,H121,H137,H148,H163)</f>
        <v>31188.55</v>
      </c>
      <c r="I164" s="154">
        <f>SUM(I28,I86,I121,I137,I148,I163)</f>
        <v>278.5</v>
      </c>
      <c r="J164" s="155">
        <f t="array" ref="J164">IF(ISERROR(G164/I164),"",G164/I164)</f>
        <v>21.935368043087973</v>
      </c>
      <c r="K164" s="154">
        <f>SUM(K28,K86,K121,K137,K148,K163)</f>
        <v>304.22144086150388</v>
      </c>
      <c r="L164" s="155">
        <f>IF(ISERROR(G164/K164),"",G164/K164)</f>
        <v>20.080767426189098</v>
      </c>
      <c r="M164" s="154">
        <f t="shared" ref="M164:AA164" si="76">SUM(M28,M86,M121,M137,M148,M163)</f>
        <v>-22.314033454096442</v>
      </c>
      <c r="N164" s="154">
        <f t="shared" si="76"/>
        <v>0</v>
      </c>
      <c r="O164" s="154">
        <f t="shared" si="76"/>
        <v>0</v>
      </c>
      <c r="P164" s="154">
        <f t="shared" si="76"/>
        <v>0</v>
      </c>
      <c r="Q164" s="154">
        <f t="shared" si="76"/>
        <v>0</v>
      </c>
      <c r="R164" s="154">
        <f t="shared" si="76"/>
        <v>0</v>
      </c>
      <c r="S164" s="154">
        <f t="shared" si="76"/>
        <v>0</v>
      </c>
      <c r="T164" s="154">
        <f t="shared" si="76"/>
        <v>0</v>
      </c>
      <c r="U164" s="154">
        <f t="shared" si="76"/>
        <v>0</v>
      </c>
      <c r="V164" s="154">
        <f t="shared" si="76"/>
        <v>0</v>
      </c>
      <c r="W164" s="154">
        <f t="shared" si="76"/>
        <v>0</v>
      </c>
      <c r="X164" s="154">
        <f t="shared" si="76"/>
        <v>0</v>
      </c>
      <c r="Y164" s="154">
        <f t="shared" si="76"/>
        <v>0</v>
      </c>
      <c r="Z164" s="154">
        <f t="shared" si="76"/>
        <v>0</v>
      </c>
      <c r="AA164" s="154">
        <f t="shared" si="76"/>
        <v>0</v>
      </c>
    </row>
    <row r="165" spans="1:27" ht="20.100000000000001" customHeight="1">
      <c r="A165" s="623" t="s">
        <v>476</v>
      </c>
      <c r="B165" s="485" t="s">
        <v>247</v>
      </c>
      <c r="C165" s="626" t="s">
        <v>248</v>
      </c>
      <c r="D165" s="627"/>
      <c r="E165" s="628" t="s">
        <v>249</v>
      </c>
      <c r="F165" s="628"/>
      <c r="G165" s="631" t="s">
        <v>250</v>
      </c>
      <c r="H165" s="631"/>
      <c r="I165" s="628" t="s">
        <v>251</v>
      </c>
      <c r="J165" s="628"/>
      <c r="K165" s="628" t="s">
        <v>252</v>
      </c>
      <c r="L165" s="628"/>
      <c r="M165" s="628" t="s">
        <v>253</v>
      </c>
      <c r="N165" s="628"/>
      <c r="O165" s="628" t="s">
        <v>254</v>
      </c>
      <c r="P165" s="631" t="s">
        <v>255</v>
      </c>
      <c r="Q165" s="631"/>
      <c r="R165" s="631" t="s">
        <v>252</v>
      </c>
      <c r="S165" s="631"/>
      <c r="T165" s="631" t="s">
        <v>256</v>
      </c>
      <c r="U165" s="631"/>
      <c r="V165" s="631" t="s">
        <v>257</v>
      </c>
      <c r="W165" s="631"/>
      <c r="X165" s="631" t="s">
        <v>252</v>
      </c>
      <c r="Y165" s="631"/>
      <c r="Z165" s="631" t="s">
        <v>256</v>
      </c>
      <c r="AA165" s="631"/>
    </row>
    <row r="166" spans="1:27" ht="20.100000000000001" customHeight="1">
      <c r="A166" s="624"/>
      <c r="B166" s="485" t="s">
        <v>258</v>
      </c>
      <c r="C166" s="626">
        <v>1</v>
      </c>
      <c r="D166" s="627"/>
      <c r="E166" s="630">
        <f>C166*11</f>
        <v>11</v>
      </c>
      <c r="F166" s="630"/>
      <c r="G166" s="631">
        <v>1</v>
      </c>
      <c r="H166" s="631"/>
      <c r="I166" s="630">
        <f>G166*11</f>
        <v>11</v>
      </c>
      <c r="J166" s="630"/>
      <c r="K166" s="630">
        <f>E166-I166</f>
        <v>0</v>
      </c>
      <c r="L166" s="630"/>
      <c r="M166" s="632">
        <f>IF(ISERROR(K166/E166),"",K166/E166)</f>
        <v>0</v>
      </c>
      <c r="N166" s="632"/>
      <c r="O166" s="628"/>
      <c r="P166" s="631" t="s">
        <v>201</v>
      </c>
      <c r="Q166" s="631"/>
      <c r="R166" s="633">
        <f>SUM(O28:U28)</f>
        <v>0</v>
      </c>
      <c r="S166" s="633"/>
      <c r="T166" s="634" t="str">
        <f t="array" ref="T166">IF(ISERROR(R166/R173),"",R166/R173)</f>
        <v/>
      </c>
      <c r="U166" s="634"/>
      <c r="V166" s="631" t="s">
        <v>259</v>
      </c>
      <c r="W166" s="631"/>
      <c r="X166" s="635">
        <f>SUM(P27,P85,P120,P136,P147,P161)</f>
        <v>0</v>
      </c>
      <c r="Y166" s="635"/>
      <c r="Z166" s="634" t="str">
        <f t="array" ref="Z166">IF(ISERROR(X166/X173),"",X166/X173)</f>
        <v/>
      </c>
      <c r="AA166" s="634"/>
    </row>
    <row r="167" spans="1:27" ht="20.100000000000001" customHeight="1">
      <c r="A167" s="624"/>
      <c r="B167" s="485" t="s">
        <v>260</v>
      </c>
      <c r="C167" s="626">
        <v>1</v>
      </c>
      <c r="D167" s="627"/>
      <c r="E167" s="630">
        <f>C167*11</f>
        <v>11</v>
      </c>
      <c r="F167" s="630"/>
      <c r="G167" s="631">
        <v>1</v>
      </c>
      <c r="H167" s="631"/>
      <c r="I167" s="630">
        <f>G167*11</f>
        <v>11</v>
      </c>
      <c r="J167" s="630"/>
      <c r="K167" s="630">
        <f>E167-I167</f>
        <v>0</v>
      </c>
      <c r="L167" s="630"/>
      <c r="M167" s="632">
        <f>IF(ISERROR(K167/E167),"",K167/E167)</f>
        <v>0</v>
      </c>
      <c r="N167" s="632"/>
      <c r="O167" s="628"/>
      <c r="P167" s="631" t="s">
        <v>216</v>
      </c>
      <c r="Q167" s="631"/>
      <c r="R167" s="633">
        <f>SUM(O86:U86)</f>
        <v>0</v>
      </c>
      <c r="S167" s="633"/>
      <c r="T167" s="634" t="str">
        <f>IF(ISERROR(R167/R173),"",R167/R173)</f>
        <v/>
      </c>
      <c r="U167" s="634"/>
      <c r="V167" s="631" t="s">
        <v>261</v>
      </c>
      <c r="W167" s="631"/>
      <c r="X167" s="635">
        <f>SUM(P28,P86,P121,P137,P148,P163)</f>
        <v>0</v>
      </c>
      <c r="Y167" s="635"/>
      <c r="Z167" s="634" t="str">
        <f>IF(ISERROR(X167/X173),"",X167/X173)</f>
        <v/>
      </c>
      <c r="AA167" s="634"/>
    </row>
    <row r="168" spans="1:27" ht="20.100000000000001" customHeight="1">
      <c r="A168" s="624"/>
      <c r="B168" s="485" t="s">
        <v>262</v>
      </c>
      <c r="C168" s="626">
        <v>1</v>
      </c>
      <c r="D168" s="627"/>
      <c r="E168" s="630">
        <f>C168*8</f>
        <v>8</v>
      </c>
      <c r="F168" s="630"/>
      <c r="G168" s="631">
        <v>1</v>
      </c>
      <c r="H168" s="631"/>
      <c r="I168" s="630">
        <f>G168*8</f>
        <v>8</v>
      </c>
      <c r="J168" s="630"/>
      <c r="K168" s="630">
        <f>E168-I168</f>
        <v>0</v>
      </c>
      <c r="L168" s="630"/>
      <c r="M168" s="632">
        <f>IF(ISERROR(K168/E168),"",K168/E168)</f>
        <v>0</v>
      </c>
      <c r="N168" s="632"/>
      <c r="O168" s="628"/>
      <c r="P168" s="631" t="s">
        <v>224</v>
      </c>
      <c r="Q168" s="631"/>
      <c r="R168" s="633">
        <f>SUM(O121:U121)</f>
        <v>0</v>
      </c>
      <c r="S168" s="633"/>
      <c r="T168" s="634" t="str">
        <f>IF(ISERROR(R168/R173),"",R168/R173)</f>
        <v/>
      </c>
      <c r="U168" s="634"/>
      <c r="V168" s="631" t="s">
        <v>263</v>
      </c>
      <c r="W168" s="631"/>
      <c r="X168" s="635">
        <f>SUM(P29,P87,P122,P138,P149,P164)</f>
        <v>0</v>
      </c>
      <c r="Y168" s="635"/>
      <c r="Z168" s="634" t="str">
        <f>IF(ISERROR(X168/X173),"",X168/X173)</f>
        <v/>
      </c>
      <c r="AA168" s="634"/>
    </row>
    <row r="169" spans="1:27" ht="20.100000000000001" customHeight="1">
      <c r="A169" s="624"/>
      <c r="B169" s="485" t="s">
        <v>264</v>
      </c>
      <c r="C169" s="626">
        <v>1</v>
      </c>
      <c r="D169" s="627"/>
      <c r="E169" s="630">
        <f>C169*11</f>
        <v>11</v>
      </c>
      <c r="F169" s="630"/>
      <c r="G169" s="631">
        <v>1</v>
      </c>
      <c r="H169" s="631"/>
      <c r="I169" s="630">
        <f>G169*11</f>
        <v>11</v>
      </c>
      <c r="J169" s="630"/>
      <c r="K169" s="630">
        <f>E169-I169</f>
        <v>0</v>
      </c>
      <c r="L169" s="630"/>
      <c r="M169" s="632">
        <f>IF(ISERROR(K169/E169),"",K169/E169)</f>
        <v>0</v>
      </c>
      <c r="N169" s="632"/>
      <c r="O169" s="628"/>
      <c r="P169" s="631" t="s">
        <v>231</v>
      </c>
      <c r="Q169" s="631"/>
      <c r="R169" s="633">
        <f>SUM(O137:U137)</f>
        <v>0</v>
      </c>
      <c r="S169" s="633"/>
      <c r="T169" s="634" t="str">
        <f>IF(ISERROR(R169/R173),"",R169/R173)</f>
        <v/>
      </c>
      <c r="U169" s="634"/>
      <c r="V169" s="631" t="s">
        <v>265</v>
      </c>
      <c r="W169" s="631"/>
      <c r="X169" s="635">
        <f>SUM(P31,P88,P123,P139,P150,P165)</f>
        <v>0</v>
      </c>
      <c r="Y169" s="635"/>
      <c r="Z169" s="634" t="str">
        <f>IF(ISERROR(X169/X173),"",X169/X173)</f>
        <v/>
      </c>
      <c r="AA169" s="634"/>
    </row>
    <row r="170" spans="1:27" ht="20.100000000000001" customHeight="1">
      <c r="A170" s="625"/>
      <c r="B170" s="485" t="s">
        <v>266</v>
      </c>
      <c r="C170" s="636">
        <f>SUM(C166:D169)</f>
        <v>4</v>
      </c>
      <c r="D170" s="637"/>
      <c r="E170" s="630">
        <f>SUM(E166:F169)</f>
        <v>41</v>
      </c>
      <c r="F170" s="630"/>
      <c r="G170" s="631">
        <f>SUM(G166:H169)</f>
        <v>4</v>
      </c>
      <c r="H170" s="631"/>
      <c r="I170" s="630">
        <f>SUM(I166:J169)</f>
        <v>41</v>
      </c>
      <c r="J170" s="630"/>
      <c r="K170" s="630">
        <f>SUM(K166:L169)</f>
        <v>0</v>
      </c>
      <c r="L170" s="630"/>
      <c r="M170" s="632">
        <f>IF(ISERROR(K170/E170),"",K170/E170)</f>
        <v>0</v>
      </c>
      <c r="N170" s="632"/>
      <c r="O170" s="628"/>
      <c r="P170" s="631" t="s">
        <v>234</v>
      </c>
      <c r="Q170" s="631"/>
      <c r="R170" s="633">
        <f>SUM(O148:U148)</f>
        <v>0</v>
      </c>
      <c r="S170" s="633"/>
      <c r="T170" s="634" t="str">
        <f>IF(ISERROR(R170/R173),"",R170/R173)</f>
        <v/>
      </c>
      <c r="U170" s="634"/>
      <c r="V170" s="631" t="s">
        <v>267</v>
      </c>
      <c r="W170" s="631"/>
      <c r="X170" s="635">
        <f>SUM(P32,P89,P124,P140,P151,P166)</f>
        <v>0</v>
      </c>
      <c r="Y170" s="635"/>
      <c r="Z170" s="634" t="str">
        <f>IF(ISERROR(X170/X173),"",X170/X173)</f>
        <v/>
      </c>
      <c r="AA170" s="634"/>
    </row>
    <row r="171" spans="1:27" ht="20.100000000000001" customHeight="1">
      <c r="A171" s="307" t="s">
        <v>477</v>
      </c>
      <c r="B171" s="485">
        <f>G164</f>
        <v>6109</v>
      </c>
      <c r="C171" s="638" t="s">
        <v>269</v>
      </c>
      <c r="D171" s="639"/>
      <c r="E171" s="631">
        <f>H164</f>
        <v>31188.55</v>
      </c>
      <c r="F171" s="631"/>
      <c r="G171" s="631" t="s">
        <v>270</v>
      </c>
      <c r="H171" s="631"/>
      <c r="I171" s="640">
        <f>L164</f>
        <v>20.080767426189098</v>
      </c>
      <c r="J171" s="640"/>
      <c r="K171" s="628" t="s">
        <v>271</v>
      </c>
      <c r="L171" s="628"/>
      <c r="M171" s="640">
        <f>J164</f>
        <v>21.935368043087973</v>
      </c>
      <c r="N171" s="640"/>
      <c r="O171" s="628"/>
      <c r="P171" s="631" t="s">
        <v>244</v>
      </c>
      <c r="Q171" s="631"/>
      <c r="R171" s="633">
        <f>SUM(O163:U163)</f>
        <v>0</v>
      </c>
      <c r="S171" s="633"/>
      <c r="T171" s="634" t="str">
        <f>IF(ISERROR(R171/R173),"",R171/R173)</f>
        <v/>
      </c>
      <c r="U171" s="634"/>
      <c r="V171" s="631" t="s">
        <v>272</v>
      </c>
      <c r="W171" s="631"/>
      <c r="X171" s="635">
        <f>SUM(P33,P90,P125,P141,P152,P167)</f>
        <v>0</v>
      </c>
      <c r="Y171" s="635"/>
      <c r="Z171" s="634" t="str">
        <f>IF(ISERROR(X171/X173),"",X171/X173)</f>
        <v/>
      </c>
      <c r="AA171" s="634"/>
    </row>
    <row r="172" spans="1:27" ht="20.100000000000001" customHeight="1">
      <c r="A172" s="308" t="s">
        <v>478</v>
      </c>
      <c r="B172" s="485">
        <f>I164+C170</f>
        <v>282.5</v>
      </c>
      <c r="C172" s="641" t="s">
        <v>251</v>
      </c>
      <c r="D172" s="642"/>
      <c r="E172" s="643">
        <f>K164+I170</f>
        <v>345.22144086150388</v>
      </c>
      <c r="F172" s="643"/>
      <c r="G172" s="631" t="s">
        <v>274</v>
      </c>
      <c r="H172" s="631"/>
      <c r="I172" s="640">
        <f>B172-E172</f>
        <v>-62.721440861503879</v>
      </c>
      <c r="J172" s="640"/>
      <c r="K172" s="628" t="s">
        <v>275</v>
      </c>
      <c r="L172" s="628"/>
      <c r="M172" s="632">
        <f>IF(ISERROR(I172/E172),"",I172/E172)</f>
        <v>-0.18168466218373297</v>
      </c>
      <c r="N172" s="632"/>
      <c r="O172" s="628"/>
      <c r="P172" s="631" t="s">
        <v>245</v>
      </c>
      <c r="Q172" s="631"/>
      <c r="R172" s="633"/>
      <c r="S172" s="633"/>
      <c r="T172" s="634" t="str">
        <f>IF(ISERROR(R172/R173),"",R172/R173)</f>
        <v/>
      </c>
      <c r="U172" s="634"/>
      <c r="V172" s="631" t="s">
        <v>264</v>
      </c>
      <c r="W172" s="631"/>
      <c r="X172" s="635"/>
      <c r="Y172" s="635"/>
      <c r="Z172" s="634" t="str">
        <f>IF(ISERROR(X172/X173),"",X172/X173)</f>
        <v/>
      </c>
      <c r="AA172" s="634"/>
    </row>
    <row r="173" spans="1:27" ht="20.100000000000001" customHeight="1">
      <c r="A173" s="308" t="s">
        <v>479</v>
      </c>
      <c r="B173" s="485">
        <f>N164</f>
        <v>0</v>
      </c>
      <c r="C173" s="641" t="s">
        <v>277</v>
      </c>
      <c r="D173" s="642"/>
      <c r="E173" s="634">
        <f>IF(ISERROR(B173/B172),"",B173/B172)</f>
        <v>0</v>
      </c>
      <c r="F173" s="634"/>
      <c r="G173" s="631" t="s">
        <v>278</v>
      </c>
      <c r="H173" s="631"/>
      <c r="I173" s="628">
        <f>V164</f>
        <v>0</v>
      </c>
      <c r="J173" s="628"/>
      <c r="K173" s="628" t="s">
        <v>279</v>
      </c>
      <c r="L173" s="628"/>
      <c r="M173" s="632">
        <f t="array" ref="M173">IF(ISERROR(I173/B171),"",I173/B171)</f>
        <v>0</v>
      </c>
      <c r="N173" s="632"/>
      <c r="O173" s="628"/>
      <c r="P173" s="631" t="s">
        <v>266</v>
      </c>
      <c r="Q173" s="631"/>
      <c r="R173" s="633">
        <f>SUM(R166:S172)</f>
        <v>0</v>
      </c>
      <c r="S173" s="633"/>
      <c r="T173" s="634"/>
      <c r="U173" s="634"/>
      <c r="V173" s="631" t="s">
        <v>266</v>
      </c>
      <c r="W173" s="631"/>
      <c r="X173" s="635">
        <f>SUM(X166:Y172)</f>
        <v>0</v>
      </c>
      <c r="Y173" s="635"/>
      <c r="Z173" s="634"/>
      <c r="AA173" s="634"/>
    </row>
    <row r="174" spans="1:27" ht="34.5" customHeight="1">
      <c r="A174" s="185" t="s">
        <v>336</v>
      </c>
      <c r="B174" s="186"/>
      <c r="C174" s="122"/>
      <c r="D174" s="122"/>
      <c r="E174" s="122"/>
      <c r="F174" s="122"/>
      <c r="G174" s="124"/>
      <c r="H174" s="122"/>
      <c r="I174" s="122"/>
      <c r="J174" s="125"/>
      <c r="K174" s="122"/>
      <c r="L174" s="122"/>
      <c r="M174" s="122"/>
      <c r="N174" s="122"/>
      <c r="O174" s="122"/>
      <c r="P174" s="122"/>
      <c r="Q174" s="122"/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</row>
    <row r="175" spans="1:27" ht="21.95" customHeight="1">
      <c r="A175" s="644" t="s">
        <v>480</v>
      </c>
      <c r="B175" s="647" t="s">
        <v>280</v>
      </c>
      <c r="C175" s="647" t="s">
        <v>281</v>
      </c>
      <c r="D175" s="647" t="s">
        <v>282</v>
      </c>
      <c r="E175" s="650" t="s">
        <v>283</v>
      </c>
      <c r="F175" s="663" t="s">
        <v>284</v>
      </c>
      <c r="G175" s="628" t="s">
        <v>285</v>
      </c>
      <c r="H175" s="628"/>
      <c r="I175" s="647" t="s">
        <v>286</v>
      </c>
      <c r="J175" s="653" t="s">
        <v>271</v>
      </c>
      <c r="K175" s="656" t="s">
        <v>287</v>
      </c>
      <c r="L175" s="647" t="s">
        <v>270</v>
      </c>
      <c r="M175" s="659" t="s">
        <v>288</v>
      </c>
      <c r="N175" s="661" t="s">
        <v>252</v>
      </c>
      <c r="O175" s="628" t="s">
        <v>289</v>
      </c>
      <c r="P175" s="628"/>
      <c r="Q175" s="628"/>
      <c r="R175" s="628"/>
      <c r="S175" s="628"/>
      <c r="T175" s="628"/>
      <c r="U175" s="628"/>
      <c r="V175" s="628" t="s">
        <v>290</v>
      </c>
      <c r="W175" s="661" t="s">
        <v>291</v>
      </c>
      <c r="X175" s="628" t="s">
        <v>292</v>
      </c>
      <c r="Y175" s="628"/>
      <c r="Z175" s="628"/>
      <c r="AA175" s="628"/>
    </row>
    <row r="176" spans="1:27" ht="21.95" customHeight="1">
      <c r="A176" s="645"/>
      <c r="B176" s="648"/>
      <c r="C176" s="648"/>
      <c r="D176" s="648"/>
      <c r="E176" s="651"/>
      <c r="F176" s="664"/>
      <c r="G176" s="628"/>
      <c r="H176" s="628"/>
      <c r="I176" s="648"/>
      <c r="J176" s="654"/>
      <c r="K176" s="657"/>
      <c r="L176" s="648"/>
      <c r="M176" s="660"/>
      <c r="N176" s="661"/>
      <c r="O176" s="628" t="s">
        <v>259</v>
      </c>
      <c r="P176" s="628" t="s">
        <v>261</v>
      </c>
      <c r="Q176" s="628" t="s">
        <v>263</v>
      </c>
      <c r="R176" s="662" t="s">
        <v>265</v>
      </c>
      <c r="S176" s="631" t="s">
        <v>267</v>
      </c>
      <c r="T176" s="628" t="s">
        <v>272</v>
      </c>
      <c r="U176" s="628" t="s">
        <v>264</v>
      </c>
      <c r="V176" s="628"/>
      <c r="W176" s="661"/>
      <c r="X176" s="628" t="s">
        <v>293</v>
      </c>
      <c r="Y176" s="628" t="s">
        <v>294</v>
      </c>
      <c r="Z176" s="628" t="s">
        <v>295</v>
      </c>
      <c r="AA176" s="628" t="s">
        <v>264</v>
      </c>
    </row>
    <row r="177" spans="1:27" ht="21.95" customHeight="1">
      <c r="A177" s="646"/>
      <c r="B177" s="649"/>
      <c r="C177" s="649"/>
      <c r="D177" s="649"/>
      <c r="E177" s="652"/>
      <c r="F177" s="665"/>
      <c r="G177" s="348" t="s">
        <v>545</v>
      </c>
      <c r="H177" s="478" t="s">
        <v>297</v>
      </c>
      <c r="I177" s="649"/>
      <c r="J177" s="655"/>
      <c r="K177" s="658"/>
      <c r="L177" s="649"/>
      <c r="M177" s="660"/>
      <c r="N177" s="661"/>
      <c r="O177" s="628"/>
      <c r="P177" s="628"/>
      <c r="Q177" s="628"/>
      <c r="R177" s="662"/>
      <c r="S177" s="631"/>
      <c r="T177" s="628"/>
      <c r="U177" s="628"/>
      <c r="V177" s="628"/>
      <c r="W177" s="661"/>
      <c r="X177" s="628"/>
      <c r="Y177" s="628"/>
      <c r="Z177" s="628"/>
      <c r="AA177" s="628"/>
    </row>
    <row r="178" spans="1:27" ht="20.100000000000001" hidden="1" customHeight="1">
      <c r="A178" s="299" t="s">
        <v>544</v>
      </c>
      <c r="B178" s="480" t="s">
        <v>178</v>
      </c>
      <c r="C178" s="126" t="s">
        <v>179</v>
      </c>
      <c r="D178" s="108">
        <v>5.03</v>
      </c>
      <c r="E178" s="108"/>
      <c r="F178" s="127"/>
      <c r="G178" s="128"/>
      <c r="H178" s="488">
        <f t="shared" ref="H178:H187" si="77">D178*G178</f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16</v>
      </c>
      <c r="M178" s="109">
        <f t="shared" ref="M178:M187" si="78">IF(ISERROR(I178-K178),"",I178-K178)</f>
        <v>0</v>
      </c>
      <c r="N178" s="130">
        <f>SUM(O178:U178)</f>
        <v>0</v>
      </c>
      <c r="O178" s="479"/>
      <c r="P178" s="479"/>
      <c r="Q178" s="479"/>
      <c r="R178" s="479"/>
      <c r="S178" s="479"/>
      <c r="T178" s="479"/>
      <c r="U178" s="479"/>
      <c r="V178" s="132">
        <f t="shared" ref="V178:V183" si="79">SUM(X178:AA178)</f>
        <v>0</v>
      </c>
      <c r="W178" s="133" t="str">
        <f t="shared" ref="W178:W183" si="80">IF(ISERROR(V178/G178),"",V178/G178)</f>
        <v/>
      </c>
      <c r="X178" s="132"/>
      <c r="Y178" s="132"/>
      <c r="Z178" s="132"/>
      <c r="AA178" s="132"/>
    </row>
    <row r="179" spans="1:27" ht="20.100000000000001" hidden="1" customHeight="1">
      <c r="A179" s="300"/>
      <c r="B179" s="134" t="s">
        <v>180</v>
      </c>
      <c r="C179" s="126" t="s">
        <v>179</v>
      </c>
      <c r="D179" s="108">
        <v>5.03</v>
      </c>
      <c r="E179" s="108"/>
      <c r="F179" s="127"/>
      <c r="G179" s="128"/>
      <c r="H179" s="488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ref="N179:N187" si="81">SUM(O179:U179)</f>
        <v>0</v>
      </c>
      <c r="O179" s="479"/>
      <c r="P179" s="479"/>
      <c r="Q179" s="479"/>
      <c r="R179" s="479"/>
      <c r="S179" s="479"/>
      <c r="T179" s="479"/>
      <c r="U179" s="47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301"/>
      <c r="B180" s="134" t="s">
        <v>180</v>
      </c>
      <c r="C180" s="126" t="s">
        <v>181</v>
      </c>
      <c r="D180" s="108">
        <v>5.03</v>
      </c>
      <c r="E180" s="108"/>
      <c r="F180" s="127"/>
      <c r="G180" s="128"/>
      <c r="H180" s="488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9"/>
      <c r="P180" s="479"/>
      <c r="Q180" s="479"/>
      <c r="R180" s="479"/>
      <c r="S180" s="479"/>
      <c r="T180" s="479"/>
      <c r="U180" s="47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30100048</v>
      </c>
      <c r="B181" s="134" t="s">
        <v>182</v>
      </c>
      <c r="C181" s="126" t="s">
        <v>179</v>
      </c>
      <c r="D181" s="108">
        <v>5.03</v>
      </c>
      <c r="E181" s="108"/>
      <c r="F181" s="127">
        <v>42744</v>
      </c>
      <c r="G181" s="128">
        <f>61+108*3</f>
        <v>385</v>
      </c>
      <c r="H181" s="488">
        <f t="shared" si="77"/>
        <v>1936.5500000000002</v>
      </c>
      <c r="I181" s="129">
        <f>7*4</f>
        <v>28</v>
      </c>
      <c r="J181" s="130">
        <f t="array" ref="J181">IF(ISERROR(G181/I181),"",G181/I181)</f>
        <v>13.75</v>
      </c>
      <c r="K181" s="131">
        <f t="array" ref="K181">IF(ISERROR(G181/L181),"",G181/L181)</f>
        <v>20.263157894736842</v>
      </c>
      <c r="L181" s="129">
        <v>19</v>
      </c>
      <c r="M181" s="109">
        <f t="shared" si="78"/>
        <v>7.7368421052631575</v>
      </c>
      <c r="N181" s="130">
        <f t="shared" si="81"/>
        <v>0</v>
      </c>
      <c r="O181" s="479"/>
      <c r="P181" s="479"/>
      <c r="Q181" s="479"/>
      <c r="R181" s="479"/>
      <c r="S181" s="479"/>
      <c r="T181" s="479"/>
      <c r="U181" s="479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30100047</v>
      </c>
      <c r="B182" s="134" t="s">
        <v>182</v>
      </c>
      <c r="C182" s="126" t="s">
        <v>183</v>
      </c>
      <c r="D182" s="108">
        <v>5.03</v>
      </c>
      <c r="E182" s="108"/>
      <c r="F182" s="127"/>
      <c r="G182" s="128"/>
      <c r="H182" s="488">
        <f t="shared" si="77"/>
        <v>0</v>
      </c>
      <c r="I182" s="129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20</v>
      </c>
      <c r="M182" s="109">
        <f t="shared" si="78"/>
        <v>0</v>
      </c>
      <c r="N182" s="130">
        <f t="shared" si="81"/>
        <v>0</v>
      </c>
      <c r="O182" s="479"/>
      <c r="P182" s="479"/>
      <c r="Q182" s="479"/>
      <c r="R182" s="479"/>
      <c r="S182" s="479"/>
      <c r="T182" s="479"/>
      <c r="U182" s="47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299">
        <v>30100052</v>
      </c>
      <c r="B183" s="134" t="s">
        <v>184</v>
      </c>
      <c r="C183" s="126" t="s">
        <v>179</v>
      </c>
      <c r="D183" s="108">
        <v>5.04</v>
      </c>
      <c r="E183" s="108"/>
      <c r="F183" s="127">
        <v>42742</v>
      </c>
      <c r="G183" s="128">
        <v>28</v>
      </c>
      <c r="H183" s="488">
        <f t="shared" si="77"/>
        <v>141.12</v>
      </c>
      <c r="I183" s="138">
        <f>1*3</f>
        <v>3</v>
      </c>
      <c r="J183" s="130">
        <f t="array" ref="J183">IF(ISERROR(G183/I183),"",G183/I183)</f>
        <v>9.3333333333333339</v>
      </c>
      <c r="K183" s="131">
        <f t="array" ref="K183">IF(ISERROR(G183/L183),"",G183/L183)</f>
        <v>1.4736842105263157</v>
      </c>
      <c r="L183" s="129">
        <v>19</v>
      </c>
      <c r="M183" s="109">
        <f t="shared" si="78"/>
        <v>1.5263157894736843</v>
      </c>
      <c r="N183" s="130">
        <f t="shared" si="81"/>
        <v>0</v>
      </c>
      <c r="O183" s="479"/>
      <c r="P183" s="479"/>
      <c r="Q183" s="479"/>
      <c r="R183" s="479"/>
      <c r="S183" s="479"/>
      <c r="T183" s="479"/>
      <c r="U183" s="479"/>
      <c r="V183" s="132">
        <f t="shared" si="79"/>
        <v>0</v>
      </c>
      <c r="W183" s="133">
        <f t="shared" si="80"/>
        <v>0</v>
      </c>
      <c r="X183" s="132"/>
      <c r="Y183" s="132"/>
      <c r="Z183" s="132"/>
      <c r="AA183" s="132"/>
    </row>
    <row r="184" spans="1:27" ht="20.100000000000001" hidden="1" customHeight="1">
      <c r="A184" s="332">
        <v>30100059</v>
      </c>
      <c r="B184" s="134" t="s">
        <v>185</v>
      </c>
      <c r="C184" s="126" t="s">
        <v>186</v>
      </c>
      <c r="D184" s="108">
        <v>5.03</v>
      </c>
      <c r="E184" s="108"/>
      <c r="F184" s="127"/>
      <c r="G184" s="128"/>
      <c r="H184" s="488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9"/>
      <c r="P184" s="479"/>
      <c r="Q184" s="479"/>
      <c r="R184" s="479"/>
      <c r="S184" s="479"/>
      <c r="T184" s="479"/>
      <c r="U184" s="47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2">
        <v>30100060</v>
      </c>
      <c r="B185" s="134" t="s">
        <v>185</v>
      </c>
      <c r="C185" s="126" t="s">
        <v>187</v>
      </c>
      <c r="D185" s="108">
        <v>5.03</v>
      </c>
      <c r="E185" s="108"/>
      <c r="F185" s="127"/>
      <c r="G185" s="128"/>
      <c r="H185" s="488">
        <f t="shared" si="77"/>
        <v>0</v>
      </c>
      <c r="I185" s="129"/>
      <c r="J185" s="130"/>
      <c r="K185" s="131">
        <f t="array" ref="K185">IF(ISERROR(G185/L185),"",G185/L185)</f>
        <v>0</v>
      </c>
      <c r="L185" s="129">
        <v>3</v>
      </c>
      <c r="M185" s="109">
        <f t="shared" si="78"/>
        <v>0</v>
      </c>
      <c r="N185" s="130">
        <f t="shared" si="81"/>
        <v>0</v>
      </c>
      <c r="O185" s="479"/>
      <c r="P185" s="479"/>
      <c r="Q185" s="479"/>
      <c r="R185" s="479"/>
      <c r="S185" s="479"/>
      <c r="T185" s="479"/>
      <c r="U185" s="479"/>
      <c r="V185" s="132"/>
      <c r="W185" s="133"/>
      <c r="X185" s="132"/>
      <c r="Y185" s="132"/>
      <c r="Z185" s="132"/>
      <c r="AA185" s="132"/>
    </row>
    <row r="186" spans="1:27" ht="20.100000000000001" hidden="1" customHeight="1">
      <c r="A186" s="300">
        <v>30200006</v>
      </c>
      <c r="B186" s="134" t="s">
        <v>188</v>
      </c>
      <c r="C186" s="126" t="s">
        <v>189</v>
      </c>
      <c r="D186" s="108">
        <v>5.04</v>
      </c>
      <c r="E186" s="108"/>
      <c r="F186" s="139"/>
      <c r="G186" s="128"/>
      <c r="H186" s="488">
        <f t="shared" si="77"/>
        <v>0</v>
      </c>
      <c r="I186" s="488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9"/>
      <c r="P186" s="479"/>
      <c r="Q186" s="479"/>
      <c r="R186" s="479"/>
      <c r="S186" s="479"/>
      <c r="T186" s="479"/>
      <c r="U186" s="47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0">
        <v>30200005</v>
      </c>
      <c r="B187" s="134" t="s">
        <v>188</v>
      </c>
      <c r="C187" s="126" t="s">
        <v>190</v>
      </c>
      <c r="D187" s="108">
        <v>5.04</v>
      </c>
      <c r="E187" s="108"/>
      <c r="F187" s="139"/>
      <c r="G187" s="128"/>
      <c r="H187" s="488">
        <f t="shared" si="77"/>
        <v>0</v>
      </c>
      <c r="I187" s="488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 t="shared" si="78"/>
        <v>0</v>
      </c>
      <c r="N187" s="130">
        <f t="shared" si="81"/>
        <v>0</v>
      </c>
      <c r="O187" s="479"/>
      <c r="P187" s="479"/>
      <c r="Q187" s="479"/>
      <c r="R187" s="479"/>
      <c r="S187" s="479"/>
      <c r="T187" s="479"/>
      <c r="U187" s="479"/>
      <c r="V187" s="132">
        <f>SUM(X187:AA187)</f>
        <v>0</v>
      </c>
      <c r="W187" s="133" t="str">
        <f>IF(ISERROR(V187/G187),"",V187/G187)</f>
        <v/>
      </c>
      <c r="X187" s="132"/>
      <c r="Y187" s="132"/>
      <c r="Z187" s="132"/>
      <c r="AA187" s="132"/>
    </row>
    <row r="188" spans="1:27" ht="20.100000000000001" hidden="1" customHeight="1">
      <c r="A188" s="302">
        <v>30100063</v>
      </c>
      <c r="B188" s="134" t="s">
        <v>191</v>
      </c>
      <c r="C188" s="126" t="s">
        <v>192</v>
      </c>
      <c r="D188" s="108"/>
      <c r="E188" s="108"/>
      <c r="F188" s="127"/>
      <c r="G188" s="128"/>
      <c r="H188" s="488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9"/>
      <c r="P188" s="479"/>
      <c r="Q188" s="479"/>
      <c r="R188" s="479"/>
      <c r="S188" s="479"/>
      <c r="T188" s="479"/>
      <c r="U188" s="47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2">
        <v>30100061</v>
      </c>
      <c r="B189" s="134" t="s">
        <v>191</v>
      </c>
      <c r="C189" s="126" t="s">
        <v>193</v>
      </c>
      <c r="D189" s="108"/>
      <c r="E189" s="108"/>
      <c r="F189" s="127"/>
      <c r="G189" s="128"/>
      <c r="H189" s="488">
        <f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17</v>
      </c>
      <c r="M189" s="109">
        <f>IF(ISERROR(I189-K189),"",I189-K189)</f>
        <v>0</v>
      </c>
      <c r="N189" s="130">
        <f>SUM(O189:U189)</f>
        <v>0</v>
      </c>
      <c r="O189" s="479"/>
      <c r="P189" s="479"/>
      <c r="Q189" s="479"/>
      <c r="R189" s="479"/>
      <c r="S189" s="479"/>
      <c r="T189" s="479"/>
      <c r="U189" s="479"/>
      <c r="V189" s="132"/>
      <c r="W189" s="133"/>
      <c r="X189" s="132"/>
      <c r="Y189" s="132"/>
      <c r="Z189" s="132"/>
      <c r="AA189" s="132"/>
    </row>
    <row r="190" spans="1:27" ht="20.100000000000001" hidden="1" customHeight="1">
      <c r="A190" s="300">
        <v>30200001</v>
      </c>
      <c r="B190" s="134" t="s">
        <v>196</v>
      </c>
      <c r="C190" s="126" t="s">
        <v>189</v>
      </c>
      <c r="D190" s="108">
        <v>5.0599999999999996</v>
      </c>
      <c r="E190" s="108"/>
      <c r="F190" s="127"/>
      <c r="G190" s="128"/>
      <c r="H190" s="488">
        <f t="shared" ref="H190:H198" si="82">D190*G190</f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19</v>
      </c>
      <c r="M190" s="109">
        <f t="shared" ref="M190:M198" si="83">IF(ISERROR(I190-K190),"",I190-K190)</f>
        <v>0</v>
      </c>
      <c r="N190" s="130">
        <f t="shared" ref="N190:N192" si="84">SUM(O190:U190)</f>
        <v>0</v>
      </c>
      <c r="O190" s="479"/>
      <c r="P190" s="479"/>
      <c r="Q190" s="479"/>
      <c r="R190" s="479"/>
      <c r="S190" s="479"/>
      <c r="T190" s="479"/>
      <c r="U190" s="479"/>
      <c r="V190" s="132">
        <f t="shared" ref="V190:V192" si="85">SUM(X190:AA190)</f>
        <v>0</v>
      </c>
      <c r="W190" s="133" t="str">
        <f t="shared" ref="W190:W192" si="86">IF(ISERROR(V190/G190),"",V190/G190)</f>
        <v/>
      </c>
      <c r="X190" s="132"/>
      <c r="Y190" s="132"/>
      <c r="Z190" s="132"/>
      <c r="AA190" s="132"/>
    </row>
    <row r="191" spans="1:27" ht="20.100000000000001" hidden="1" customHeight="1">
      <c r="A191" s="300">
        <v>30200002</v>
      </c>
      <c r="B191" s="134" t="s">
        <v>197</v>
      </c>
      <c r="C191" s="126" t="s">
        <v>189</v>
      </c>
      <c r="D191" s="108">
        <v>5.09</v>
      </c>
      <c r="E191" s="108"/>
      <c r="F191" s="127"/>
      <c r="G191" s="128"/>
      <c r="H191" s="488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9"/>
      <c r="P191" s="479"/>
      <c r="Q191" s="479"/>
      <c r="R191" s="479"/>
      <c r="S191" s="479"/>
      <c r="T191" s="479"/>
      <c r="U191" s="47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30200003</v>
      </c>
      <c r="B192" s="134" t="s">
        <v>197</v>
      </c>
      <c r="C192" s="126" t="s">
        <v>190</v>
      </c>
      <c r="D192" s="108">
        <v>5.09</v>
      </c>
      <c r="E192" s="108"/>
      <c r="F192" s="127"/>
      <c r="G192" s="128"/>
      <c r="H192" s="488">
        <f t="shared" si="82"/>
        <v>0</v>
      </c>
      <c r="I192" s="129"/>
      <c r="J192" s="130" t="str">
        <f t="array" ref="J192">IF(ISERROR(G192/I192),"",G192/I192)</f>
        <v/>
      </c>
      <c r="K192" s="131">
        <f t="array" ref="K192">IF(ISERROR(G192/L192),"",G192/L192)</f>
        <v>0</v>
      </c>
      <c r="L192" s="129">
        <v>23</v>
      </c>
      <c r="M192" s="109">
        <f t="shared" si="83"/>
        <v>0</v>
      </c>
      <c r="N192" s="130">
        <f t="shared" si="84"/>
        <v>0</v>
      </c>
      <c r="O192" s="479"/>
      <c r="P192" s="479"/>
      <c r="Q192" s="479"/>
      <c r="R192" s="479"/>
      <c r="S192" s="479"/>
      <c r="T192" s="479"/>
      <c r="U192" s="479"/>
      <c r="V192" s="132">
        <f t="shared" si="85"/>
        <v>0</v>
      </c>
      <c r="W192" s="133" t="str">
        <f t="shared" si="86"/>
        <v/>
      </c>
      <c r="X192" s="132"/>
      <c r="Y192" s="132"/>
      <c r="Z192" s="132"/>
      <c r="AA192" s="132"/>
    </row>
    <row r="193" spans="1:27" ht="20.100000000000001" hidden="1" customHeight="1">
      <c r="A193" s="300">
        <v>30100003</v>
      </c>
      <c r="B193" s="141" t="s">
        <v>198</v>
      </c>
      <c r="C193" s="478" t="s">
        <v>190</v>
      </c>
      <c r="D193" s="108">
        <v>4.8</v>
      </c>
      <c r="E193" s="108"/>
      <c r="F193" s="127"/>
      <c r="G193" s="128"/>
      <c r="H193" s="488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9"/>
      <c r="P193" s="479"/>
      <c r="Q193" s="479"/>
      <c r="R193" s="479"/>
      <c r="S193" s="479"/>
      <c r="T193" s="479"/>
      <c r="U193" s="47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30100004</v>
      </c>
      <c r="B194" s="141" t="s">
        <v>198</v>
      </c>
      <c r="C194" s="478" t="s">
        <v>187</v>
      </c>
      <c r="D194" s="108">
        <v>4.8</v>
      </c>
      <c r="E194" s="108"/>
      <c r="F194" s="127"/>
      <c r="G194" s="128"/>
      <c r="H194" s="488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9"/>
      <c r="P194" s="479"/>
      <c r="Q194" s="479"/>
      <c r="R194" s="479"/>
      <c r="S194" s="479"/>
      <c r="T194" s="479"/>
      <c r="U194" s="47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30100006</v>
      </c>
      <c r="B195" s="141" t="s">
        <v>198</v>
      </c>
      <c r="C195" s="478" t="s">
        <v>179</v>
      </c>
      <c r="D195" s="108">
        <v>4.8</v>
      </c>
      <c r="E195" s="108"/>
      <c r="F195" s="127"/>
      <c r="G195" s="128"/>
      <c r="H195" s="488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9"/>
      <c r="P195" s="479"/>
      <c r="Q195" s="479"/>
      <c r="R195" s="479"/>
      <c r="S195" s="479"/>
      <c r="T195" s="479"/>
      <c r="U195" s="47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30100005</v>
      </c>
      <c r="B196" s="141" t="s">
        <v>198</v>
      </c>
      <c r="C196" s="478" t="s">
        <v>199</v>
      </c>
      <c r="D196" s="108">
        <v>4.8</v>
      </c>
      <c r="E196" s="108"/>
      <c r="F196" s="127"/>
      <c r="G196" s="128"/>
      <c r="H196" s="488">
        <f t="shared" si="82"/>
        <v>0</v>
      </c>
      <c r="I196" s="129"/>
      <c r="J196" s="130"/>
      <c r="K196" s="131">
        <f t="array" ref="K196">IF(ISERROR(G196/L196),"",G196/L196)</f>
        <v>0</v>
      </c>
      <c r="L196" s="129">
        <v>4</v>
      </c>
      <c r="M196" s="109">
        <f t="shared" si="83"/>
        <v>0</v>
      </c>
      <c r="N196" s="130"/>
      <c r="O196" s="479"/>
      <c r="P196" s="479"/>
      <c r="Q196" s="479"/>
      <c r="R196" s="479"/>
      <c r="S196" s="479"/>
      <c r="T196" s="479"/>
      <c r="U196" s="479"/>
      <c r="V196" s="132"/>
      <c r="W196" s="133"/>
      <c r="X196" s="132"/>
      <c r="Y196" s="132"/>
      <c r="Z196" s="132"/>
      <c r="AA196" s="132"/>
    </row>
    <row r="197" spans="1:27" ht="20.100000000000001" hidden="1" customHeight="1">
      <c r="A197" s="300">
        <v>30100009</v>
      </c>
      <c r="B197" s="141" t="s">
        <v>200</v>
      </c>
      <c r="C197" s="126" t="s">
        <v>190</v>
      </c>
      <c r="D197" s="108">
        <v>4.99</v>
      </c>
      <c r="E197" s="108"/>
      <c r="F197" s="127"/>
      <c r="G197" s="128"/>
      <c r="H197" s="488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ref="N197:N198" si="87">SUM(O197:U197)</f>
        <v>0</v>
      </c>
      <c r="O197" s="479"/>
      <c r="P197" s="479"/>
      <c r="Q197" s="479"/>
      <c r="R197" s="479"/>
      <c r="S197" s="479"/>
      <c r="T197" s="479"/>
      <c r="U197" s="479"/>
      <c r="V197" s="132">
        <f t="shared" ref="V197:V198" si="88">SUM(X197:AA197)</f>
        <v>0</v>
      </c>
      <c r="W197" s="133" t="str">
        <f t="shared" ref="W197:W198" si="89">IF(ISERROR(V197/G197),"",V197/G197)</f>
        <v/>
      </c>
      <c r="X197" s="132"/>
      <c r="Y197" s="132"/>
      <c r="Z197" s="132"/>
      <c r="AA197" s="132"/>
    </row>
    <row r="198" spans="1:27" ht="20.100000000000001" hidden="1" customHeight="1">
      <c r="A198" s="299">
        <v>30200004</v>
      </c>
      <c r="B198" s="141" t="s">
        <v>200</v>
      </c>
      <c r="C198" s="126" t="s">
        <v>189</v>
      </c>
      <c r="D198" s="108">
        <v>4.99</v>
      </c>
      <c r="E198" s="108"/>
      <c r="F198" s="142"/>
      <c r="G198" s="128"/>
      <c r="H198" s="488">
        <f t="shared" si="82"/>
        <v>0</v>
      </c>
      <c r="I198" s="129"/>
      <c r="J198" s="130" t="str">
        <f t="array" ref="J198">IF(ISERROR(G198/I198),"",G198/I198)</f>
        <v/>
      </c>
      <c r="K198" s="131">
        <f t="array" ref="K198">IF(ISERROR(G198/L198),"",G198/L198)</f>
        <v>0</v>
      </c>
      <c r="L198" s="129">
        <v>23.5</v>
      </c>
      <c r="M198" s="109">
        <f t="shared" si="83"/>
        <v>0</v>
      </c>
      <c r="N198" s="130">
        <f t="shared" si="87"/>
        <v>0</v>
      </c>
      <c r="O198" s="479"/>
      <c r="P198" s="479"/>
      <c r="Q198" s="479"/>
      <c r="R198" s="479"/>
      <c r="S198" s="479"/>
      <c r="T198" s="479"/>
      <c r="U198" s="479"/>
      <c r="V198" s="132">
        <f t="shared" si="88"/>
        <v>0</v>
      </c>
      <c r="W198" s="133" t="str">
        <f t="shared" si="89"/>
        <v/>
      </c>
      <c r="X198" s="132"/>
      <c r="Y198" s="132"/>
      <c r="Z198" s="132"/>
      <c r="AA198" s="132"/>
    </row>
    <row r="199" spans="1:27" ht="20.100000000000001" customHeight="1">
      <c r="A199" s="618" t="s">
        <v>201</v>
      </c>
      <c r="B199" s="619"/>
      <c r="C199" s="486" t="s">
        <v>202</v>
      </c>
      <c r="D199" s="143"/>
      <c r="E199" s="143"/>
      <c r="F199" s="144"/>
      <c r="G199" s="145">
        <f>SUM(G178:G198)</f>
        <v>413</v>
      </c>
      <c r="H199" s="146">
        <f>SUM(H178:H198)</f>
        <v>2077.67</v>
      </c>
      <c r="I199" s="146">
        <f>SUM(I178:I198)</f>
        <v>31</v>
      </c>
      <c r="J199" s="130">
        <f t="array" ref="J199">IF(ISERROR(G199/I199),"",G199/I199)</f>
        <v>13.32258064516129</v>
      </c>
      <c r="K199" s="146">
        <f>SUM(K178:K198)</f>
        <v>21.736842105263158</v>
      </c>
      <c r="L199" s="147"/>
      <c r="M199" s="150">
        <f t="shared" ref="M199:AA199" si="90">SUM(M178:M198)</f>
        <v>9.2631578947368425</v>
      </c>
      <c r="N199" s="146">
        <f t="shared" si="90"/>
        <v>0</v>
      </c>
      <c r="O199" s="148">
        <f t="shared" si="90"/>
        <v>0</v>
      </c>
      <c r="P199" s="148">
        <f t="shared" si="90"/>
        <v>0</v>
      </c>
      <c r="Q199" s="148">
        <f t="shared" si="90"/>
        <v>0</v>
      </c>
      <c r="R199" s="148">
        <f t="shared" si="90"/>
        <v>0</v>
      </c>
      <c r="S199" s="148">
        <f t="shared" si="90"/>
        <v>0</v>
      </c>
      <c r="T199" s="148">
        <f t="shared" si="90"/>
        <v>0</v>
      </c>
      <c r="U199" s="148">
        <f t="shared" si="90"/>
        <v>0</v>
      </c>
      <c r="V199" s="149">
        <f t="shared" si="90"/>
        <v>0</v>
      </c>
      <c r="W199" s="133">
        <f t="shared" si="90"/>
        <v>0</v>
      </c>
      <c r="X199" s="149">
        <f t="shared" si="90"/>
        <v>0</v>
      </c>
      <c r="Y199" s="149">
        <f t="shared" si="90"/>
        <v>0</v>
      </c>
      <c r="Z199" s="149">
        <f t="shared" si="90"/>
        <v>0</v>
      </c>
      <c r="AA199" s="149">
        <f t="shared" si="90"/>
        <v>0</v>
      </c>
    </row>
    <row r="200" spans="1:27" ht="20.100000000000001" hidden="1" customHeight="1">
      <c r="A200" s="300">
        <v>30100012</v>
      </c>
      <c r="B200" s="480" t="s">
        <v>206</v>
      </c>
      <c r="C200" s="126" t="s">
        <v>199</v>
      </c>
      <c r="D200" s="108">
        <v>5.03</v>
      </c>
      <c r="E200" s="108"/>
      <c r="F200" s="127"/>
      <c r="G200" s="128"/>
      <c r="H200" s="488">
        <f t="shared" ref="H200:H256" si="91">D200*G200</f>
        <v>0</v>
      </c>
      <c r="I200" s="129"/>
      <c r="J200" s="130" t="str">
        <f t="array" ref="J200">IF(ISERROR(G200/I200),"",G200/I200)</f>
        <v/>
      </c>
      <c r="K200" s="131">
        <f t="array" ref="K200">IF(ISERROR(G200/L200),"",G200/L200)</f>
        <v>0</v>
      </c>
      <c r="L200" s="129">
        <v>52</v>
      </c>
      <c r="M200" s="109">
        <f t="shared" ref="M200" si="92">IF(ISERROR(I200-K200),"",I200-K200)</f>
        <v>0</v>
      </c>
      <c r="N200" s="130">
        <f t="shared" ref="N200" si="93">SUM(O200:U200)</f>
        <v>0</v>
      </c>
      <c r="O200" s="483"/>
      <c r="P200" s="483"/>
      <c r="Q200" s="483"/>
      <c r="R200" s="483"/>
      <c r="S200" s="483"/>
      <c r="T200" s="483"/>
      <c r="U200" s="483"/>
      <c r="V200" s="132">
        <f t="shared" ref="V200" si="94">SUM(X200:AA200)</f>
        <v>0</v>
      </c>
      <c r="W200" s="133" t="str">
        <f t="shared" ref="W200" si="95">IF(ISERROR(V200/G200),"",V200/G200)</f>
        <v/>
      </c>
      <c r="X200" s="132"/>
      <c r="Y200" s="132"/>
      <c r="Z200" s="132"/>
      <c r="AA200" s="132"/>
    </row>
    <row r="201" spans="1:27" ht="20.100000000000001" hidden="1" customHeight="1">
      <c r="A201" s="300">
        <v>30100011</v>
      </c>
      <c r="B201" s="480" t="s">
        <v>425</v>
      </c>
      <c r="C201" s="187" t="s">
        <v>427</v>
      </c>
      <c r="D201" s="108">
        <v>5.03</v>
      </c>
      <c r="E201" s="108"/>
      <c r="F201" s="127"/>
      <c r="G201" s="128"/>
      <c r="H201" s="488">
        <f t="shared" si="91"/>
        <v>0</v>
      </c>
      <c r="I201" s="129"/>
      <c r="J201" s="130"/>
      <c r="K201" s="131"/>
      <c r="L201" s="129">
        <v>52</v>
      </c>
      <c r="M201" s="109"/>
      <c r="N201" s="130"/>
      <c r="O201" s="483"/>
      <c r="P201" s="483"/>
      <c r="Q201" s="483"/>
      <c r="R201" s="483"/>
      <c r="S201" s="483"/>
      <c r="T201" s="483"/>
      <c r="U201" s="483"/>
      <c r="V201" s="132"/>
      <c r="W201" s="133"/>
      <c r="X201" s="132"/>
      <c r="Y201" s="132"/>
      <c r="Z201" s="132"/>
      <c r="AA201" s="132"/>
    </row>
    <row r="202" spans="1:27" ht="20.100000000000001" customHeight="1">
      <c r="A202" s="300">
        <v>30100010</v>
      </c>
      <c r="B202" s="480" t="s">
        <v>206</v>
      </c>
      <c r="C202" s="126" t="s">
        <v>186</v>
      </c>
      <c r="D202" s="108">
        <v>5.03</v>
      </c>
      <c r="E202" s="108"/>
      <c r="F202" s="127">
        <v>42739</v>
      </c>
      <c r="G202" s="128">
        <f>3+40+68+1+108*3+24-108</f>
        <v>352</v>
      </c>
      <c r="H202" s="488">
        <f t="shared" si="91"/>
        <v>1770.5600000000002</v>
      </c>
      <c r="I202" s="129">
        <f>2.5*2</f>
        <v>5</v>
      </c>
      <c r="J202" s="130">
        <f t="array" ref="J202">IF(ISERROR(G202/I202),"",G202/I202)</f>
        <v>70.400000000000006</v>
      </c>
      <c r="K202" s="131">
        <f t="array" ref="K202">IF(ISERROR(G202/L202),"",G202/L202)</f>
        <v>6.7692307692307692</v>
      </c>
      <c r="L202" s="129">
        <v>52</v>
      </c>
      <c r="M202" s="109">
        <f t="shared" ref="M202" si="96">IF(ISERROR(I202-K202),"",I202-K202)</f>
        <v>-1.7692307692307692</v>
      </c>
      <c r="N202" s="130">
        <f t="shared" ref="N202:N204" si="97">SUM(O202:U202)</f>
        <v>0</v>
      </c>
      <c r="O202" s="483"/>
      <c r="P202" s="483"/>
      <c r="Q202" s="483"/>
      <c r="R202" s="483"/>
      <c r="S202" s="483"/>
      <c r="T202" s="483"/>
      <c r="U202" s="483"/>
      <c r="V202" s="132">
        <f t="shared" ref="V202:V204" si="98">SUM(X202:AA202)</f>
        <v>0</v>
      </c>
      <c r="W202" s="133">
        <f t="shared" ref="W202:W204" si="99">IF(ISERROR(V202/G202),"",V202/G202)</f>
        <v>0</v>
      </c>
      <c r="X202" s="132"/>
      <c r="Y202" s="132"/>
      <c r="Z202" s="132"/>
      <c r="AA202" s="132"/>
    </row>
    <row r="203" spans="1:27" ht="20.100000000000001" hidden="1" customHeight="1">
      <c r="A203" s="300">
        <v>30100014</v>
      </c>
      <c r="B203" s="480" t="s">
        <v>206</v>
      </c>
      <c r="C203" s="126" t="s">
        <v>203</v>
      </c>
      <c r="D203" s="108">
        <v>5.03</v>
      </c>
      <c r="E203" s="108"/>
      <c r="F203" s="127"/>
      <c r="G203" s="128"/>
      <c r="H203" s="488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>IF(ISERROR(I203-K203),"",I203-K203)</f>
        <v>0</v>
      </c>
      <c r="N203" s="130">
        <f t="shared" si="97"/>
        <v>0</v>
      </c>
      <c r="O203" s="483"/>
      <c r="P203" s="483"/>
      <c r="Q203" s="483"/>
      <c r="R203" s="483"/>
      <c r="S203" s="483"/>
      <c r="T203" s="483"/>
      <c r="U203" s="483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30100013</v>
      </c>
      <c r="B204" s="480" t="s">
        <v>206</v>
      </c>
      <c r="C204" s="126" t="s">
        <v>207</v>
      </c>
      <c r="D204" s="108">
        <v>5.03</v>
      </c>
      <c r="E204" s="108"/>
      <c r="F204" s="127">
        <v>42743</v>
      </c>
      <c r="G204" s="128">
        <f>108*5+108*7</f>
        <v>1296</v>
      </c>
      <c r="H204" s="488">
        <f t="shared" si="91"/>
        <v>6518.88</v>
      </c>
      <c r="I204" s="129">
        <f>9*2</f>
        <v>18</v>
      </c>
      <c r="J204" s="130">
        <f t="array" ref="J204">IF(ISERROR(G204/I204),"",G204/I204)</f>
        <v>72</v>
      </c>
      <c r="K204" s="131">
        <f t="array" ref="K204">IF(ISERROR(G204/L204),"",G204/L204)</f>
        <v>24.923076923076923</v>
      </c>
      <c r="L204" s="129">
        <v>52</v>
      </c>
      <c r="M204" s="109">
        <f t="shared" ref="M204" si="100">IF(ISERROR(I204-K204),"",I204-K204)</f>
        <v>-6.9230769230769234</v>
      </c>
      <c r="N204" s="130">
        <f t="shared" si="97"/>
        <v>0</v>
      </c>
      <c r="O204" s="483"/>
      <c r="P204" s="483"/>
      <c r="Q204" s="483"/>
      <c r="R204" s="483"/>
      <c r="S204" s="483"/>
      <c r="T204" s="483"/>
      <c r="U204" s="483"/>
      <c r="V204" s="132">
        <f t="shared" si="98"/>
        <v>0</v>
      </c>
      <c r="W204" s="133">
        <f t="shared" si="99"/>
        <v>0</v>
      </c>
      <c r="X204" s="132"/>
      <c r="Y204" s="132"/>
      <c r="Z204" s="132"/>
      <c r="AA204" s="132"/>
    </row>
    <row r="205" spans="1:27" ht="20.100000000000001" hidden="1" customHeight="1">
      <c r="A205" s="300">
        <v>30100016</v>
      </c>
      <c r="B205" s="480" t="s">
        <v>414</v>
      </c>
      <c r="C205" s="187" t="s">
        <v>415</v>
      </c>
      <c r="D205" s="108">
        <v>5.03</v>
      </c>
      <c r="E205" s="108"/>
      <c r="F205" s="127"/>
      <c r="G205" s="128"/>
      <c r="H205" s="488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83"/>
      <c r="P205" s="483"/>
      <c r="Q205" s="483"/>
      <c r="R205" s="483"/>
      <c r="S205" s="483"/>
      <c r="T205" s="483"/>
      <c r="U205" s="483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30100017</v>
      </c>
      <c r="B206" s="480" t="s">
        <v>414</v>
      </c>
      <c r="C206" s="187" t="s">
        <v>416</v>
      </c>
      <c r="D206" s="108">
        <v>5.03</v>
      </c>
      <c r="E206" s="108"/>
      <c r="F206" s="127"/>
      <c r="G206" s="128"/>
      <c r="H206" s="488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83"/>
      <c r="P206" s="483"/>
      <c r="Q206" s="483"/>
      <c r="R206" s="483"/>
      <c r="S206" s="483"/>
      <c r="T206" s="483"/>
      <c r="U206" s="483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30100015</v>
      </c>
      <c r="B207" s="480" t="s">
        <v>414</v>
      </c>
      <c r="C207" s="187" t="s">
        <v>61</v>
      </c>
      <c r="D207" s="108">
        <v>5.03</v>
      </c>
      <c r="E207" s="108"/>
      <c r="F207" s="127"/>
      <c r="G207" s="128"/>
      <c r="H207" s="488">
        <f t="shared" si="91"/>
        <v>0</v>
      </c>
      <c r="I207" s="129"/>
      <c r="J207" s="130"/>
      <c r="K207" s="131"/>
      <c r="L207" s="129">
        <v>52</v>
      </c>
      <c r="M207" s="109"/>
      <c r="N207" s="130"/>
      <c r="O207" s="483"/>
      <c r="P207" s="483"/>
      <c r="Q207" s="483"/>
      <c r="R207" s="483"/>
      <c r="S207" s="483"/>
      <c r="T207" s="483"/>
      <c r="U207" s="483"/>
      <c r="V207" s="132"/>
      <c r="W207" s="133"/>
      <c r="X207" s="132"/>
      <c r="Y207" s="132"/>
      <c r="Z207" s="132"/>
      <c r="AA207" s="132"/>
    </row>
    <row r="208" spans="1:27" ht="20.100000000000001" hidden="1" customHeight="1">
      <c r="A208" s="300">
        <v>30100027</v>
      </c>
      <c r="B208" s="480" t="s">
        <v>208</v>
      </c>
      <c r="C208" s="126" t="s">
        <v>179</v>
      </c>
      <c r="D208" s="108">
        <v>5.08</v>
      </c>
      <c r="E208" s="108"/>
      <c r="F208" s="127"/>
      <c r="G208" s="128"/>
      <c r="H208" s="488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ref="M208:M237" si="101">IF(ISERROR(I208-K208),"",I208-K208)</f>
        <v>0</v>
      </c>
      <c r="N208" s="130">
        <f t="shared" ref="N208:N237" si="102">SUM(O208:U208)</f>
        <v>0</v>
      </c>
      <c r="O208" s="483"/>
      <c r="P208" s="483"/>
      <c r="Q208" s="483"/>
      <c r="R208" s="483"/>
      <c r="S208" s="483"/>
      <c r="T208" s="483"/>
      <c r="U208" s="483"/>
      <c r="V208" s="132">
        <f t="shared" ref="V208:V219" si="103">SUM(X208:AA208)</f>
        <v>0</v>
      </c>
      <c r="W208" s="133" t="str">
        <f t="shared" ref="W208:W219" si="104">IF(ISERROR(V208/G208),"",V208/G208)</f>
        <v/>
      </c>
      <c r="X208" s="132"/>
      <c r="Y208" s="132"/>
      <c r="Z208" s="132"/>
      <c r="AA208" s="132"/>
    </row>
    <row r="209" spans="1:27" ht="20.100000000000001" hidden="1" customHeight="1">
      <c r="A209" s="300">
        <v>30100023</v>
      </c>
      <c r="B209" s="480" t="s">
        <v>208</v>
      </c>
      <c r="C209" s="126" t="s">
        <v>204</v>
      </c>
      <c r="D209" s="108">
        <v>5.08</v>
      </c>
      <c r="E209" s="108"/>
      <c r="F209" s="127"/>
      <c r="G209" s="128"/>
      <c r="H209" s="488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83"/>
      <c r="P209" s="483"/>
      <c r="Q209" s="483"/>
      <c r="R209" s="483"/>
      <c r="S209" s="483"/>
      <c r="T209" s="483"/>
      <c r="U209" s="483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30100024</v>
      </c>
      <c r="B210" s="480" t="s">
        <v>208</v>
      </c>
      <c r="C210" s="126" t="s">
        <v>205</v>
      </c>
      <c r="D210" s="108">
        <v>5.08</v>
      </c>
      <c r="E210" s="108"/>
      <c r="F210" s="127"/>
      <c r="G210" s="128"/>
      <c r="H210" s="488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83"/>
      <c r="P210" s="483"/>
      <c r="Q210" s="483"/>
      <c r="R210" s="483"/>
      <c r="S210" s="483"/>
      <c r="T210" s="483"/>
      <c r="U210" s="483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30100022</v>
      </c>
      <c r="B211" s="480" t="s">
        <v>208</v>
      </c>
      <c r="C211" s="126" t="s">
        <v>186</v>
      </c>
      <c r="D211" s="108">
        <v>5.08</v>
      </c>
      <c r="E211" s="108"/>
      <c r="F211" s="127"/>
      <c r="G211" s="128"/>
      <c r="H211" s="488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83"/>
      <c r="P211" s="483"/>
      <c r="Q211" s="483"/>
      <c r="R211" s="483"/>
      <c r="S211" s="483"/>
      <c r="T211" s="483"/>
      <c r="U211" s="483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30100029</v>
      </c>
      <c r="B212" s="480" t="s">
        <v>208</v>
      </c>
      <c r="C212" s="126" t="s">
        <v>203</v>
      </c>
      <c r="D212" s="108">
        <v>5.08</v>
      </c>
      <c r="E212" s="108"/>
      <c r="F212" s="127"/>
      <c r="G212" s="128"/>
      <c r="H212" s="488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83"/>
      <c r="P212" s="483"/>
      <c r="Q212" s="483"/>
      <c r="R212" s="483"/>
      <c r="S212" s="483"/>
      <c r="T212" s="483"/>
      <c r="U212" s="48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customHeight="1">
      <c r="A213" s="300">
        <v>30100026</v>
      </c>
      <c r="B213" s="480" t="s">
        <v>208</v>
      </c>
      <c r="C213" s="126" t="s">
        <v>199</v>
      </c>
      <c r="D213" s="108">
        <v>5.08</v>
      </c>
      <c r="E213" s="108"/>
      <c r="F213" s="127">
        <v>42744</v>
      </c>
      <c r="G213" s="128">
        <f>48+108</f>
        <v>156</v>
      </c>
      <c r="H213" s="488">
        <f t="shared" si="91"/>
        <v>792.48</v>
      </c>
      <c r="I213" s="129">
        <f>2.5*4</f>
        <v>10</v>
      </c>
      <c r="J213" s="130">
        <f t="array" ref="J213">IF(ISERROR(G213/I213),"",G213/I213)</f>
        <v>15.6</v>
      </c>
      <c r="K213" s="131">
        <f t="array" ref="K213">IF(ISERROR(G213/L213),"",G213/L213)</f>
        <v>7.4285714285714288</v>
      </c>
      <c r="L213" s="129">
        <v>21</v>
      </c>
      <c r="M213" s="109">
        <f t="shared" si="101"/>
        <v>2.5714285714285712</v>
      </c>
      <c r="N213" s="130">
        <f t="shared" si="102"/>
        <v>0</v>
      </c>
      <c r="O213" s="479"/>
      <c r="P213" s="479"/>
      <c r="Q213" s="479"/>
      <c r="R213" s="479"/>
      <c r="S213" s="479"/>
      <c r="T213" s="479"/>
      <c r="U213" s="479"/>
      <c r="V213" s="132">
        <f t="shared" si="103"/>
        <v>0</v>
      </c>
      <c r="W213" s="133">
        <f t="shared" si="104"/>
        <v>0</v>
      </c>
      <c r="X213" s="132"/>
      <c r="Y213" s="132"/>
      <c r="Z213" s="132"/>
      <c r="AA213" s="132"/>
    </row>
    <row r="214" spans="1:27" ht="20.100000000000001" hidden="1" customHeight="1">
      <c r="A214" s="300">
        <v>30100025</v>
      </c>
      <c r="B214" s="480" t="s">
        <v>208</v>
      </c>
      <c r="C214" s="126" t="s">
        <v>187</v>
      </c>
      <c r="D214" s="108">
        <v>5.08</v>
      </c>
      <c r="E214" s="108"/>
      <c r="F214" s="127"/>
      <c r="G214" s="128"/>
      <c r="H214" s="488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83"/>
      <c r="P214" s="483"/>
      <c r="Q214" s="483"/>
      <c r="R214" s="483"/>
      <c r="S214" s="483"/>
      <c r="T214" s="483"/>
      <c r="U214" s="48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30100028</v>
      </c>
      <c r="B215" s="480" t="s">
        <v>208</v>
      </c>
      <c r="C215" s="126" t="s">
        <v>207</v>
      </c>
      <c r="D215" s="108">
        <v>5.08</v>
      </c>
      <c r="E215" s="108"/>
      <c r="F215" s="127">
        <v>42742</v>
      </c>
      <c r="G215" s="128">
        <f>26+108*5+58</f>
        <v>624</v>
      </c>
      <c r="H215" s="488">
        <f t="shared" si="91"/>
        <v>3169.92</v>
      </c>
      <c r="I215" s="129">
        <f>9*4</f>
        <v>36</v>
      </c>
      <c r="J215" s="130">
        <f t="array" ref="J215">IF(ISERROR(G215/I215),"",G215/I215)</f>
        <v>17.333333333333332</v>
      </c>
      <c r="K215" s="131">
        <f t="array" ref="K215">IF(ISERROR(G215/L215),"",G215/L215)</f>
        <v>29.714285714285715</v>
      </c>
      <c r="L215" s="129">
        <v>21</v>
      </c>
      <c r="M215" s="109">
        <f t="shared" si="101"/>
        <v>6.2857142857142847</v>
      </c>
      <c r="N215" s="130">
        <f t="shared" si="102"/>
        <v>0</v>
      </c>
      <c r="O215" s="479"/>
      <c r="P215" s="479"/>
      <c r="Q215" s="479"/>
      <c r="R215" s="479"/>
      <c r="S215" s="479"/>
      <c r="T215" s="479"/>
      <c r="U215" s="479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30100032</v>
      </c>
      <c r="B216" s="480" t="s">
        <v>209</v>
      </c>
      <c r="C216" s="126" t="s">
        <v>194</v>
      </c>
      <c r="D216" s="108">
        <v>5.03</v>
      </c>
      <c r="E216" s="108"/>
      <c r="F216" s="127"/>
      <c r="G216" s="128"/>
      <c r="H216" s="488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83"/>
      <c r="P216" s="483"/>
      <c r="Q216" s="483"/>
      <c r="R216" s="483"/>
      <c r="S216" s="483"/>
      <c r="T216" s="483"/>
      <c r="U216" s="483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30100033</v>
      </c>
      <c r="B217" s="480" t="s">
        <v>209</v>
      </c>
      <c r="C217" s="126" t="s">
        <v>179</v>
      </c>
      <c r="D217" s="108">
        <v>5.03</v>
      </c>
      <c r="E217" s="108"/>
      <c r="F217" s="127"/>
      <c r="G217" s="128"/>
      <c r="H217" s="488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83"/>
      <c r="P217" s="483"/>
      <c r="Q217" s="483"/>
      <c r="R217" s="483"/>
      <c r="S217" s="483"/>
      <c r="T217" s="483"/>
      <c r="U217" s="483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30100062</v>
      </c>
      <c r="B218" s="480" t="s">
        <v>209</v>
      </c>
      <c r="C218" s="126" t="s">
        <v>195</v>
      </c>
      <c r="D218" s="108">
        <v>5.03</v>
      </c>
      <c r="E218" s="108"/>
      <c r="F218" s="127"/>
      <c r="G218" s="128"/>
      <c r="H218" s="488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83"/>
      <c r="P218" s="483"/>
      <c r="Q218" s="483"/>
      <c r="R218" s="483"/>
      <c r="S218" s="483"/>
      <c r="T218" s="483"/>
      <c r="U218" s="483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30100031</v>
      </c>
      <c r="B219" s="480" t="s">
        <v>209</v>
      </c>
      <c r="C219" s="126" t="s">
        <v>204</v>
      </c>
      <c r="D219" s="108">
        <v>5.03</v>
      </c>
      <c r="E219" s="108"/>
      <c r="F219" s="127"/>
      <c r="G219" s="128"/>
      <c r="H219" s="488">
        <f t="shared" si="91"/>
        <v>0</v>
      </c>
      <c r="I219" s="129"/>
      <c r="J219" s="130" t="str">
        <f t="array" ref="J219">IF(ISERROR(G219/I219),"",G219/I219)</f>
        <v/>
      </c>
      <c r="K219" s="131">
        <f t="array" ref="K219">IF(ISERROR(G219/L219),"",G219/L219)</f>
        <v>0</v>
      </c>
      <c r="L219" s="129">
        <v>56</v>
      </c>
      <c r="M219" s="109">
        <f t="shared" si="101"/>
        <v>0</v>
      </c>
      <c r="N219" s="130">
        <f t="shared" si="102"/>
        <v>0</v>
      </c>
      <c r="O219" s="483"/>
      <c r="P219" s="483"/>
      <c r="Q219" s="483"/>
      <c r="R219" s="483"/>
      <c r="S219" s="483"/>
      <c r="T219" s="483"/>
      <c r="U219" s="483"/>
      <c r="V219" s="132">
        <f t="shared" si="103"/>
        <v>0</v>
      </c>
      <c r="W219" s="133" t="str">
        <f t="shared" si="104"/>
        <v/>
      </c>
      <c r="X219" s="132"/>
      <c r="Y219" s="132"/>
      <c r="Z219" s="132"/>
      <c r="AA219" s="132"/>
    </row>
    <row r="220" spans="1:27" ht="20.100000000000001" hidden="1" customHeight="1">
      <c r="A220" s="300">
        <v>30100019</v>
      </c>
      <c r="B220" s="480" t="s">
        <v>382</v>
      </c>
      <c r="C220" s="187" t="s">
        <v>383</v>
      </c>
      <c r="D220" s="108">
        <v>5.03</v>
      </c>
      <c r="E220" s="108"/>
      <c r="F220" s="127"/>
      <c r="G220" s="128"/>
      <c r="H220" s="488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83"/>
      <c r="P220" s="483"/>
      <c r="Q220" s="483"/>
      <c r="R220" s="483"/>
      <c r="S220" s="483"/>
      <c r="T220" s="483"/>
      <c r="U220" s="483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30100020</v>
      </c>
      <c r="B221" s="480" t="s">
        <v>382</v>
      </c>
      <c r="C221" s="187" t="s">
        <v>384</v>
      </c>
      <c r="D221" s="108">
        <v>5.03</v>
      </c>
      <c r="E221" s="108"/>
      <c r="F221" s="127"/>
      <c r="G221" s="128"/>
      <c r="H221" s="488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83"/>
      <c r="P221" s="483"/>
      <c r="Q221" s="483"/>
      <c r="R221" s="483"/>
      <c r="S221" s="483"/>
      <c r="T221" s="483"/>
      <c r="U221" s="483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30100021</v>
      </c>
      <c r="B222" s="480" t="s">
        <v>382</v>
      </c>
      <c r="C222" s="187" t="s">
        <v>389</v>
      </c>
      <c r="D222" s="108">
        <v>5.03</v>
      </c>
      <c r="E222" s="108"/>
      <c r="F222" s="127"/>
      <c r="G222" s="128"/>
      <c r="H222" s="488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83"/>
      <c r="P222" s="483"/>
      <c r="Q222" s="483"/>
      <c r="R222" s="483"/>
      <c r="S222" s="483"/>
      <c r="T222" s="483"/>
      <c r="U222" s="483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0">
        <v>30100018</v>
      </c>
      <c r="B223" s="480" t="s">
        <v>382</v>
      </c>
      <c r="C223" s="187" t="s">
        <v>391</v>
      </c>
      <c r="D223" s="108">
        <v>5.03</v>
      </c>
      <c r="E223" s="108"/>
      <c r="F223" s="127"/>
      <c r="G223" s="128"/>
      <c r="H223" s="488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54</v>
      </c>
      <c r="M223" s="109">
        <f t="shared" si="101"/>
        <v>0</v>
      </c>
      <c r="N223" s="130">
        <f t="shared" si="102"/>
        <v>0</v>
      </c>
      <c r="O223" s="483"/>
      <c r="P223" s="483"/>
      <c r="Q223" s="483"/>
      <c r="R223" s="483"/>
      <c r="S223" s="483"/>
      <c r="T223" s="483"/>
      <c r="U223" s="483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30700007</v>
      </c>
      <c r="B224" s="480" t="s">
        <v>418</v>
      </c>
      <c r="C224" s="187" t="s">
        <v>364</v>
      </c>
      <c r="D224" s="108">
        <v>5.03</v>
      </c>
      <c r="E224" s="108"/>
      <c r="F224" s="127"/>
      <c r="G224" s="128"/>
      <c r="H224" s="488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83"/>
      <c r="P224" s="483"/>
      <c r="Q224" s="483"/>
      <c r="R224" s="483"/>
      <c r="S224" s="483"/>
      <c r="T224" s="483"/>
      <c r="U224" s="483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30700006</v>
      </c>
      <c r="B225" s="480" t="s">
        <v>418</v>
      </c>
      <c r="C225" s="187" t="s">
        <v>365</v>
      </c>
      <c r="D225" s="108">
        <v>5.03</v>
      </c>
      <c r="E225" s="108"/>
      <c r="F225" s="127"/>
      <c r="G225" s="128"/>
      <c r="H225" s="488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83"/>
      <c r="P225" s="483"/>
      <c r="Q225" s="483"/>
      <c r="R225" s="483"/>
      <c r="S225" s="483"/>
      <c r="T225" s="483"/>
      <c r="U225" s="483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30700008</v>
      </c>
      <c r="B226" s="480" t="s">
        <v>418</v>
      </c>
      <c r="C226" s="187" t="s">
        <v>366</v>
      </c>
      <c r="D226" s="108">
        <v>5.03</v>
      </c>
      <c r="E226" s="108"/>
      <c r="F226" s="127"/>
      <c r="G226" s="128"/>
      <c r="H226" s="488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83"/>
      <c r="P226" s="483"/>
      <c r="Q226" s="483"/>
      <c r="R226" s="483"/>
      <c r="S226" s="483"/>
      <c r="T226" s="483"/>
      <c r="U226" s="483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3">
        <v>30700009</v>
      </c>
      <c r="B227" s="480" t="s">
        <v>418</v>
      </c>
      <c r="C227" s="187" t="s">
        <v>367</v>
      </c>
      <c r="D227" s="108">
        <v>5.03</v>
      </c>
      <c r="E227" s="108"/>
      <c r="F227" s="127"/>
      <c r="G227" s="128"/>
      <c r="H227" s="488">
        <f t="shared" si="91"/>
        <v>0</v>
      </c>
      <c r="I227" s="129"/>
      <c r="J227" s="130"/>
      <c r="K227" s="131">
        <f t="array" ref="K227">IF(ISERROR(G227/L227),"",G227/L227)</f>
        <v>0</v>
      </c>
      <c r="L227" s="129">
        <v>3</v>
      </c>
      <c r="M227" s="109">
        <f t="shared" si="101"/>
        <v>0</v>
      </c>
      <c r="N227" s="130">
        <f t="shared" si="102"/>
        <v>0</v>
      </c>
      <c r="O227" s="483"/>
      <c r="P227" s="483"/>
      <c r="Q227" s="483"/>
      <c r="R227" s="483"/>
      <c r="S227" s="483"/>
      <c r="T227" s="483"/>
      <c r="U227" s="483"/>
      <c r="V227" s="132"/>
      <c r="W227" s="133"/>
      <c r="X227" s="132"/>
      <c r="Y227" s="132"/>
      <c r="Z227" s="132"/>
      <c r="AA227" s="132"/>
    </row>
    <row r="228" spans="1:27" ht="20.100000000000001" hidden="1" customHeight="1">
      <c r="A228" s="300">
        <v>30100036</v>
      </c>
      <c r="B228" s="134" t="s">
        <v>210</v>
      </c>
      <c r="C228" s="126" t="s">
        <v>187</v>
      </c>
      <c r="D228" s="108">
        <v>5.03</v>
      </c>
      <c r="E228" s="108"/>
      <c r="F228" s="127"/>
      <c r="G228" s="128"/>
      <c r="H228" s="488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79"/>
      <c r="P228" s="479"/>
      <c r="Q228" s="479"/>
      <c r="R228" s="479"/>
      <c r="S228" s="479"/>
      <c r="T228" s="479"/>
      <c r="U228" s="479"/>
      <c r="V228" s="132">
        <f t="shared" ref="V228:V237" si="105">SUM(X228:AA228)</f>
        <v>0</v>
      </c>
      <c r="W228" s="133" t="str">
        <f t="shared" ref="W228:W237" si="106">IF(ISERROR(V228/G228),"",V228/G228)</f>
        <v/>
      </c>
      <c r="X228" s="132"/>
      <c r="Y228" s="132"/>
      <c r="Z228" s="132"/>
      <c r="AA228" s="132"/>
    </row>
    <row r="229" spans="1:27" ht="20.100000000000001" hidden="1" customHeight="1">
      <c r="A229" s="300">
        <v>30100034</v>
      </c>
      <c r="B229" s="134" t="s">
        <v>210</v>
      </c>
      <c r="C229" s="126" t="s">
        <v>186</v>
      </c>
      <c r="D229" s="108">
        <v>5.03</v>
      </c>
      <c r="E229" s="108"/>
      <c r="F229" s="127"/>
      <c r="G229" s="128"/>
      <c r="H229" s="488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9"/>
      <c r="P229" s="479"/>
      <c r="Q229" s="479"/>
      <c r="R229" s="479"/>
      <c r="S229" s="479"/>
      <c r="T229" s="479"/>
      <c r="U229" s="47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30100035</v>
      </c>
      <c r="B230" s="134" t="s">
        <v>210</v>
      </c>
      <c r="C230" s="126" t="s">
        <v>194</v>
      </c>
      <c r="D230" s="108">
        <v>5.03</v>
      </c>
      <c r="E230" s="108"/>
      <c r="F230" s="127"/>
      <c r="G230" s="128"/>
      <c r="H230" s="488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40</v>
      </c>
      <c r="M230" s="109">
        <f t="shared" si="101"/>
        <v>0</v>
      </c>
      <c r="N230" s="130">
        <f t="shared" si="102"/>
        <v>0</v>
      </c>
      <c r="O230" s="479"/>
      <c r="P230" s="479"/>
      <c r="Q230" s="479"/>
      <c r="R230" s="479"/>
      <c r="S230" s="479"/>
      <c r="T230" s="479"/>
      <c r="U230" s="47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30100040</v>
      </c>
      <c r="B231" s="134" t="s">
        <v>211</v>
      </c>
      <c r="C231" s="126" t="s">
        <v>212</v>
      </c>
      <c r="D231" s="108">
        <v>5.03</v>
      </c>
      <c r="E231" s="108"/>
      <c r="F231" s="127"/>
      <c r="G231" s="128"/>
      <c r="H231" s="488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9"/>
      <c r="P231" s="479"/>
      <c r="Q231" s="479"/>
      <c r="R231" s="479"/>
      <c r="S231" s="479"/>
      <c r="T231" s="479"/>
      <c r="U231" s="47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30100039</v>
      </c>
      <c r="B232" s="134" t="s">
        <v>211</v>
      </c>
      <c r="C232" s="126" t="s">
        <v>186</v>
      </c>
      <c r="D232" s="108">
        <v>5.03</v>
      </c>
      <c r="E232" s="108"/>
      <c r="F232" s="127"/>
      <c r="G232" s="128"/>
      <c r="H232" s="488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9"/>
      <c r="P232" s="479"/>
      <c r="Q232" s="479"/>
      <c r="R232" s="479"/>
      <c r="S232" s="479"/>
      <c r="T232" s="479"/>
      <c r="U232" s="47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30100042</v>
      </c>
      <c r="B233" s="134" t="s">
        <v>211</v>
      </c>
      <c r="C233" s="126" t="s">
        <v>187</v>
      </c>
      <c r="D233" s="108">
        <v>5.03</v>
      </c>
      <c r="E233" s="108"/>
      <c r="F233" s="127"/>
      <c r="G233" s="128"/>
      <c r="H233" s="488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9"/>
      <c r="P233" s="479"/>
      <c r="Q233" s="479"/>
      <c r="R233" s="479"/>
      <c r="S233" s="479"/>
      <c r="T233" s="479"/>
      <c r="U233" s="47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30100041</v>
      </c>
      <c r="B234" s="134" t="s">
        <v>211</v>
      </c>
      <c r="C234" s="126" t="s">
        <v>194</v>
      </c>
      <c r="D234" s="108">
        <v>5.03</v>
      </c>
      <c r="E234" s="108"/>
      <c r="F234" s="127"/>
      <c r="G234" s="128"/>
      <c r="H234" s="488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9"/>
      <c r="P234" s="479"/>
      <c r="Q234" s="479"/>
      <c r="R234" s="479"/>
      <c r="S234" s="479"/>
      <c r="T234" s="479"/>
      <c r="U234" s="47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30100045</v>
      </c>
      <c r="B235" s="134" t="s">
        <v>213</v>
      </c>
      <c r="C235" s="126" t="s">
        <v>199</v>
      </c>
      <c r="D235" s="108">
        <v>5.03</v>
      </c>
      <c r="E235" s="108"/>
      <c r="F235" s="127"/>
      <c r="G235" s="128"/>
      <c r="H235" s="488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9"/>
      <c r="P235" s="479"/>
      <c r="Q235" s="479"/>
      <c r="R235" s="479"/>
      <c r="S235" s="479"/>
      <c r="T235" s="479"/>
      <c r="U235" s="47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30100044</v>
      </c>
      <c r="B236" s="134" t="s">
        <v>213</v>
      </c>
      <c r="C236" s="126" t="s">
        <v>187</v>
      </c>
      <c r="D236" s="108">
        <v>5.03</v>
      </c>
      <c r="E236" s="108"/>
      <c r="F236" s="127"/>
      <c r="G236" s="128"/>
      <c r="H236" s="488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9"/>
      <c r="P236" s="479"/>
      <c r="Q236" s="479"/>
      <c r="R236" s="479"/>
      <c r="S236" s="479"/>
      <c r="T236" s="479"/>
      <c r="U236" s="47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30100046</v>
      </c>
      <c r="B237" s="134" t="s">
        <v>213</v>
      </c>
      <c r="C237" s="126" t="s">
        <v>207</v>
      </c>
      <c r="D237" s="108">
        <v>5.03</v>
      </c>
      <c r="E237" s="108"/>
      <c r="F237" s="127"/>
      <c r="G237" s="128"/>
      <c r="H237" s="488">
        <f t="shared" si="91"/>
        <v>0</v>
      </c>
      <c r="I237" s="129"/>
      <c r="J237" s="130" t="str">
        <f t="array" ref="J237">IF(ISERROR(G237/I237),"",G237/I237)</f>
        <v/>
      </c>
      <c r="K237" s="131">
        <f t="array" ref="K237">IF(ISERROR(G237/L237),"",G237/L237)</f>
        <v>0</v>
      </c>
      <c r="L237" s="129">
        <v>50</v>
      </c>
      <c r="M237" s="109">
        <f t="shared" si="101"/>
        <v>0</v>
      </c>
      <c r="N237" s="130">
        <f t="shared" si="102"/>
        <v>0</v>
      </c>
      <c r="O237" s="479"/>
      <c r="P237" s="479"/>
      <c r="Q237" s="479"/>
      <c r="R237" s="479"/>
      <c r="S237" s="479"/>
      <c r="T237" s="479"/>
      <c r="U237" s="479"/>
      <c r="V237" s="132">
        <f t="shared" si="105"/>
        <v>0</v>
      </c>
      <c r="W237" s="133" t="str">
        <f t="shared" si="106"/>
        <v/>
      </c>
      <c r="X237" s="132"/>
      <c r="Y237" s="132"/>
      <c r="Z237" s="132"/>
      <c r="AA237" s="132"/>
    </row>
    <row r="238" spans="1:27" ht="20.100000000000001" hidden="1" customHeight="1">
      <c r="A238" s="300">
        <v>30100043</v>
      </c>
      <c r="B238" s="134" t="s">
        <v>429</v>
      </c>
      <c r="C238" s="187" t="s">
        <v>427</v>
      </c>
      <c r="D238" s="108">
        <v>5.03</v>
      </c>
      <c r="E238" s="108"/>
      <c r="F238" s="127"/>
      <c r="G238" s="128"/>
      <c r="H238" s="488">
        <f t="shared" si="91"/>
        <v>0</v>
      </c>
      <c r="I238" s="129"/>
      <c r="J238" s="130"/>
      <c r="K238" s="131"/>
      <c r="L238" s="129">
        <v>50</v>
      </c>
      <c r="M238" s="109"/>
      <c r="N238" s="130"/>
      <c r="O238" s="479"/>
      <c r="P238" s="479"/>
      <c r="Q238" s="479"/>
      <c r="R238" s="479"/>
      <c r="S238" s="479"/>
      <c r="T238" s="479"/>
      <c r="U238" s="47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30100064</v>
      </c>
      <c r="B239" s="134" t="s">
        <v>400</v>
      </c>
      <c r="C239" s="187" t="s">
        <v>398</v>
      </c>
      <c r="D239" s="108">
        <v>5</v>
      </c>
      <c r="E239" s="108"/>
      <c r="F239" s="127"/>
      <c r="G239" s="128"/>
      <c r="H239" s="488">
        <f t="shared" si="91"/>
        <v>0</v>
      </c>
      <c r="I239" s="129"/>
      <c r="J239" s="130"/>
      <c r="K239" s="131">
        <f t="array" ref="K239">IF(ISERROR(G239/L239),"",G239/L239)</f>
        <v>0</v>
      </c>
      <c r="L239" s="129">
        <v>50</v>
      </c>
      <c r="M239" s="109">
        <f t="shared" ref="M239:M250" si="107">IF(ISERROR(I239-K239),"",I239-K239)</f>
        <v>0</v>
      </c>
      <c r="N239" s="130"/>
      <c r="O239" s="479"/>
      <c r="P239" s="479"/>
      <c r="Q239" s="479"/>
      <c r="R239" s="479"/>
      <c r="S239" s="479"/>
      <c r="T239" s="479"/>
      <c r="U239" s="479"/>
      <c r="V239" s="132"/>
      <c r="W239" s="133"/>
      <c r="X239" s="132"/>
      <c r="Y239" s="132"/>
      <c r="Z239" s="132"/>
      <c r="AA239" s="132"/>
    </row>
    <row r="240" spans="1:27" ht="20.100000000000001" customHeight="1">
      <c r="A240" s="300">
        <v>30100049</v>
      </c>
      <c r="B240" s="134" t="s">
        <v>214</v>
      </c>
      <c r="C240" s="126" t="s">
        <v>190</v>
      </c>
      <c r="D240" s="108">
        <v>5.03</v>
      </c>
      <c r="E240" s="108"/>
      <c r="F240" s="127">
        <v>42741</v>
      </c>
      <c r="G240" s="128">
        <f>100*3+23+100</f>
        <v>423</v>
      </c>
      <c r="H240" s="488">
        <f t="shared" si="91"/>
        <v>2127.69</v>
      </c>
      <c r="I240" s="129">
        <f>4.5*4</f>
        <v>18</v>
      </c>
      <c r="J240" s="130">
        <f t="array" ref="J240">IF(ISERROR(G240/I240),"",G240/I240)</f>
        <v>23.5</v>
      </c>
      <c r="K240" s="131">
        <f t="array" ref="K240">IF(ISERROR(G240/L240),"",G240/L240)</f>
        <v>19.674418604651162</v>
      </c>
      <c r="L240" s="129">
        <v>21.5</v>
      </c>
      <c r="M240" s="109">
        <f t="shared" si="107"/>
        <v>-1.6744186046511622</v>
      </c>
      <c r="N240" s="130">
        <f t="shared" ref="N240:N241" si="108">SUM(O240:U240)</f>
        <v>0</v>
      </c>
      <c r="O240" s="479"/>
      <c r="P240" s="479"/>
      <c r="Q240" s="479"/>
      <c r="R240" s="479"/>
      <c r="S240" s="479"/>
      <c r="T240" s="479"/>
      <c r="U240" s="479"/>
      <c r="V240" s="132">
        <f t="shared" ref="V240:V241" si="109">SUM(X240:AA240)</f>
        <v>0</v>
      </c>
      <c r="W240" s="133">
        <f t="shared" ref="W240:W241" si="110">IF(ISERROR(V240/G240),"",V240/G240)</f>
        <v>0</v>
      </c>
      <c r="X240" s="132"/>
      <c r="Y240" s="132"/>
      <c r="Z240" s="132"/>
      <c r="AA240" s="132"/>
    </row>
    <row r="241" spans="1:27" ht="20.100000000000001" hidden="1" customHeight="1">
      <c r="A241" s="300">
        <v>30100050</v>
      </c>
      <c r="B241" s="134" t="s">
        <v>214</v>
      </c>
      <c r="C241" s="126" t="s">
        <v>194</v>
      </c>
      <c r="D241" s="108">
        <v>5.03</v>
      </c>
      <c r="E241" s="108"/>
      <c r="F241" s="127"/>
      <c r="G241" s="128"/>
      <c r="H241" s="488">
        <f t="shared" si="91"/>
        <v>0</v>
      </c>
      <c r="I241" s="129"/>
      <c r="J241" s="130" t="str">
        <f t="array" ref="J241">IF(ISERROR(G241/I241),"",G241/I241)</f>
        <v/>
      </c>
      <c r="K241" s="131">
        <f t="array" ref="K241">IF(ISERROR(G241/L241),"",G241/L241)</f>
        <v>0</v>
      </c>
      <c r="L241" s="129">
        <v>21.5</v>
      </c>
      <c r="M241" s="109">
        <f t="shared" si="107"/>
        <v>0</v>
      </c>
      <c r="N241" s="130">
        <f t="shared" si="108"/>
        <v>0</v>
      </c>
      <c r="O241" s="479"/>
      <c r="P241" s="479"/>
      <c r="Q241" s="479"/>
      <c r="R241" s="479"/>
      <c r="S241" s="479"/>
      <c r="T241" s="479"/>
      <c r="U241" s="479"/>
      <c r="V241" s="132">
        <f t="shared" si="109"/>
        <v>0</v>
      </c>
      <c r="W241" s="133" t="str">
        <f t="shared" si="110"/>
        <v/>
      </c>
      <c r="X241" s="132"/>
      <c r="Y241" s="132"/>
      <c r="Z241" s="132"/>
      <c r="AA241" s="132"/>
    </row>
    <row r="242" spans="1:27" ht="20.100000000000001" hidden="1" customHeight="1">
      <c r="A242" s="300"/>
      <c r="B242" s="134" t="s">
        <v>360</v>
      </c>
      <c r="C242" s="187" t="s">
        <v>361</v>
      </c>
      <c r="D242" s="108"/>
      <c r="E242" s="108"/>
      <c r="F242" s="127"/>
      <c r="G242" s="128"/>
      <c r="H242" s="488">
        <f t="shared" si="91"/>
        <v>0</v>
      </c>
      <c r="I242" s="129"/>
      <c r="J242" s="130"/>
      <c r="K242" s="131"/>
      <c r="L242" s="129"/>
      <c r="M242" s="109">
        <f t="shared" si="107"/>
        <v>0</v>
      </c>
      <c r="N242" s="130"/>
      <c r="O242" s="479"/>
      <c r="P242" s="479"/>
      <c r="Q242" s="479"/>
      <c r="R242" s="479"/>
      <c r="S242" s="479"/>
      <c r="T242" s="479"/>
      <c r="U242" s="479"/>
      <c r="V242" s="132"/>
      <c r="W242" s="133"/>
      <c r="X242" s="132"/>
      <c r="Y242" s="132"/>
      <c r="Z242" s="132"/>
      <c r="AA242" s="132"/>
    </row>
    <row r="243" spans="1:27" ht="20.100000000000001" hidden="1" customHeight="1">
      <c r="A243" s="300">
        <v>30100055</v>
      </c>
      <c r="B243" s="140" t="s">
        <v>215</v>
      </c>
      <c r="C243" s="126" t="s">
        <v>186</v>
      </c>
      <c r="D243" s="108">
        <v>5.0599999999999996</v>
      </c>
      <c r="E243" s="108"/>
      <c r="F243" s="127"/>
      <c r="G243" s="128"/>
      <c r="H243" s="488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ref="N243:N246" si="111">SUM(O243:U243)</f>
        <v>0</v>
      </c>
      <c r="O243" s="479"/>
      <c r="P243" s="479"/>
      <c r="Q243" s="479"/>
      <c r="R243" s="479"/>
      <c r="S243" s="479"/>
      <c r="T243" s="479"/>
      <c r="U243" s="479"/>
      <c r="V243" s="132">
        <f t="shared" ref="V243:V246" si="112">SUM(X243:AA243)</f>
        <v>0</v>
      </c>
      <c r="W243" s="133" t="str">
        <f t="shared" ref="W243:W246" si="113">IF(ISERROR(V243/G243),"",V243/G243)</f>
        <v/>
      </c>
      <c r="X243" s="132"/>
      <c r="Y243" s="132"/>
      <c r="Z243" s="132"/>
      <c r="AA243" s="132"/>
    </row>
    <row r="244" spans="1:27" ht="20.100000000000001" hidden="1" customHeight="1">
      <c r="A244" s="300">
        <v>30100056</v>
      </c>
      <c r="B244" s="140" t="s">
        <v>215</v>
      </c>
      <c r="C244" s="126" t="s">
        <v>204</v>
      </c>
      <c r="D244" s="108">
        <v>5.0599999999999996</v>
      </c>
      <c r="E244" s="108"/>
      <c r="F244" s="127"/>
      <c r="G244" s="128"/>
      <c r="H244" s="488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9"/>
      <c r="P244" s="479"/>
      <c r="Q244" s="479"/>
      <c r="R244" s="479"/>
      <c r="S244" s="479"/>
      <c r="T244" s="479"/>
      <c r="U244" s="47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30100057</v>
      </c>
      <c r="B245" s="140" t="s">
        <v>215</v>
      </c>
      <c r="C245" s="126" t="s">
        <v>194</v>
      </c>
      <c r="D245" s="108">
        <v>5.0599999999999996</v>
      </c>
      <c r="E245" s="108"/>
      <c r="F245" s="127"/>
      <c r="G245" s="128"/>
      <c r="H245" s="488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9"/>
      <c r="P245" s="479"/>
      <c r="Q245" s="479"/>
      <c r="R245" s="479"/>
      <c r="S245" s="479"/>
      <c r="T245" s="479"/>
      <c r="U245" s="47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0">
        <v>30100058</v>
      </c>
      <c r="B246" s="140" t="s">
        <v>215</v>
      </c>
      <c r="C246" s="126" t="s">
        <v>187</v>
      </c>
      <c r="D246" s="108">
        <v>5.0599999999999996</v>
      </c>
      <c r="E246" s="108"/>
      <c r="F246" s="127"/>
      <c r="G246" s="128"/>
      <c r="H246" s="488">
        <f t="shared" si="91"/>
        <v>0</v>
      </c>
      <c r="I246" s="129"/>
      <c r="J246" s="130" t="str">
        <f t="array" ref="J246">IF(ISERROR(G246/I246),"",G246/I246)</f>
        <v/>
      </c>
      <c r="K246" s="131" t="str">
        <f t="array" ref="K246">IF(ISERROR(G246/L246),"",G246/L246)</f>
        <v/>
      </c>
      <c r="L246" s="129"/>
      <c r="M246" s="109" t="str">
        <f t="shared" si="107"/>
        <v/>
      </c>
      <c r="N246" s="130">
        <f t="shared" si="111"/>
        <v>0</v>
      </c>
      <c r="O246" s="479"/>
      <c r="P246" s="479"/>
      <c r="Q246" s="479"/>
      <c r="R246" s="479"/>
      <c r="S246" s="479"/>
      <c r="T246" s="479"/>
      <c r="U246" s="479"/>
      <c r="V246" s="132">
        <f t="shared" si="112"/>
        <v>0</v>
      </c>
      <c r="W246" s="133" t="str">
        <f t="shared" si="113"/>
        <v/>
      </c>
      <c r="X246" s="132"/>
      <c r="Y246" s="132"/>
      <c r="Z246" s="132"/>
      <c r="AA246" s="132"/>
    </row>
    <row r="247" spans="1:27" ht="20.100000000000001" hidden="1" customHeight="1">
      <c r="A247" s="302">
        <v>30600013</v>
      </c>
      <c r="B247" s="196" t="s">
        <v>377</v>
      </c>
      <c r="C247" s="187" t="s">
        <v>374</v>
      </c>
      <c r="D247" s="108"/>
      <c r="E247" s="108"/>
      <c r="F247" s="127"/>
      <c r="G247" s="128"/>
      <c r="H247" s="488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9"/>
      <c r="P247" s="479"/>
      <c r="Q247" s="479"/>
      <c r="R247" s="479"/>
      <c r="S247" s="479"/>
      <c r="T247" s="479"/>
      <c r="U247" s="47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30600014</v>
      </c>
      <c r="B248" s="196" t="s">
        <v>377</v>
      </c>
      <c r="C248" s="187" t="s">
        <v>369</v>
      </c>
      <c r="D248" s="108"/>
      <c r="E248" s="108"/>
      <c r="F248" s="127"/>
      <c r="G248" s="128"/>
      <c r="H248" s="488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9"/>
      <c r="P248" s="479"/>
      <c r="Q248" s="479"/>
      <c r="R248" s="479"/>
      <c r="S248" s="479"/>
      <c r="T248" s="479"/>
      <c r="U248" s="47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30600012</v>
      </c>
      <c r="B249" s="196" t="s">
        <v>377</v>
      </c>
      <c r="C249" s="187" t="s">
        <v>370</v>
      </c>
      <c r="D249" s="108"/>
      <c r="E249" s="108"/>
      <c r="F249" s="127"/>
      <c r="G249" s="128"/>
      <c r="H249" s="488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9"/>
      <c r="P249" s="479"/>
      <c r="Q249" s="479"/>
      <c r="R249" s="479"/>
      <c r="S249" s="479"/>
      <c r="T249" s="479"/>
      <c r="U249" s="47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30600011</v>
      </c>
      <c r="B250" s="196" t="s">
        <v>377</v>
      </c>
      <c r="C250" s="187" t="s">
        <v>371</v>
      </c>
      <c r="D250" s="108"/>
      <c r="E250" s="108"/>
      <c r="F250" s="127"/>
      <c r="G250" s="128"/>
      <c r="H250" s="488">
        <f t="shared" si="91"/>
        <v>0</v>
      </c>
      <c r="I250" s="129"/>
      <c r="J250" s="130"/>
      <c r="K250" s="131">
        <f t="array" ref="K250">IF(ISERROR(G250/L250),"",G250/L250)</f>
        <v>0</v>
      </c>
      <c r="L250" s="129">
        <v>24</v>
      </c>
      <c r="M250" s="109">
        <f t="shared" si="107"/>
        <v>0</v>
      </c>
      <c r="N250" s="130"/>
      <c r="O250" s="479"/>
      <c r="P250" s="479"/>
      <c r="Q250" s="479"/>
      <c r="R250" s="479"/>
      <c r="S250" s="479"/>
      <c r="T250" s="479"/>
      <c r="U250" s="47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30300002</v>
      </c>
      <c r="B251" s="196" t="s">
        <v>407</v>
      </c>
      <c r="C251" s="187" t="s">
        <v>408</v>
      </c>
      <c r="D251" s="108"/>
      <c r="E251" s="108"/>
      <c r="F251" s="127"/>
      <c r="G251" s="128"/>
      <c r="H251" s="488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9"/>
      <c r="P251" s="479"/>
      <c r="Q251" s="479"/>
      <c r="R251" s="479"/>
      <c r="S251" s="479"/>
      <c r="T251" s="479"/>
      <c r="U251" s="47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30300001</v>
      </c>
      <c r="B252" s="196" t="s">
        <v>407</v>
      </c>
      <c r="C252" s="187" t="s">
        <v>409</v>
      </c>
      <c r="D252" s="108"/>
      <c r="E252" s="108"/>
      <c r="F252" s="127"/>
      <c r="G252" s="128"/>
      <c r="H252" s="488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9"/>
      <c r="P252" s="479"/>
      <c r="Q252" s="479"/>
      <c r="R252" s="479"/>
      <c r="S252" s="479"/>
      <c r="T252" s="479"/>
      <c r="U252" s="47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30300003</v>
      </c>
      <c r="B253" s="196" t="s">
        <v>407</v>
      </c>
      <c r="C253" s="187" t="s">
        <v>410</v>
      </c>
      <c r="D253" s="108"/>
      <c r="E253" s="108"/>
      <c r="F253" s="127"/>
      <c r="G253" s="128"/>
      <c r="H253" s="488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9"/>
      <c r="P253" s="479"/>
      <c r="Q253" s="479"/>
      <c r="R253" s="479"/>
      <c r="S253" s="479"/>
      <c r="T253" s="479"/>
      <c r="U253" s="47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30300005</v>
      </c>
      <c r="B254" s="140" t="s">
        <v>363</v>
      </c>
      <c r="C254" s="126" t="s">
        <v>337</v>
      </c>
      <c r="D254" s="108"/>
      <c r="E254" s="108"/>
      <c r="F254" s="127"/>
      <c r="G254" s="128"/>
      <c r="H254" s="488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9"/>
      <c r="P254" s="479"/>
      <c r="Q254" s="479"/>
      <c r="R254" s="479"/>
      <c r="S254" s="479"/>
      <c r="T254" s="479"/>
      <c r="U254" s="47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30300004</v>
      </c>
      <c r="B255" s="140" t="s">
        <v>363</v>
      </c>
      <c r="C255" s="126" t="s">
        <v>339</v>
      </c>
      <c r="D255" s="108"/>
      <c r="E255" s="108"/>
      <c r="F255" s="127"/>
      <c r="G255" s="128"/>
      <c r="H255" s="488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9"/>
      <c r="P255" s="479"/>
      <c r="Q255" s="479"/>
      <c r="R255" s="479"/>
      <c r="S255" s="479"/>
      <c r="T255" s="479"/>
      <c r="U255" s="47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302">
        <v>30300006</v>
      </c>
      <c r="B256" s="140" t="s">
        <v>363</v>
      </c>
      <c r="C256" s="126" t="s">
        <v>341</v>
      </c>
      <c r="D256" s="108"/>
      <c r="E256" s="108"/>
      <c r="F256" s="127"/>
      <c r="G256" s="128"/>
      <c r="H256" s="488">
        <f t="shared" si="91"/>
        <v>0</v>
      </c>
      <c r="I256" s="129"/>
      <c r="J256" s="130"/>
      <c r="K256" s="131"/>
      <c r="L256" s="129">
        <v>4</v>
      </c>
      <c r="M256" s="109"/>
      <c r="N256" s="130"/>
      <c r="O256" s="479"/>
      <c r="P256" s="479"/>
      <c r="Q256" s="479"/>
      <c r="R256" s="479"/>
      <c r="S256" s="479"/>
      <c r="T256" s="479"/>
      <c r="U256" s="479"/>
      <c r="V256" s="132"/>
      <c r="W256" s="133"/>
      <c r="X256" s="132"/>
      <c r="Y256" s="132"/>
      <c r="Z256" s="132"/>
      <c r="AA256" s="132"/>
    </row>
    <row r="257" spans="1:27" ht="20.100000000000001" customHeight="1">
      <c r="A257" s="629" t="s">
        <v>216</v>
      </c>
      <c r="B257" s="629"/>
      <c r="C257" s="486" t="s">
        <v>202</v>
      </c>
      <c r="D257" s="143"/>
      <c r="E257" s="143"/>
      <c r="F257" s="144"/>
      <c r="G257" s="145">
        <f>SUM(G200:G256)</f>
        <v>2851</v>
      </c>
      <c r="H257" s="146">
        <f>SUM(H200:H256)</f>
        <v>14379.53</v>
      </c>
      <c r="I257" s="146">
        <f>SUM(I200:I256)</f>
        <v>87</v>
      </c>
      <c r="J257" s="130">
        <f t="array" ref="J257">IF(ISERROR(G257/I257),"",G257/I257)</f>
        <v>32.770114942528735</v>
      </c>
      <c r="K257" s="146">
        <f>SUM(K200:K256)</f>
        <v>88.509583439816012</v>
      </c>
      <c r="L257" s="147"/>
      <c r="M257" s="150">
        <f t="shared" ref="M257:V257" si="114">SUM(M200:M256)</f>
        <v>-1.5095834398159997</v>
      </c>
      <c r="N257" s="146">
        <f t="shared" si="114"/>
        <v>0</v>
      </c>
      <c r="O257" s="148">
        <f t="shared" si="114"/>
        <v>0</v>
      </c>
      <c r="P257" s="148">
        <f t="shared" si="114"/>
        <v>0</v>
      </c>
      <c r="Q257" s="148">
        <f t="shared" si="114"/>
        <v>0</v>
      </c>
      <c r="R257" s="148">
        <f t="shared" si="114"/>
        <v>0</v>
      </c>
      <c r="S257" s="148">
        <f t="shared" si="114"/>
        <v>0</v>
      </c>
      <c r="T257" s="148">
        <f t="shared" si="114"/>
        <v>0</v>
      </c>
      <c r="U257" s="148">
        <f t="shared" si="114"/>
        <v>0</v>
      </c>
      <c r="V257" s="149">
        <f t="shared" si="114"/>
        <v>0</v>
      </c>
      <c r="W257" s="133">
        <f t="shared" ref="W257:W264" si="115">IF(ISERROR(V257/G257),"",V257/G257)</f>
        <v>0</v>
      </c>
      <c r="X257" s="149">
        <f>SUM(X200:X256)</f>
        <v>0</v>
      </c>
      <c r="Y257" s="149">
        <f>SUM(Y200:Y256)</f>
        <v>0</v>
      </c>
      <c r="Z257" s="149">
        <f>SUM(Z200:Z256)</f>
        <v>0</v>
      </c>
      <c r="AA257" s="149">
        <f>SUM(AA200:AA256)</f>
        <v>0</v>
      </c>
    </row>
    <row r="258" spans="1:27" ht="20.100000000000001" hidden="1" customHeight="1">
      <c r="A258" s="299">
        <v>30400012</v>
      </c>
      <c r="B258" s="480" t="s">
        <v>217</v>
      </c>
      <c r="C258" s="126" t="s">
        <v>179</v>
      </c>
      <c r="D258" s="108">
        <v>5.03</v>
      </c>
      <c r="E258" s="108"/>
      <c r="F258" s="127"/>
      <c r="G258" s="128"/>
      <c r="H258" s="488">
        <f t="shared" ref="H258:H291" si="116">D258*G258</f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ref="M258:M265" si="117">IF(ISERROR(I258-K258),"",I258-K258)</f>
        <v>0</v>
      </c>
      <c r="N258" s="130">
        <f t="shared" ref="N258:N265" si="118">SUM(O258:U258)</f>
        <v>0</v>
      </c>
      <c r="O258" s="479"/>
      <c r="P258" s="479"/>
      <c r="Q258" s="479"/>
      <c r="R258" s="479"/>
      <c r="S258" s="479"/>
      <c r="T258" s="479"/>
      <c r="U258" s="479"/>
      <c r="V258" s="132">
        <f t="shared" ref="V258:V264" si="119">SUM(X258:AA258)</f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30400010</v>
      </c>
      <c r="B259" s="480" t="s">
        <v>217</v>
      </c>
      <c r="C259" s="126" t="s">
        <v>186</v>
      </c>
      <c r="D259" s="108">
        <v>5.03</v>
      </c>
      <c r="E259" s="108"/>
      <c r="F259" s="127"/>
      <c r="G259" s="128"/>
      <c r="H259" s="488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9"/>
      <c r="P259" s="479"/>
      <c r="Q259" s="479"/>
      <c r="R259" s="479"/>
      <c r="S259" s="479"/>
      <c r="T259" s="479"/>
      <c r="U259" s="47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30400011</v>
      </c>
      <c r="B260" s="480" t="s">
        <v>217</v>
      </c>
      <c r="C260" s="126" t="s">
        <v>204</v>
      </c>
      <c r="D260" s="108">
        <v>5.03</v>
      </c>
      <c r="E260" s="108"/>
      <c r="F260" s="127">
        <v>42742</v>
      </c>
      <c r="G260" s="128">
        <v>28</v>
      </c>
      <c r="H260" s="488">
        <f t="shared" si="116"/>
        <v>140.84</v>
      </c>
      <c r="I260" s="129">
        <v>3</v>
      </c>
      <c r="J260" s="130">
        <f t="array" ref="J260">IF(ISERROR(G260/I260),"",G260/I260)</f>
        <v>9.3333333333333339</v>
      </c>
      <c r="K260" s="131">
        <f t="array" ref="K260">IF(ISERROR(G260/L260),"",G260/L260)</f>
        <v>3.1818181818181817</v>
      </c>
      <c r="L260" s="129">
        <v>8.8000000000000007</v>
      </c>
      <c r="M260" s="109">
        <f t="shared" si="117"/>
        <v>-0.18181818181818166</v>
      </c>
      <c r="N260" s="130">
        <f t="shared" si="118"/>
        <v>0</v>
      </c>
      <c r="O260" s="479"/>
      <c r="P260" s="479"/>
      <c r="Q260" s="479"/>
      <c r="R260" s="479"/>
      <c r="S260" s="479"/>
      <c r="T260" s="479"/>
      <c r="U260" s="47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30400014</v>
      </c>
      <c r="B261" s="151" t="s">
        <v>513</v>
      </c>
      <c r="C261" s="126" t="s">
        <v>179</v>
      </c>
      <c r="D261" s="108">
        <v>5.03</v>
      </c>
      <c r="E261" s="108"/>
      <c r="F261" s="127"/>
      <c r="G261" s="128"/>
      <c r="H261" s="488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9"/>
      <c r="P261" s="479"/>
      <c r="Q261" s="479"/>
      <c r="R261" s="479"/>
      <c r="S261" s="479"/>
      <c r="T261" s="479"/>
      <c r="U261" s="47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30400013</v>
      </c>
      <c r="B262" s="151" t="s">
        <v>473</v>
      </c>
      <c r="C262" s="126" t="s">
        <v>203</v>
      </c>
      <c r="D262" s="108">
        <v>5.03</v>
      </c>
      <c r="E262" s="108"/>
      <c r="F262" s="127"/>
      <c r="G262" s="128"/>
      <c r="H262" s="488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9"/>
      <c r="P262" s="479"/>
      <c r="Q262" s="479"/>
      <c r="R262" s="479"/>
      <c r="S262" s="479"/>
      <c r="T262" s="479"/>
      <c r="U262" s="47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30400016</v>
      </c>
      <c r="B263" s="151" t="s">
        <v>513</v>
      </c>
      <c r="C263" s="126" t="s">
        <v>186</v>
      </c>
      <c r="D263" s="108">
        <v>5.03</v>
      </c>
      <c r="E263" s="108"/>
      <c r="F263" s="127"/>
      <c r="G263" s="128"/>
      <c r="H263" s="488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9"/>
      <c r="P263" s="479"/>
      <c r="Q263" s="479"/>
      <c r="R263" s="479"/>
      <c r="S263" s="479"/>
      <c r="T263" s="479"/>
      <c r="U263" s="47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30400017</v>
      </c>
      <c r="B264" s="151" t="s">
        <v>513</v>
      </c>
      <c r="C264" s="126" t="s">
        <v>195</v>
      </c>
      <c r="D264" s="108">
        <v>5.03</v>
      </c>
      <c r="E264" s="108"/>
      <c r="F264" s="127"/>
      <c r="G264" s="128"/>
      <c r="H264" s="488">
        <f t="shared" si="116"/>
        <v>0</v>
      </c>
      <c r="I264" s="129"/>
      <c r="J264" s="130" t="str">
        <f t="array" ref="J264">IF(ISERROR(G264/I264),"",G264/I264)</f>
        <v/>
      </c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79"/>
      <c r="P264" s="479"/>
      <c r="Q264" s="479"/>
      <c r="R264" s="479"/>
      <c r="S264" s="479"/>
      <c r="T264" s="479"/>
      <c r="U264" s="479"/>
      <c r="V264" s="132">
        <f t="shared" si="119"/>
        <v>0</v>
      </c>
      <c r="W264" s="133" t="str">
        <f t="shared" si="115"/>
        <v/>
      </c>
      <c r="X264" s="132"/>
      <c r="Y264" s="132"/>
      <c r="Z264" s="132"/>
      <c r="AA264" s="132"/>
    </row>
    <row r="265" spans="1:27" ht="20.100000000000001" hidden="1" customHeight="1">
      <c r="A265" s="299">
        <v>30400015</v>
      </c>
      <c r="B265" s="151" t="s">
        <v>512</v>
      </c>
      <c r="C265" s="126" t="s">
        <v>218</v>
      </c>
      <c r="D265" s="108">
        <v>5.03</v>
      </c>
      <c r="E265" s="108"/>
      <c r="F265" s="127"/>
      <c r="G265" s="128"/>
      <c r="H265" s="488">
        <f t="shared" si="116"/>
        <v>0</v>
      </c>
      <c r="I265" s="129"/>
      <c r="J265" s="130"/>
      <c r="K265" s="131">
        <f t="array" ref="K265">IF(ISERROR(G265/L265),"",G265/L265)</f>
        <v>0</v>
      </c>
      <c r="L265" s="129">
        <v>9.3000000000000007</v>
      </c>
      <c r="M265" s="109">
        <f t="shared" si="117"/>
        <v>0</v>
      </c>
      <c r="N265" s="130">
        <f t="shared" si="118"/>
        <v>0</v>
      </c>
      <c r="O265" s="479"/>
      <c r="P265" s="479"/>
      <c r="Q265" s="479"/>
      <c r="R265" s="479"/>
      <c r="S265" s="479"/>
      <c r="T265" s="479"/>
      <c r="U265" s="479"/>
      <c r="V265" s="132"/>
      <c r="W265" s="133"/>
      <c r="X265" s="132"/>
      <c r="Y265" s="132"/>
      <c r="Z265" s="132"/>
      <c r="AA265" s="132"/>
    </row>
    <row r="266" spans="1:27" ht="20.100000000000001" hidden="1" customHeight="1">
      <c r="A266" s="304">
        <v>30600004</v>
      </c>
      <c r="B266" s="151" t="s">
        <v>219</v>
      </c>
      <c r="C266" s="126" t="s">
        <v>179</v>
      </c>
      <c r="D266" s="108">
        <v>5.03</v>
      </c>
      <c r="E266" s="108"/>
      <c r="F266" s="127"/>
      <c r="G266" s="128"/>
      <c r="H266" s="488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9"/>
      <c r="P266" s="479"/>
      <c r="Q266" s="479"/>
      <c r="R266" s="479"/>
      <c r="S266" s="479"/>
      <c r="T266" s="479"/>
      <c r="U266" s="47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30600001</v>
      </c>
      <c r="B267" s="151" t="s">
        <v>219</v>
      </c>
      <c r="C267" s="126" t="s">
        <v>181</v>
      </c>
      <c r="D267" s="108">
        <v>5.03</v>
      </c>
      <c r="E267" s="108"/>
      <c r="F267" s="127"/>
      <c r="G267" s="128"/>
      <c r="H267" s="488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9"/>
      <c r="P267" s="479"/>
      <c r="Q267" s="479"/>
      <c r="R267" s="479"/>
      <c r="S267" s="479"/>
      <c r="T267" s="479"/>
      <c r="U267" s="47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30600002</v>
      </c>
      <c r="B268" s="151" t="s">
        <v>219</v>
      </c>
      <c r="C268" s="126" t="s">
        <v>186</v>
      </c>
      <c r="D268" s="108">
        <v>5.03</v>
      </c>
      <c r="E268" s="108"/>
      <c r="F268" s="127"/>
      <c r="G268" s="128"/>
      <c r="H268" s="488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9"/>
      <c r="P268" s="479"/>
      <c r="Q268" s="479"/>
      <c r="R268" s="479"/>
      <c r="S268" s="479"/>
      <c r="T268" s="479"/>
      <c r="U268" s="47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30600003</v>
      </c>
      <c r="B269" s="151" t="s">
        <v>219</v>
      </c>
      <c r="C269" s="195" t="s">
        <v>89</v>
      </c>
      <c r="D269" s="108">
        <v>5.03</v>
      </c>
      <c r="E269" s="108"/>
      <c r="F269" s="127"/>
      <c r="G269" s="128"/>
      <c r="H269" s="488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8</v>
      </c>
      <c r="M269" s="109">
        <f>IF(ISERROR(I269-K269),"",I269-K269)</f>
        <v>0</v>
      </c>
      <c r="N269" s="130">
        <f>SUM(O269:U269)</f>
        <v>0</v>
      </c>
      <c r="O269" s="479"/>
      <c r="P269" s="479"/>
      <c r="Q269" s="479"/>
      <c r="R269" s="479"/>
      <c r="S269" s="479"/>
      <c r="T269" s="479"/>
      <c r="U269" s="479"/>
      <c r="V269" s="132">
        <f>SUM(X269:AA269)</f>
        <v>0</v>
      </c>
      <c r="W269" s="133" t="str">
        <f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>
        <v>30400030</v>
      </c>
      <c r="B270" s="151" t="s">
        <v>220</v>
      </c>
      <c r="C270" s="126" t="s">
        <v>179</v>
      </c>
      <c r="D270" s="108">
        <v>5.03</v>
      </c>
      <c r="E270" s="108"/>
      <c r="F270" s="127"/>
      <c r="G270" s="128"/>
      <c r="H270" s="488">
        <f t="shared" si="116"/>
        <v>0</v>
      </c>
      <c r="I270" s="129"/>
      <c r="J270" s="130" t="str">
        <f t="array" ref="J270">IF(ISERROR(G270/I270),"",G270/I270)</f>
        <v/>
      </c>
      <c r="K270" s="131">
        <f t="array" ref="K270">IF(ISERROR(G270/L270),"",G270/L270)</f>
        <v>0</v>
      </c>
      <c r="L270" s="129">
        <v>10</v>
      </c>
      <c r="M270" s="109">
        <f t="shared" ref="M270:M285" si="120">IF(ISERROR(I270-K270),"",I270-K270)</f>
        <v>0</v>
      </c>
      <c r="N270" s="130">
        <f t="shared" ref="N270:N285" si="121">SUM(O270:U270)</f>
        <v>0</v>
      </c>
      <c r="O270" s="479"/>
      <c r="P270" s="479"/>
      <c r="Q270" s="479"/>
      <c r="R270" s="479"/>
      <c r="S270" s="479"/>
      <c r="T270" s="479"/>
      <c r="U270" s="479"/>
      <c r="V270" s="132">
        <f t="shared" ref="V270:V273" si="122">SUM(X270:AA270)</f>
        <v>0</v>
      </c>
      <c r="W270" s="133" t="str">
        <f t="shared" ref="W270:W277" si="123">IF(ISERROR(V270/G270),"",V270/G270)</f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203</v>
      </c>
      <c r="D271" s="108">
        <v>5.03</v>
      </c>
      <c r="E271" s="108"/>
      <c r="F271" s="127"/>
      <c r="G271" s="128"/>
      <c r="H271" s="488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9"/>
      <c r="P271" s="479"/>
      <c r="Q271" s="479"/>
      <c r="R271" s="479"/>
      <c r="S271" s="479"/>
      <c r="T271" s="479"/>
      <c r="U271" s="47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/>
      <c r="B272" s="151" t="s">
        <v>220</v>
      </c>
      <c r="C272" s="126" t="s">
        <v>186</v>
      </c>
      <c r="D272" s="108">
        <v>5.03</v>
      </c>
      <c r="E272" s="108"/>
      <c r="F272" s="127"/>
      <c r="G272" s="128"/>
      <c r="H272" s="488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9"/>
      <c r="P272" s="479"/>
      <c r="Q272" s="479"/>
      <c r="R272" s="479"/>
      <c r="S272" s="479"/>
      <c r="T272" s="479"/>
      <c r="U272" s="47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30401031</v>
      </c>
      <c r="B273" s="151" t="s">
        <v>220</v>
      </c>
      <c r="C273" s="126" t="s">
        <v>195</v>
      </c>
      <c r="D273" s="108">
        <v>5.03</v>
      </c>
      <c r="E273" s="108"/>
      <c r="F273" s="127"/>
      <c r="G273" s="128"/>
      <c r="H273" s="488">
        <f t="shared" si="116"/>
        <v>0</v>
      </c>
      <c r="I273" s="129"/>
      <c r="J273" s="130" t="str">
        <f t="array" ref="J273">IF(ISERROR(G273/I273),"",G273/I273)</f>
        <v/>
      </c>
      <c r="K273" s="131" t="str">
        <f t="array" ref="K273">IF(ISERROR(G273/L273),"",G273/L273)</f>
        <v/>
      </c>
      <c r="L273" s="129"/>
      <c r="M273" s="109" t="str">
        <f t="shared" si="120"/>
        <v/>
      </c>
      <c r="N273" s="130">
        <f t="shared" si="121"/>
        <v>0</v>
      </c>
      <c r="O273" s="479"/>
      <c r="P273" s="479"/>
      <c r="Q273" s="479"/>
      <c r="R273" s="479"/>
      <c r="S273" s="479"/>
      <c r="T273" s="479"/>
      <c r="U273" s="479"/>
      <c r="V273" s="132">
        <f t="shared" si="122"/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30600005</v>
      </c>
      <c r="B274" s="480" t="s">
        <v>222</v>
      </c>
      <c r="C274" s="126" t="s">
        <v>181</v>
      </c>
      <c r="D274" s="108">
        <v>9.36</v>
      </c>
      <c r="E274" s="108"/>
      <c r="F274" s="127"/>
      <c r="G274" s="128"/>
      <c r="H274" s="488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9"/>
      <c r="P274" s="479"/>
      <c r="Q274" s="479"/>
      <c r="R274" s="479"/>
      <c r="S274" s="479"/>
      <c r="T274" s="479"/>
      <c r="U274" s="479"/>
      <c r="V274" s="132">
        <f t="shared" ref="V274:V277" si="124">SUM(X274:AA274)</f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30600008</v>
      </c>
      <c r="B275" s="480" t="s">
        <v>222</v>
      </c>
      <c r="C275" s="126" t="s">
        <v>179</v>
      </c>
      <c r="D275" s="108">
        <v>9.36</v>
      </c>
      <c r="E275" s="108"/>
      <c r="F275" s="127"/>
      <c r="G275" s="128"/>
      <c r="H275" s="488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9"/>
      <c r="P275" s="479"/>
      <c r="Q275" s="479"/>
      <c r="R275" s="479"/>
      <c r="S275" s="479"/>
      <c r="T275" s="479"/>
      <c r="U275" s="47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30600007</v>
      </c>
      <c r="B276" s="480" t="s">
        <v>222</v>
      </c>
      <c r="C276" s="126" t="s">
        <v>221</v>
      </c>
      <c r="D276" s="108">
        <v>9.36</v>
      </c>
      <c r="E276" s="108"/>
      <c r="F276" s="127"/>
      <c r="G276" s="128"/>
      <c r="H276" s="488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9"/>
      <c r="P276" s="479"/>
      <c r="Q276" s="479"/>
      <c r="R276" s="479"/>
      <c r="S276" s="479"/>
      <c r="T276" s="479"/>
      <c r="U276" s="47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304">
        <v>30600006</v>
      </c>
      <c r="B277" s="480" t="s">
        <v>222</v>
      </c>
      <c r="C277" s="126" t="s">
        <v>186</v>
      </c>
      <c r="D277" s="108">
        <v>9.36</v>
      </c>
      <c r="E277" s="108"/>
      <c r="F277" s="127"/>
      <c r="G277" s="128"/>
      <c r="H277" s="488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6</v>
      </c>
      <c r="M277" s="109">
        <f t="shared" si="120"/>
        <v>0</v>
      </c>
      <c r="N277" s="130">
        <f t="shared" si="121"/>
        <v>0</v>
      </c>
      <c r="O277" s="479"/>
      <c r="P277" s="479"/>
      <c r="Q277" s="479"/>
      <c r="R277" s="479"/>
      <c r="S277" s="479"/>
      <c r="T277" s="479"/>
      <c r="U277" s="479"/>
      <c r="V277" s="132">
        <f t="shared" si="124"/>
        <v>0</v>
      </c>
      <c r="W277" s="133" t="str">
        <f t="shared" si="123"/>
        <v/>
      </c>
      <c r="X277" s="132"/>
      <c r="Y277" s="132"/>
      <c r="Z277" s="132"/>
      <c r="AA277" s="132"/>
    </row>
    <row r="278" spans="1:27" ht="20.100000000000001" hidden="1" customHeight="1">
      <c r="A278" s="299">
        <v>30400026</v>
      </c>
      <c r="B278" s="480" t="s">
        <v>393</v>
      </c>
      <c r="C278" s="187" t="s">
        <v>395</v>
      </c>
      <c r="D278" s="108">
        <v>5</v>
      </c>
      <c r="E278" s="108"/>
      <c r="F278" s="127"/>
      <c r="G278" s="128"/>
      <c r="H278" s="488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79"/>
      <c r="P278" s="479"/>
      <c r="Q278" s="479"/>
      <c r="R278" s="479"/>
      <c r="S278" s="479"/>
      <c r="T278" s="479"/>
      <c r="U278" s="47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30400028</v>
      </c>
      <c r="B279" s="480" t="s">
        <v>393</v>
      </c>
      <c r="C279" s="187" t="s">
        <v>402</v>
      </c>
      <c r="D279" s="108">
        <v>5</v>
      </c>
      <c r="E279" s="108"/>
      <c r="F279" s="127"/>
      <c r="G279" s="128"/>
      <c r="H279" s="488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79"/>
      <c r="P279" s="479"/>
      <c r="Q279" s="479"/>
      <c r="R279" s="479"/>
      <c r="S279" s="479"/>
      <c r="T279" s="479"/>
      <c r="U279" s="47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>
        <v>30400027</v>
      </c>
      <c r="B280" s="480" t="s">
        <v>404</v>
      </c>
      <c r="C280" s="187" t="s">
        <v>405</v>
      </c>
      <c r="D280" s="108">
        <v>5</v>
      </c>
      <c r="E280" s="108"/>
      <c r="F280" s="127"/>
      <c r="G280" s="128"/>
      <c r="H280" s="488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9"/>
      <c r="P280" s="479"/>
      <c r="Q280" s="479"/>
      <c r="R280" s="479"/>
      <c r="S280" s="479"/>
      <c r="T280" s="479"/>
      <c r="U280" s="47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/>
      <c r="B281" s="480" t="s">
        <v>342</v>
      </c>
      <c r="C281" s="187" t="s">
        <v>372</v>
      </c>
      <c r="D281" s="108">
        <v>5</v>
      </c>
      <c r="E281" s="108"/>
      <c r="F281" s="127"/>
      <c r="G281" s="128"/>
      <c r="H281" s="488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9"/>
      <c r="P281" s="479"/>
      <c r="Q281" s="479"/>
      <c r="R281" s="479"/>
      <c r="S281" s="479"/>
      <c r="T281" s="479"/>
      <c r="U281" s="47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30600009</v>
      </c>
      <c r="B282" s="480" t="s">
        <v>343</v>
      </c>
      <c r="C282" s="126" t="s">
        <v>345</v>
      </c>
      <c r="D282" s="108">
        <v>5</v>
      </c>
      <c r="E282" s="108"/>
      <c r="F282" s="127"/>
      <c r="G282" s="128"/>
      <c r="H282" s="488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9"/>
      <c r="P282" s="479"/>
      <c r="Q282" s="479"/>
      <c r="R282" s="479"/>
      <c r="S282" s="479"/>
      <c r="T282" s="479"/>
      <c r="U282" s="47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30600010</v>
      </c>
      <c r="B283" s="480" t="s">
        <v>343</v>
      </c>
      <c r="C283" s="126" t="s">
        <v>347</v>
      </c>
      <c r="D283" s="108">
        <v>5</v>
      </c>
      <c r="E283" s="108"/>
      <c r="F283" s="127">
        <v>42737</v>
      </c>
      <c r="G283" s="128">
        <v>58</v>
      </c>
      <c r="H283" s="488">
        <f t="shared" si="116"/>
        <v>290</v>
      </c>
      <c r="I283" s="129">
        <v>11</v>
      </c>
      <c r="J283" s="130">
        <f t="array" ref="J283">IF(ISERROR(G283/I283),"",G283/I283)</f>
        <v>5.2727272727272725</v>
      </c>
      <c r="K283" s="131">
        <f t="array" ref="K283">IF(ISERROR(G283/L283),"",G283/L283)</f>
        <v>11.6</v>
      </c>
      <c r="L283" s="129">
        <v>5</v>
      </c>
      <c r="M283" s="109">
        <f t="shared" si="120"/>
        <v>-0.59999999999999964</v>
      </c>
      <c r="N283" s="130">
        <f t="shared" si="121"/>
        <v>0</v>
      </c>
      <c r="O283" s="479"/>
      <c r="P283" s="479"/>
      <c r="Q283" s="479"/>
      <c r="R283" s="479"/>
      <c r="S283" s="479"/>
      <c r="T283" s="479"/>
      <c r="U283" s="479"/>
      <c r="V283" s="132"/>
      <c r="W283" s="133"/>
      <c r="X283" s="132"/>
      <c r="Y283" s="132"/>
      <c r="Z283" s="132"/>
      <c r="AA283" s="132"/>
    </row>
    <row r="284" spans="1:27" ht="20.100000000000001" customHeight="1">
      <c r="A284" s="299">
        <v>30400001</v>
      </c>
      <c r="B284" s="151" t="s">
        <v>514</v>
      </c>
      <c r="C284" s="126" t="s">
        <v>187</v>
      </c>
      <c r="D284" s="108">
        <v>5.0599999999999996</v>
      </c>
      <c r="E284" s="108"/>
      <c r="F284" s="127">
        <v>42742</v>
      </c>
      <c r="G284" s="128">
        <f>56+100*4</f>
        <v>456</v>
      </c>
      <c r="H284" s="488">
        <f t="shared" si="116"/>
        <v>2307.3599999999997</v>
      </c>
      <c r="I284" s="129">
        <f>11.5*4</f>
        <v>46</v>
      </c>
      <c r="J284" s="130">
        <f t="array" ref="J284">IF(ISERROR(G284/I284),"",G284/I284)</f>
        <v>9.9130434782608692</v>
      </c>
      <c r="K284" s="131">
        <f t="array" ref="K284">IF(ISERROR(G284/L284),"",G284/L284)</f>
        <v>29.419354838709676</v>
      </c>
      <c r="L284" s="129">
        <v>15.5</v>
      </c>
      <c r="M284" s="109">
        <f t="shared" si="120"/>
        <v>16.580645161290324</v>
      </c>
      <c r="N284" s="130">
        <f t="shared" si="121"/>
        <v>0</v>
      </c>
      <c r="O284" s="479"/>
      <c r="P284" s="479"/>
      <c r="Q284" s="479"/>
      <c r="R284" s="479"/>
      <c r="S284" s="479"/>
      <c r="T284" s="479"/>
      <c r="U284" s="479"/>
      <c r="V284" s="132">
        <f t="shared" ref="V284:V285" si="125">SUM(X284:AA284)</f>
        <v>0</v>
      </c>
      <c r="W284" s="133">
        <f t="shared" ref="W284:W285" si="126">IF(ISERROR(V284/G284),"",V284/G284)</f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30400002</v>
      </c>
      <c r="B285" s="151" t="s">
        <v>514</v>
      </c>
      <c r="C285" s="126" t="s">
        <v>203</v>
      </c>
      <c r="D285" s="108">
        <v>5.0599999999999996</v>
      </c>
      <c r="E285" s="108"/>
      <c r="F285" s="127"/>
      <c r="G285" s="128"/>
      <c r="H285" s="488">
        <f t="shared" si="116"/>
        <v>0</v>
      </c>
      <c r="I285" s="129"/>
      <c r="J285" s="130" t="str">
        <f t="array" ref="J285">IF(ISERROR(G285/I285),"",G285/I285)</f>
        <v/>
      </c>
      <c r="K285" s="131">
        <f t="array" ref="K285">IF(ISERROR(G285/L285),"",G285/L285)</f>
        <v>0</v>
      </c>
      <c r="L285" s="129">
        <v>15.5</v>
      </c>
      <c r="M285" s="109">
        <f t="shared" si="120"/>
        <v>0</v>
      </c>
      <c r="N285" s="130">
        <f t="shared" si="121"/>
        <v>0</v>
      </c>
      <c r="O285" s="479"/>
      <c r="P285" s="479"/>
      <c r="Q285" s="479"/>
      <c r="R285" s="479"/>
      <c r="S285" s="479"/>
      <c r="T285" s="479"/>
      <c r="U285" s="479"/>
      <c r="V285" s="132">
        <f t="shared" si="125"/>
        <v>0</v>
      </c>
      <c r="W285" s="133" t="str">
        <f t="shared" si="126"/>
        <v/>
      </c>
      <c r="X285" s="132"/>
      <c r="Y285" s="132"/>
      <c r="Z285" s="132"/>
      <c r="AA285" s="132"/>
    </row>
    <row r="286" spans="1:27" ht="20.100000000000001" hidden="1" customHeight="1">
      <c r="A286" s="299">
        <v>30400004</v>
      </c>
      <c r="B286" s="151" t="s">
        <v>419</v>
      </c>
      <c r="C286" s="187" t="s">
        <v>73</v>
      </c>
      <c r="D286" s="108">
        <v>5.03</v>
      </c>
      <c r="E286" s="108"/>
      <c r="F286" s="127"/>
      <c r="G286" s="128"/>
      <c r="H286" s="488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9"/>
      <c r="P286" s="479"/>
      <c r="Q286" s="479"/>
      <c r="R286" s="479"/>
      <c r="S286" s="479"/>
      <c r="T286" s="479"/>
      <c r="U286" s="47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30400003</v>
      </c>
      <c r="B287" s="151" t="s">
        <v>419</v>
      </c>
      <c r="C287" s="187" t="s">
        <v>60</v>
      </c>
      <c r="D287" s="108">
        <v>5.03</v>
      </c>
      <c r="E287" s="108"/>
      <c r="F287" s="127"/>
      <c r="G287" s="128"/>
      <c r="H287" s="488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9"/>
      <c r="P287" s="479"/>
      <c r="Q287" s="479"/>
      <c r="R287" s="479"/>
      <c r="S287" s="479"/>
      <c r="T287" s="479"/>
      <c r="U287" s="47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30400005</v>
      </c>
      <c r="B288" s="151" t="s">
        <v>419</v>
      </c>
      <c r="C288" s="187" t="s">
        <v>422</v>
      </c>
      <c r="D288" s="108">
        <v>5.03</v>
      </c>
      <c r="E288" s="108"/>
      <c r="F288" s="127"/>
      <c r="G288" s="128"/>
      <c r="H288" s="488">
        <f t="shared" si="116"/>
        <v>0</v>
      </c>
      <c r="I288" s="129"/>
      <c r="J288" s="130"/>
      <c r="K288" s="131"/>
      <c r="L288" s="129">
        <v>24</v>
      </c>
      <c r="M288" s="109"/>
      <c r="N288" s="130"/>
      <c r="O288" s="479"/>
      <c r="P288" s="479"/>
      <c r="Q288" s="479"/>
      <c r="R288" s="479"/>
      <c r="S288" s="479"/>
      <c r="T288" s="479"/>
      <c r="U288" s="479"/>
      <c r="V288" s="132"/>
      <c r="W288" s="133"/>
      <c r="X288" s="132"/>
      <c r="Y288" s="132"/>
      <c r="Z288" s="132"/>
      <c r="AA288" s="132"/>
    </row>
    <row r="289" spans="1:27" ht="20.100000000000001" customHeight="1">
      <c r="A289" s="299">
        <v>30400007</v>
      </c>
      <c r="B289" s="151" t="s">
        <v>223</v>
      </c>
      <c r="C289" s="126" t="s">
        <v>204</v>
      </c>
      <c r="D289" s="108">
        <v>5.07</v>
      </c>
      <c r="E289" s="108"/>
      <c r="F289" s="127">
        <v>42740</v>
      </c>
      <c r="G289" s="128">
        <f>100+15</f>
        <v>115</v>
      </c>
      <c r="H289" s="488">
        <f t="shared" si="116"/>
        <v>583.05000000000007</v>
      </c>
      <c r="I289" s="129">
        <f>7*4</f>
        <v>28</v>
      </c>
      <c r="J289" s="130">
        <f t="array" ref="J289">IF(ISERROR(G289/I289),"",G289/I289)</f>
        <v>4.1071428571428568</v>
      </c>
      <c r="K289" s="131">
        <f t="array" ref="K289">IF(ISERROR(G289/L289),"",G289/L289)</f>
        <v>12.777777777777779</v>
      </c>
      <c r="L289" s="129">
        <v>9</v>
      </c>
      <c r="M289" s="109">
        <f t="shared" ref="M289:M291" si="127">IF(ISERROR(I289-K289),"",I289-K289)</f>
        <v>15.222222222222221</v>
      </c>
      <c r="N289" s="130">
        <f t="shared" ref="N289:N291" si="128">SUM(O289:U289)</f>
        <v>0</v>
      </c>
      <c r="O289" s="479"/>
      <c r="P289" s="479"/>
      <c r="Q289" s="479"/>
      <c r="R289" s="479"/>
      <c r="S289" s="479"/>
      <c r="T289" s="479"/>
      <c r="U289" s="479"/>
      <c r="V289" s="132">
        <f t="shared" ref="V289:V291" si="129">SUM(X289:AA289)</f>
        <v>0</v>
      </c>
      <c r="W289" s="133">
        <f t="shared" ref="W289:W313" si="130">IF(ISERROR(V289/G289),"",V289/G289)</f>
        <v>0</v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179</v>
      </c>
      <c r="D290" s="108">
        <v>5.07</v>
      </c>
      <c r="E290" s="108"/>
      <c r="F290" s="127"/>
      <c r="G290" s="128"/>
      <c r="H290" s="488">
        <f t="shared" si="116"/>
        <v>0</v>
      </c>
      <c r="I290" s="129"/>
      <c r="J290" s="130" t="str">
        <f t="array" ref="J290">IF(ISERROR(G290/I290),"",G290/I290)</f>
        <v/>
      </c>
      <c r="K290" s="13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9"/>
      <c r="P290" s="479"/>
      <c r="Q290" s="479"/>
      <c r="R290" s="479"/>
      <c r="S290" s="479"/>
      <c r="T290" s="479"/>
      <c r="U290" s="47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299">
        <v>30400006</v>
      </c>
      <c r="B291" s="151" t="s">
        <v>223</v>
      </c>
      <c r="C291" s="126" t="s">
        <v>186</v>
      </c>
      <c r="D291" s="108">
        <v>5.0599999999999996</v>
      </c>
      <c r="E291" s="108"/>
      <c r="F291" s="153"/>
      <c r="G291" s="128"/>
      <c r="H291" s="488">
        <f t="shared" si="116"/>
        <v>0</v>
      </c>
      <c r="I291" s="129"/>
      <c r="J291" s="130" t="str">
        <f t="array" ref="J291">IF(ISERROR(G291/I291),"",G291/I291)</f>
        <v/>
      </c>
      <c r="K291" s="488">
        <f t="array" ref="K291">IF(ISERROR(G291/L291),"",G291/L291)</f>
        <v>0</v>
      </c>
      <c r="L291" s="129">
        <v>9</v>
      </c>
      <c r="M291" s="109">
        <f t="shared" si="127"/>
        <v>0</v>
      </c>
      <c r="N291" s="130">
        <f t="shared" si="128"/>
        <v>0</v>
      </c>
      <c r="O291" s="479"/>
      <c r="P291" s="479"/>
      <c r="Q291" s="479"/>
      <c r="R291" s="479"/>
      <c r="S291" s="479"/>
      <c r="T291" s="479"/>
      <c r="U291" s="479"/>
      <c r="V291" s="132">
        <f t="shared" si="129"/>
        <v>0</v>
      </c>
      <c r="W291" s="133" t="str">
        <f t="shared" si="130"/>
        <v/>
      </c>
      <c r="X291" s="132"/>
      <c r="Y291" s="132"/>
      <c r="Z291" s="132"/>
      <c r="AA291" s="132"/>
    </row>
    <row r="292" spans="1:27" ht="20.100000000000001" customHeight="1">
      <c r="A292" s="618" t="s">
        <v>224</v>
      </c>
      <c r="B292" s="619"/>
      <c r="C292" s="486" t="s">
        <v>202</v>
      </c>
      <c r="D292" s="143"/>
      <c r="E292" s="143"/>
      <c r="F292" s="144"/>
      <c r="G292" s="145">
        <f>SUM(G258:G291)</f>
        <v>657</v>
      </c>
      <c r="H292" s="146">
        <f>SUM(H258:H291)</f>
        <v>3321.25</v>
      </c>
      <c r="I292" s="146">
        <f>SUM(I258:I291)</f>
        <v>88</v>
      </c>
      <c r="J292" s="130">
        <f t="array" ref="J292">IF(ISERROR(G292/I292),"",G292/I292)</f>
        <v>7.4659090909090908</v>
      </c>
      <c r="K292" s="146">
        <f>SUM(K258:K291)</f>
        <v>56.97895079830564</v>
      </c>
      <c r="L292" s="147"/>
      <c r="M292" s="150">
        <f t="shared" ref="M292:V292" si="131">SUM(M258:M291)</f>
        <v>31.021049201694364</v>
      </c>
      <c r="N292" s="146">
        <f t="shared" si="131"/>
        <v>0</v>
      </c>
      <c r="O292" s="148">
        <f t="shared" si="131"/>
        <v>0</v>
      </c>
      <c r="P292" s="148">
        <f t="shared" si="131"/>
        <v>0</v>
      </c>
      <c r="Q292" s="148">
        <f t="shared" si="131"/>
        <v>0</v>
      </c>
      <c r="R292" s="148">
        <f t="shared" si="131"/>
        <v>0</v>
      </c>
      <c r="S292" s="148">
        <f t="shared" si="131"/>
        <v>0</v>
      </c>
      <c r="T292" s="148">
        <f t="shared" si="131"/>
        <v>0</v>
      </c>
      <c r="U292" s="148">
        <f t="shared" si="131"/>
        <v>0</v>
      </c>
      <c r="V292" s="149">
        <f t="shared" si="131"/>
        <v>0</v>
      </c>
      <c r="W292" s="133">
        <f t="shared" si="130"/>
        <v>0</v>
      </c>
      <c r="X292" s="149">
        <f>SUM(X258:X291)</f>
        <v>0</v>
      </c>
      <c r="Y292" s="149">
        <f>SUM(Y258:Y291)</f>
        <v>0</v>
      </c>
      <c r="Z292" s="149">
        <f>SUM(Z258:Z291)</f>
        <v>0</v>
      </c>
      <c r="AA292" s="149">
        <f>SUM(AA258:AA291)</f>
        <v>0</v>
      </c>
    </row>
    <row r="293" spans="1:27" ht="20.100000000000001" customHeight="1">
      <c r="A293" s="299">
        <v>30100038</v>
      </c>
      <c r="B293" s="134" t="s">
        <v>225</v>
      </c>
      <c r="C293" s="126" t="s">
        <v>226</v>
      </c>
      <c r="D293" s="108">
        <v>5.03</v>
      </c>
      <c r="E293" s="108"/>
      <c r="F293" s="127">
        <v>42742</v>
      </c>
      <c r="G293" s="128">
        <f>90*6-90</f>
        <v>450</v>
      </c>
      <c r="H293" s="488">
        <f t="shared" ref="H293:H307" si="132">D293*G293</f>
        <v>2263.5</v>
      </c>
      <c r="I293" s="129">
        <f>11.5*2</f>
        <v>23</v>
      </c>
      <c r="J293" s="130">
        <f t="array" ref="J293">IF(ISERROR(G293/I293),"",G293/I293)</f>
        <v>19.565217391304348</v>
      </c>
      <c r="K293" s="131">
        <f t="array" ref="K293">IF(ISERROR(G293/L293),"",G293/L293)</f>
        <v>18</v>
      </c>
      <c r="L293" s="129">
        <v>25</v>
      </c>
      <c r="M293" s="109">
        <f t="shared" ref="M293:M307" si="133">IF(ISERROR(I293-K293),"",I293-K293)</f>
        <v>5</v>
      </c>
      <c r="N293" s="130">
        <f t="shared" ref="N293:N307" si="134">SUM(O293:U293)</f>
        <v>0</v>
      </c>
      <c r="O293" s="479"/>
      <c r="P293" s="479"/>
      <c r="Q293" s="479"/>
      <c r="R293" s="479"/>
      <c r="S293" s="479"/>
      <c r="T293" s="479"/>
      <c r="U293" s="479"/>
      <c r="V293" s="132">
        <f t="shared" ref="V293:V307" si="135">SUM(X293:AA293)</f>
        <v>0</v>
      </c>
      <c r="W293" s="133">
        <f t="shared" si="130"/>
        <v>0</v>
      </c>
      <c r="X293" s="132"/>
      <c r="Y293" s="132"/>
      <c r="Z293" s="132"/>
      <c r="AA293" s="132"/>
    </row>
    <row r="294" spans="1:27" ht="20.100000000000001" hidden="1" customHeight="1">
      <c r="A294" s="299">
        <v>30100037</v>
      </c>
      <c r="B294" s="134" t="s">
        <v>225</v>
      </c>
      <c r="C294" s="126" t="s">
        <v>204</v>
      </c>
      <c r="D294" s="108">
        <v>5.03</v>
      </c>
      <c r="E294" s="108"/>
      <c r="F294" s="127"/>
      <c r="G294" s="128"/>
      <c r="H294" s="488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25</v>
      </c>
      <c r="M294" s="109">
        <f t="shared" si="133"/>
        <v>0</v>
      </c>
      <c r="N294" s="130">
        <f t="shared" si="134"/>
        <v>0</v>
      </c>
      <c r="O294" s="479"/>
      <c r="P294" s="479"/>
      <c r="Q294" s="479"/>
      <c r="R294" s="479"/>
      <c r="S294" s="479"/>
      <c r="T294" s="479"/>
      <c r="U294" s="47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>
        <v>30100051</v>
      </c>
      <c r="B295" s="134" t="s">
        <v>184</v>
      </c>
      <c r="C295" s="126" t="s">
        <v>194</v>
      </c>
      <c r="D295" s="108">
        <v>5.04</v>
      </c>
      <c r="E295" s="108"/>
      <c r="F295" s="127">
        <v>42743</v>
      </c>
      <c r="G295" s="128">
        <f>35+100*4</f>
        <v>435</v>
      </c>
      <c r="H295" s="488">
        <f t="shared" si="132"/>
        <v>2192.4</v>
      </c>
      <c r="I295" s="129">
        <f>10.5*3</f>
        <v>31.5</v>
      </c>
      <c r="J295" s="130">
        <f t="array" ref="J295">IF(ISERROR(G295/I295),"",G295/I295)</f>
        <v>13.80952380952381</v>
      </c>
      <c r="K295" s="131">
        <f t="array" ref="K295">IF(ISERROR(G295/L295),"",G295/L295)</f>
        <v>21.75</v>
      </c>
      <c r="L295" s="129">
        <v>20</v>
      </c>
      <c r="M295" s="109">
        <f t="shared" si="133"/>
        <v>9.75</v>
      </c>
      <c r="N295" s="130">
        <f t="shared" si="134"/>
        <v>0</v>
      </c>
      <c r="O295" s="479"/>
      <c r="P295" s="479"/>
      <c r="Q295" s="479"/>
      <c r="R295" s="479"/>
      <c r="S295" s="479"/>
      <c r="T295" s="479"/>
      <c r="U295" s="479"/>
      <c r="V295" s="132">
        <f t="shared" si="135"/>
        <v>0</v>
      </c>
      <c r="W295" s="133">
        <f t="shared" si="130"/>
        <v>0</v>
      </c>
      <c r="X295" s="132"/>
      <c r="Y295" s="132"/>
      <c r="Z295" s="132"/>
      <c r="AA295" s="132"/>
    </row>
    <row r="296" spans="1:27" ht="20.100000000000001" hidden="1" customHeight="1">
      <c r="A296" s="299"/>
      <c r="B296" s="140" t="s">
        <v>227</v>
      </c>
      <c r="C296" s="126" t="s">
        <v>212</v>
      </c>
      <c r="D296" s="108">
        <v>5.03</v>
      </c>
      <c r="E296" s="108"/>
      <c r="F296" s="127"/>
      <c r="G296" s="128"/>
      <c r="H296" s="488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9"/>
      <c r="P296" s="479"/>
      <c r="Q296" s="479"/>
      <c r="R296" s="479"/>
      <c r="S296" s="479"/>
      <c r="T296" s="479"/>
      <c r="U296" s="47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30100054</v>
      </c>
      <c r="B297" s="140" t="s">
        <v>227</v>
      </c>
      <c r="C297" s="484" t="s">
        <v>203</v>
      </c>
      <c r="D297" s="108">
        <v>5.03</v>
      </c>
      <c r="E297" s="108"/>
      <c r="F297" s="127"/>
      <c r="G297" s="128"/>
      <c r="H297" s="488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9"/>
      <c r="P297" s="479"/>
      <c r="Q297" s="479"/>
      <c r="R297" s="479"/>
      <c r="S297" s="479"/>
      <c r="T297" s="479"/>
      <c r="U297" s="47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>
        <v>30100053</v>
      </c>
      <c r="B298" s="140" t="s">
        <v>227</v>
      </c>
      <c r="C298" s="126" t="s">
        <v>199</v>
      </c>
      <c r="D298" s="108">
        <v>5.03</v>
      </c>
      <c r="E298" s="108"/>
      <c r="F298" s="127"/>
      <c r="G298" s="128"/>
      <c r="H298" s="488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9"/>
      <c r="P298" s="479"/>
      <c r="Q298" s="479"/>
      <c r="R298" s="479"/>
      <c r="S298" s="479"/>
      <c r="T298" s="479"/>
      <c r="U298" s="47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126" t="s">
        <v>186</v>
      </c>
      <c r="D299" s="108">
        <v>5.03</v>
      </c>
      <c r="E299" s="108"/>
      <c r="F299" s="127"/>
      <c r="G299" s="128"/>
      <c r="H299" s="488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9"/>
      <c r="P299" s="479"/>
      <c r="Q299" s="479"/>
      <c r="R299" s="479"/>
      <c r="S299" s="479"/>
      <c r="T299" s="479"/>
      <c r="U299" s="47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/>
      <c r="B300" s="140" t="s">
        <v>227</v>
      </c>
      <c r="C300" s="484" t="s">
        <v>228</v>
      </c>
      <c r="D300" s="108">
        <v>5.03</v>
      </c>
      <c r="E300" s="108"/>
      <c r="F300" s="127"/>
      <c r="G300" s="128"/>
      <c r="H300" s="488">
        <f t="shared" si="132"/>
        <v>0</v>
      </c>
      <c r="I300" s="129"/>
      <c r="J300" s="130" t="str">
        <f t="array" ref="J300">IF(ISERROR(G300/I300),"",G300/I300)</f>
        <v/>
      </c>
      <c r="K300" s="131">
        <f t="array" ref="K300">IF(ISERROR(G300/L300),"",G300/L300)</f>
        <v>0</v>
      </c>
      <c r="L300" s="129">
        <v>4</v>
      </c>
      <c r="M300" s="109">
        <f t="shared" si="133"/>
        <v>0</v>
      </c>
      <c r="N300" s="130">
        <f t="shared" si="134"/>
        <v>0</v>
      </c>
      <c r="O300" s="479"/>
      <c r="P300" s="479"/>
      <c r="Q300" s="479"/>
      <c r="R300" s="479"/>
      <c r="S300" s="479"/>
      <c r="T300" s="479"/>
      <c r="U300" s="47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30101067</v>
      </c>
      <c r="B301" s="140" t="s">
        <v>229</v>
      </c>
      <c r="C301" s="484" t="s">
        <v>212</v>
      </c>
      <c r="D301" s="108">
        <v>5.03</v>
      </c>
      <c r="E301" s="108"/>
      <c r="F301" s="127"/>
      <c r="G301" s="128"/>
      <c r="H301" s="488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9"/>
      <c r="P301" s="479"/>
      <c r="Q301" s="479"/>
      <c r="R301" s="479"/>
      <c r="S301" s="479"/>
      <c r="T301" s="479"/>
      <c r="U301" s="47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30101068</v>
      </c>
      <c r="B302" s="140" t="s">
        <v>229</v>
      </c>
      <c r="C302" s="484" t="s">
        <v>203</v>
      </c>
      <c r="D302" s="108">
        <v>5.03</v>
      </c>
      <c r="E302" s="108"/>
      <c r="F302" s="127"/>
      <c r="G302" s="128"/>
      <c r="H302" s="488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9"/>
      <c r="P302" s="479"/>
      <c r="Q302" s="479"/>
      <c r="R302" s="479"/>
      <c r="S302" s="479"/>
      <c r="T302" s="479"/>
      <c r="U302" s="47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30101069</v>
      </c>
      <c r="B303" s="140" t="s">
        <v>229</v>
      </c>
      <c r="C303" s="484" t="s">
        <v>186</v>
      </c>
      <c r="D303" s="108">
        <v>5.03</v>
      </c>
      <c r="E303" s="108"/>
      <c r="F303" s="127"/>
      <c r="G303" s="128"/>
      <c r="H303" s="488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9"/>
      <c r="P303" s="479"/>
      <c r="Q303" s="479"/>
      <c r="R303" s="479"/>
      <c r="S303" s="479"/>
      <c r="T303" s="479"/>
      <c r="U303" s="47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30101070</v>
      </c>
      <c r="B304" s="140" t="s">
        <v>229</v>
      </c>
      <c r="C304" s="484" t="s">
        <v>228</v>
      </c>
      <c r="D304" s="108">
        <v>5.03</v>
      </c>
      <c r="E304" s="108"/>
      <c r="F304" s="127"/>
      <c r="G304" s="128"/>
      <c r="H304" s="488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9"/>
      <c r="P304" s="479"/>
      <c r="Q304" s="479"/>
      <c r="R304" s="479"/>
      <c r="S304" s="479"/>
      <c r="T304" s="479"/>
      <c r="U304" s="47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299">
        <v>30101071</v>
      </c>
      <c r="B305" s="140" t="s">
        <v>229</v>
      </c>
      <c r="C305" s="484" t="s">
        <v>199</v>
      </c>
      <c r="D305" s="108">
        <v>5.03</v>
      </c>
      <c r="E305" s="108"/>
      <c r="F305" s="127"/>
      <c r="G305" s="128"/>
      <c r="H305" s="488">
        <f t="shared" si="132"/>
        <v>0</v>
      </c>
      <c r="I305" s="129"/>
      <c r="J305" s="130" t="str">
        <f t="array" ref="J305">IF(ISERROR(G305/I305),"",G305/I305)</f>
        <v/>
      </c>
      <c r="K305" s="131" t="str">
        <f t="array" ref="K305">IF(ISERROR(G305/L305),"",G305/L305)</f>
        <v/>
      </c>
      <c r="L305" s="129"/>
      <c r="M305" s="109" t="str">
        <f t="shared" si="133"/>
        <v/>
      </c>
      <c r="N305" s="130">
        <f t="shared" si="134"/>
        <v>0</v>
      </c>
      <c r="O305" s="479"/>
      <c r="P305" s="479"/>
      <c r="Q305" s="479"/>
      <c r="R305" s="479"/>
      <c r="S305" s="479"/>
      <c r="T305" s="479"/>
      <c r="U305" s="47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30100001</v>
      </c>
      <c r="B306" s="134" t="s">
        <v>230</v>
      </c>
      <c r="C306" s="126" t="s">
        <v>204</v>
      </c>
      <c r="D306" s="108">
        <v>5.0599999999999996</v>
      </c>
      <c r="E306" s="108"/>
      <c r="F306" s="127"/>
      <c r="G306" s="128"/>
      <c r="H306" s="488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9"/>
      <c r="P306" s="479"/>
      <c r="Q306" s="479"/>
      <c r="R306" s="479"/>
      <c r="S306" s="479"/>
      <c r="T306" s="479"/>
      <c r="U306" s="47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300">
        <v>30100002</v>
      </c>
      <c r="B307" s="134" t="s">
        <v>230</v>
      </c>
      <c r="C307" s="126" t="s">
        <v>226</v>
      </c>
      <c r="D307" s="108">
        <v>5.0599999999999996</v>
      </c>
      <c r="E307" s="108"/>
      <c r="F307" s="127"/>
      <c r="G307" s="128"/>
      <c r="H307" s="488">
        <f t="shared" si="132"/>
        <v>0</v>
      </c>
      <c r="I307" s="129"/>
      <c r="J307" s="130" t="str">
        <f t="array" ref="J307">IF(ISERROR(G307/I307),"",G307/I307)</f>
        <v/>
      </c>
      <c r="K307" s="131">
        <f t="array" ref="K307">IF(ISERROR(G307/L307),"",G307/L307)</f>
        <v>0</v>
      </c>
      <c r="L307" s="129">
        <v>25</v>
      </c>
      <c r="M307" s="109">
        <f t="shared" si="133"/>
        <v>0</v>
      </c>
      <c r="N307" s="130">
        <f t="shared" si="134"/>
        <v>0</v>
      </c>
      <c r="O307" s="479"/>
      <c r="P307" s="479"/>
      <c r="Q307" s="479"/>
      <c r="R307" s="479"/>
      <c r="S307" s="479"/>
      <c r="T307" s="479"/>
      <c r="U307" s="479"/>
      <c r="V307" s="132">
        <f t="shared" si="135"/>
        <v>0</v>
      </c>
      <c r="W307" s="133" t="str">
        <f t="shared" si="130"/>
        <v/>
      </c>
      <c r="X307" s="132"/>
      <c r="Y307" s="132"/>
      <c r="Z307" s="132"/>
      <c r="AA307" s="132"/>
    </row>
    <row r="308" spans="1:27" ht="20.100000000000001" customHeight="1">
      <c r="A308" s="618" t="s">
        <v>231</v>
      </c>
      <c r="B308" s="619"/>
      <c r="C308" s="486" t="s">
        <v>202</v>
      </c>
      <c r="D308" s="143"/>
      <c r="E308" s="143"/>
      <c r="F308" s="144"/>
      <c r="G308" s="145">
        <f>SUM(G293:G307)</f>
        <v>885</v>
      </c>
      <c r="H308" s="146">
        <f>SUM(H293:H307)</f>
        <v>4455.8999999999996</v>
      </c>
      <c r="I308" s="146">
        <f>SUM(I293:I307)</f>
        <v>54.5</v>
      </c>
      <c r="J308" s="130">
        <f t="array" ref="J308">IF(ISERROR(G308/I308),"",G308/I308)</f>
        <v>16.238532110091743</v>
      </c>
      <c r="K308" s="146">
        <f>SUM(K293:K307)</f>
        <v>39.75</v>
      </c>
      <c r="L308" s="146"/>
      <c r="M308" s="150">
        <f>SUM(M293:M307)</f>
        <v>14.75</v>
      </c>
      <c r="N308" s="146">
        <f>SUM(N293:N307)</f>
        <v>0</v>
      </c>
      <c r="O308" s="148">
        <f>SUM(O293:O307)</f>
        <v>0</v>
      </c>
      <c r="P308" s="148">
        <f>SUM(P293:P307)</f>
        <v>0</v>
      </c>
      <c r="Q308" s="148">
        <f>SUM(Q293:Q307)</f>
        <v>0</v>
      </c>
      <c r="R308" s="148"/>
      <c r="S308" s="148">
        <f>SUM(S293:S307)</f>
        <v>0</v>
      </c>
      <c r="T308" s="148">
        <f>SUM(T293:T307)</f>
        <v>0</v>
      </c>
      <c r="U308" s="148">
        <f>SUM(U293:U307)</f>
        <v>0</v>
      </c>
      <c r="V308" s="149">
        <f>SUM(V293:V307)</f>
        <v>0</v>
      </c>
      <c r="W308" s="133">
        <f t="shared" si="130"/>
        <v>0</v>
      </c>
      <c r="X308" s="149">
        <f>SUM(X293:X307)</f>
        <v>0</v>
      </c>
      <c r="Y308" s="149">
        <f>SUM(Y293:Y307)</f>
        <v>0</v>
      </c>
      <c r="Z308" s="149">
        <f>SUM(Z293:Z307)</f>
        <v>0</v>
      </c>
      <c r="AA308" s="149">
        <f>SUM(AA293:AA307)</f>
        <v>0</v>
      </c>
    </row>
    <row r="309" spans="1:27" ht="20.100000000000001" hidden="1" customHeight="1">
      <c r="A309" s="300">
        <v>30400025</v>
      </c>
      <c r="B309" s="134" t="s">
        <v>232</v>
      </c>
      <c r="C309" s="126" t="s">
        <v>179</v>
      </c>
      <c r="D309" s="108">
        <v>5.04</v>
      </c>
      <c r="E309" s="108"/>
      <c r="F309" s="127"/>
      <c r="G309" s="128"/>
      <c r="H309" s="488">
        <f t="shared" ref="H309:H318" si="136">D309*G309</f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ref="M309:M316" si="137">IF(ISERROR(I309-K309),"",I309-K309)</f>
        <v>0</v>
      </c>
      <c r="N309" s="130">
        <f t="shared" ref="N309:N313" si="138">SUM(O309:U309)</f>
        <v>0</v>
      </c>
      <c r="O309" s="479"/>
      <c r="P309" s="479"/>
      <c r="Q309" s="479"/>
      <c r="R309" s="479"/>
      <c r="S309" s="479"/>
      <c r="T309" s="479"/>
      <c r="U309" s="479"/>
      <c r="V309" s="132">
        <f t="shared" ref="V309:V313" si="139">SUM(X309:AA309)</f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30400023</v>
      </c>
      <c r="B310" s="134" t="s">
        <v>232</v>
      </c>
      <c r="C310" s="126" t="s">
        <v>186</v>
      </c>
      <c r="D310" s="108">
        <v>5.04</v>
      </c>
      <c r="E310" s="108"/>
      <c r="F310" s="127"/>
      <c r="G310" s="128"/>
      <c r="H310" s="488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9"/>
      <c r="P310" s="479"/>
      <c r="Q310" s="479"/>
      <c r="R310" s="479"/>
      <c r="S310" s="479"/>
      <c r="T310" s="479"/>
      <c r="U310" s="47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>
        <v>30400024</v>
      </c>
      <c r="B311" s="134" t="s">
        <v>232</v>
      </c>
      <c r="C311" s="126" t="s">
        <v>204</v>
      </c>
      <c r="D311" s="108">
        <v>5.04</v>
      </c>
      <c r="E311" s="108"/>
      <c r="F311" s="127"/>
      <c r="G311" s="128"/>
      <c r="H311" s="488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9"/>
      <c r="P311" s="479"/>
      <c r="Q311" s="479"/>
      <c r="R311" s="479"/>
      <c r="S311" s="479"/>
      <c r="T311" s="479"/>
      <c r="U311" s="47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195</v>
      </c>
      <c r="D312" s="108">
        <v>5.04</v>
      </c>
      <c r="E312" s="108"/>
      <c r="F312" s="127"/>
      <c r="G312" s="128"/>
      <c r="H312" s="488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9"/>
      <c r="P312" s="479"/>
      <c r="Q312" s="479"/>
      <c r="R312" s="479"/>
      <c r="S312" s="479"/>
      <c r="T312" s="479"/>
      <c r="U312" s="47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/>
      <c r="B313" s="134" t="s">
        <v>232</v>
      </c>
      <c r="C313" s="126" t="s">
        <v>233</v>
      </c>
      <c r="D313" s="108">
        <v>5.04</v>
      </c>
      <c r="E313" s="108"/>
      <c r="F313" s="127"/>
      <c r="G313" s="128"/>
      <c r="H313" s="488">
        <f t="shared" si="136"/>
        <v>0</v>
      </c>
      <c r="I313" s="129"/>
      <c r="J313" s="130" t="str">
        <f t="array" ref="J313">IF(ISERROR(G313/I313),"",G313/I313)</f>
        <v/>
      </c>
      <c r="K313" s="131">
        <f t="array" ref="K313">IF(ISERROR(G313/L313),"",G313/L313)</f>
        <v>0</v>
      </c>
      <c r="L313" s="129">
        <v>22</v>
      </c>
      <c r="M313" s="109">
        <f t="shared" si="137"/>
        <v>0</v>
      </c>
      <c r="N313" s="130">
        <f t="shared" si="138"/>
        <v>0</v>
      </c>
      <c r="O313" s="479"/>
      <c r="P313" s="479"/>
      <c r="Q313" s="479"/>
      <c r="R313" s="479"/>
      <c r="S313" s="479"/>
      <c r="T313" s="479"/>
      <c r="U313" s="479"/>
      <c r="V313" s="132">
        <f t="shared" si="139"/>
        <v>0</v>
      </c>
      <c r="W313" s="133" t="str">
        <f t="shared" si="130"/>
        <v/>
      </c>
      <c r="X313" s="132"/>
      <c r="Y313" s="132"/>
      <c r="Z313" s="132"/>
      <c r="AA313" s="132"/>
    </row>
    <row r="314" spans="1:27" ht="20.100000000000001" customHeight="1">
      <c r="A314" s="300">
        <v>30400019</v>
      </c>
      <c r="B314" s="134" t="s">
        <v>439</v>
      </c>
      <c r="C314" s="187" t="s">
        <v>441</v>
      </c>
      <c r="D314" s="108">
        <v>5.03</v>
      </c>
      <c r="E314" s="108"/>
      <c r="F314" s="127">
        <v>42741</v>
      </c>
      <c r="G314" s="128">
        <f>12+20</f>
        <v>32</v>
      </c>
      <c r="H314" s="488">
        <f t="shared" si="136"/>
        <v>160.96</v>
      </c>
      <c r="I314" s="129">
        <v>3</v>
      </c>
      <c r="J314" s="130">
        <f t="array" ref="J314">IF(ISERROR(G314/I314),"",G314/I314)</f>
        <v>10.666666666666666</v>
      </c>
      <c r="K314" s="131">
        <f t="array" ref="K314">IF(ISERROR(G314/L314),"",G314/L314)</f>
        <v>2.3703703703703702</v>
      </c>
      <c r="L314" s="129">
        <v>13.5</v>
      </c>
      <c r="M314" s="109">
        <f t="shared" si="137"/>
        <v>0.62962962962962976</v>
      </c>
      <c r="N314" s="130"/>
      <c r="O314" s="479"/>
      <c r="P314" s="479"/>
      <c r="Q314" s="479"/>
      <c r="R314" s="479"/>
      <c r="S314" s="479"/>
      <c r="T314" s="479"/>
      <c r="U314" s="479"/>
      <c r="V314" s="132"/>
      <c r="W314" s="133"/>
      <c r="X314" s="132"/>
      <c r="Y314" s="132"/>
      <c r="Z314" s="132"/>
      <c r="AA314" s="132"/>
    </row>
    <row r="315" spans="1:27" ht="20.100000000000001" hidden="1" customHeight="1">
      <c r="A315" s="300">
        <v>30400020</v>
      </c>
      <c r="B315" s="134" t="s">
        <v>439</v>
      </c>
      <c r="C315" s="187" t="s">
        <v>74</v>
      </c>
      <c r="D315" s="108">
        <v>5.03</v>
      </c>
      <c r="E315" s="108"/>
      <c r="F315" s="127"/>
      <c r="G315" s="128"/>
      <c r="H315" s="488">
        <f t="shared" si="136"/>
        <v>0</v>
      </c>
      <c r="I315" s="129"/>
      <c r="J315" s="130" t="str">
        <f t="array" ref="J315">IF(ISERROR(G315/I315),"",G315/I315)</f>
        <v/>
      </c>
      <c r="K315" s="131">
        <f t="array" ref="K315">IF(ISERROR(G315/L315),"",G315/L315)</f>
        <v>0</v>
      </c>
      <c r="L315" s="129">
        <v>13.5</v>
      </c>
      <c r="M315" s="109">
        <f t="shared" si="137"/>
        <v>0</v>
      </c>
      <c r="N315" s="130"/>
      <c r="O315" s="479"/>
      <c r="P315" s="479"/>
      <c r="Q315" s="479"/>
      <c r="R315" s="479"/>
      <c r="S315" s="479"/>
      <c r="T315" s="479"/>
      <c r="U315" s="479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30400021</v>
      </c>
      <c r="B316" s="134" t="s">
        <v>439</v>
      </c>
      <c r="C316" s="187" t="s">
        <v>53</v>
      </c>
      <c r="D316" s="108">
        <v>5.03</v>
      </c>
      <c r="E316" s="108"/>
      <c r="F316" s="127">
        <v>42743</v>
      </c>
      <c r="G316" s="128">
        <f>41+90*7</f>
        <v>671</v>
      </c>
      <c r="H316" s="488">
        <f t="shared" si="136"/>
        <v>3375.13</v>
      </c>
      <c r="I316" s="129">
        <f>11.5*4</f>
        <v>46</v>
      </c>
      <c r="J316" s="130">
        <f t="array" ref="J316">IF(ISERROR(G316/I316),"",G316/I316)</f>
        <v>14.586956521739131</v>
      </c>
      <c r="K316" s="131">
        <f t="array" ref="K316">IF(ISERROR(G316/L316),"",G316/L316)</f>
        <v>49.703703703703702</v>
      </c>
      <c r="L316" s="129">
        <v>13.5</v>
      </c>
      <c r="M316" s="109">
        <f t="shared" si="137"/>
        <v>-3.7037037037037024</v>
      </c>
      <c r="N316" s="130"/>
      <c r="O316" s="479"/>
      <c r="P316" s="479"/>
      <c r="Q316" s="479"/>
      <c r="R316" s="479"/>
      <c r="S316" s="479"/>
      <c r="T316" s="479"/>
      <c r="U316" s="479"/>
      <c r="V316" s="132"/>
      <c r="W316" s="133"/>
      <c r="X316" s="132"/>
      <c r="Y316" s="132"/>
      <c r="Z316" s="132"/>
      <c r="AA316" s="132"/>
    </row>
    <row r="317" spans="1:27" ht="20.100000000000001" hidden="1" customHeight="1">
      <c r="A317" s="300">
        <v>30400018</v>
      </c>
      <c r="B317" s="134" t="s">
        <v>439</v>
      </c>
      <c r="C317" s="126" t="s">
        <v>181</v>
      </c>
      <c r="D317" s="108">
        <v>5.03</v>
      </c>
      <c r="E317" s="108"/>
      <c r="F317" s="127"/>
      <c r="G317" s="128"/>
      <c r="H317" s="488">
        <f t="shared" si="136"/>
        <v>0</v>
      </c>
      <c r="I317" s="129"/>
      <c r="J317" s="130"/>
      <c r="K317" s="131"/>
      <c r="L317" s="129"/>
      <c r="M317" s="109"/>
      <c r="N317" s="130"/>
      <c r="O317" s="479"/>
      <c r="P317" s="479"/>
      <c r="Q317" s="479"/>
      <c r="R317" s="479"/>
      <c r="S317" s="479"/>
      <c r="T317" s="479"/>
      <c r="U317" s="479"/>
      <c r="V317" s="132"/>
      <c r="W317" s="133"/>
      <c r="X317" s="132"/>
      <c r="Y317" s="132"/>
      <c r="Z317" s="132"/>
      <c r="AA317" s="132"/>
    </row>
    <row r="318" spans="1:27" ht="20.100000000000001" hidden="1" customHeight="1">
      <c r="A318" s="300">
        <v>30400022</v>
      </c>
      <c r="B318" s="134" t="s">
        <v>232</v>
      </c>
      <c r="C318" s="126" t="s">
        <v>181</v>
      </c>
      <c r="D318" s="108">
        <v>5.04</v>
      </c>
      <c r="E318" s="108"/>
      <c r="F318" s="127"/>
      <c r="G318" s="128"/>
      <c r="H318" s="488">
        <f t="shared" si="136"/>
        <v>0</v>
      </c>
      <c r="I318" s="129"/>
      <c r="J318" s="130" t="str">
        <f t="array" ref="J318">IF(ISERROR(G318/I318),"",G318/I318)</f>
        <v/>
      </c>
      <c r="K318" s="131">
        <f t="array" ref="K318">IF(ISERROR(G318/L318),"",G318/L318)</f>
        <v>0</v>
      </c>
      <c r="L318" s="129">
        <v>22</v>
      </c>
      <c r="M318" s="109">
        <f t="shared" ref="M318" si="140">IF(ISERROR(I318-K318),"",I318-K318)</f>
        <v>0</v>
      </c>
      <c r="N318" s="130">
        <f t="shared" ref="N318" si="141">SUM(O318:U318)</f>
        <v>0</v>
      </c>
      <c r="O318" s="479"/>
      <c r="P318" s="479"/>
      <c r="Q318" s="479"/>
      <c r="R318" s="479"/>
      <c r="S318" s="479"/>
      <c r="T318" s="479"/>
      <c r="U318" s="479"/>
      <c r="V318" s="132">
        <f t="shared" ref="V318" si="142">SUM(X318:AA318)</f>
        <v>0</v>
      </c>
      <c r="W318" s="133" t="str">
        <f t="shared" ref="W318:W323" si="143">IF(ISERROR(V318/G318),"",V318/G318)</f>
        <v/>
      </c>
      <c r="X318" s="132"/>
      <c r="Y318" s="132"/>
      <c r="Z318" s="132"/>
      <c r="AA318" s="132"/>
    </row>
    <row r="319" spans="1:27" ht="20.100000000000001" customHeight="1">
      <c r="A319" s="618" t="s">
        <v>234</v>
      </c>
      <c r="B319" s="619"/>
      <c r="C319" s="486" t="s">
        <v>202</v>
      </c>
      <c r="D319" s="143"/>
      <c r="E319" s="143"/>
      <c r="F319" s="144"/>
      <c r="G319" s="145">
        <f>SUM(G309:G318)</f>
        <v>703</v>
      </c>
      <c r="H319" s="146">
        <f>SUM(H309:H318)</f>
        <v>3536.09</v>
      </c>
      <c r="I319" s="146">
        <f>SUM(I309:I318)</f>
        <v>49</v>
      </c>
      <c r="J319" s="130">
        <f t="array" ref="J319">IF(ISERROR(G319/I319),"",G319/I319)</f>
        <v>14.346938775510203</v>
      </c>
      <c r="K319" s="146">
        <f>SUM(K309:K318)</f>
        <v>52.074074074074076</v>
      </c>
      <c r="L319" s="147"/>
      <c r="M319" s="150">
        <f>SUM(M309:M318)</f>
        <v>-3.0740740740740726</v>
      </c>
      <c r="N319" s="146">
        <f>SUM(N309:N318)</f>
        <v>0</v>
      </c>
      <c r="O319" s="148">
        <f>SUM(O309:O318)</f>
        <v>0</v>
      </c>
      <c r="P319" s="148">
        <f>SUM(P309:P318)</f>
        <v>0</v>
      </c>
      <c r="Q319" s="148">
        <f>SUM(Q309:Q318)</f>
        <v>0</v>
      </c>
      <c r="R319" s="148"/>
      <c r="S319" s="148">
        <f>SUM(S309:S318)</f>
        <v>0</v>
      </c>
      <c r="T319" s="148">
        <f>SUM(T309:T318)</f>
        <v>0</v>
      </c>
      <c r="U319" s="148">
        <f>SUM(U309:U318)</f>
        <v>0</v>
      </c>
      <c r="V319" s="149">
        <f>SUM(V309:V318)</f>
        <v>0</v>
      </c>
      <c r="W319" s="133">
        <f t="shared" si="143"/>
        <v>0</v>
      </c>
      <c r="X319" s="149">
        <f>SUM(X309:X318)</f>
        <v>0</v>
      </c>
      <c r="Y319" s="149">
        <f>SUM(Y309:Y318)</f>
        <v>0</v>
      </c>
      <c r="Z319" s="149">
        <f>SUM(Z309:Z318)</f>
        <v>0</v>
      </c>
      <c r="AA319" s="149">
        <f>SUM(AA309:AA318)</f>
        <v>0</v>
      </c>
    </row>
    <row r="320" spans="1:27" ht="20.100000000000001" hidden="1" customHeight="1">
      <c r="A320" s="299">
        <v>30700013</v>
      </c>
      <c r="B320" s="141" t="s">
        <v>235</v>
      </c>
      <c r="C320" s="478"/>
      <c r="D320" s="108">
        <v>3.65</v>
      </c>
      <c r="E320" s="108"/>
      <c r="F320" s="153"/>
      <c r="G320" s="128"/>
      <c r="H320" s="488">
        <f t="shared" ref="H320:H333" si="144">D320*G320</f>
        <v>0</v>
      </c>
      <c r="I320" s="129"/>
      <c r="J320" s="130" t="str">
        <f t="array" ref="J320">IF(ISERROR(G320/I320),"",G320/I320)</f>
        <v/>
      </c>
      <c r="K320" s="488">
        <f t="array" ref="K320">IF(ISERROR(G320/L320),"",G320/L320)</f>
        <v>0</v>
      </c>
      <c r="L320" s="129">
        <v>5</v>
      </c>
      <c r="M320" s="109">
        <f t="shared" ref="M320:M323" si="145">IF(ISERROR(I320-K320),"",I320-K320)</f>
        <v>0</v>
      </c>
      <c r="N320" s="130">
        <f t="shared" ref="N320:N323" si="146">SUM(O320:U320)</f>
        <v>0</v>
      </c>
      <c r="O320" s="479"/>
      <c r="P320" s="479"/>
      <c r="Q320" s="479"/>
      <c r="R320" s="479"/>
      <c r="S320" s="479"/>
      <c r="T320" s="479"/>
      <c r="U320" s="479"/>
      <c r="V320" s="132">
        <f t="shared" ref="V320:V323" si="147">SUM(X320:AA320)</f>
        <v>0</v>
      </c>
      <c r="W320" s="133" t="str">
        <f t="shared" si="143"/>
        <v/>
      </c>
      <c r="X320" s="132"/>
      <c r="Y320" s="132"/>
      <c r="Z320" s="132"/>
      <c r="AA320" s="132"/>
    </row>
    <row r="321" spans="1:27" ht="20.100000000000001" customHeight="1">
      <c r="A321" s="299">
        <v>30700014</v>
      </c>
      <c r="B321" s="141" t="s">
        <v>236</v>
      </c>
      <c r="C321" s="478"/>
      <c r="D321" s="108">
        <v>6.58</v>
      </c>
      <c r="E321" s="108"/>
      <c r="F321" s="127">
        <v>42738</v>
      </c>
      <c r="G321" s="152">
        <f>31+1+31+38+5-5</f>
        <v>101</v>
      </c>
      <c r="H321" s="488">
        <f t="shared" si="144"/>
        <v>664.58</v>
      </c>
      <c r="I321" s="129">
        <v>22</v>
      </c>
      <c r="J321" s="130">
        <f t="array" ref="J321">IF(ISERROR(G321/I321),"",G321/I321)</f>
        <v>4.5909090909090908</v>
      </c>
      <c r="K321" s="131">
        <f t="array" ref="K321">IF(ISERROR(G321/L321),"",G321/L321)</f>
        <v>20.2</v>
      </c>
      <c r="L321" s="129">
        <v>5</v>
      </c>
      <c r="M321" s="109">
        <f t="shared" si="145"/>
        <v>1.8000000000000007</v>
      </c>
      <c r="N321" s="130">
        <f t="shared" si="146"/>
        <v>0</v>
      </c>
      <c r="O321" s="479"/>
      <c r="P321" s="479"/>
      <c r="Q321" s="479"/>
      <c r="R321" s="479"/>
      <c r="S321" s="479"/>
      <c r="T321" s="479"/>
      <c r="U321" s="479"/>
      <c r="V321" s="132">
        <f t="shared" si="147"/>
        <v>0</v>
      </c>
      <c r="W321" s="133">
        <f t="shared" si="143"/>
        <v>0</v>
      </c>
      <c r="X321" s="132"/>
      <c r="Y321" s="132"/>
      <c r="Z321" s="132"/>
      <c r="AA321" s="132"/>
    </row>
    <row r="322" spans="1:27" ht="20.100000000000001" customHeight="1">
      <c r="A322" s="299">
        <v>30700016</v>
      </c>
      <c r="B322" s="141" t="s">
        <v>237</v>
      </c>
      <c r="C322" s="478"/>
      <c r="D322" s="108">
        <v>7.8</v>
      </c>
      <c r="E322" s="108"/>
      <c r="F322" s="127">
        <v>42738</v>
      </c>
      <c r="G322" s="128">
        <f>32+36</f>
        <v>68</v>
      </c>
      <c r="H322" s="488">
        <f t="shared" si="144"/>
        <v>530.4</v>
      </c>
      <c r="I322" s="129">
        <v>15</v>
      </c>
      <c r="J322" s="130">
        <f t="array" ref="J322">IF(ISERROR(G322/I322),"",G322/I322)</f>
        <v>4.5333333333333332</v>
      </c>
      <c r="K322" s="131">
        <f t="array" ref="K322">IF(ISERROR(G322/L322),"",G322/L322)</f>
        <v>14.782608695652176</v>
      </c>
      <c r="L322" s="129">
        <v>4.5999999999999996</v>
      </c>
      <c r="M322" s="109">
        <f t="shared" si="145"/>
        <v>0.21739130434782439</v>
      </c>
      <c r="N322" s="130">
        <f t="shared" si="146"/>
        <v>0</v>
      </c>
      <c r="O322" s="479"/>
      <c r="P322" s="479"/>
      <c r="Q322" s="479"/>
      <c r="R322" s="479"/>
      <c r="S322" s="479"/>
      <c r="T322" s="479"/>
      <c r="U322" s="479"/>
      <c r="V322" s="132">
        <f t="shared" si="147"/>
        <v>0</v>
      </c>
      <c r="W322" s="133">
        <f t="shared" si="143"/>
        <v>0</v>
      </c>
      <c r="X322" s="132"/>
      <c r="Y322" s="132"/>
      <c r="Z322" s="132"/>
      <c r="AA322" s="132"/>
    </row>
    <row r="323" spans="1:27" ht="20.100000000000001" customHeight="1">
      <c r="A323" s="299">
        <v>30700017</v>
      </c>
      <c r="B323" s="141" t="s">
        <v>238</v>
      </c>
      <c r="C323" s="478"/>
      <c r="D323" s="108">
        <v>4.4000000000000004</v>
      </c>
      <c r="E323" s="108"/>
      <c r="F323" s="127">
        <v>42738</v>
      </c>
      <c r="G323" s="128">
        <v>71</v>
      </c>
      <c r="H323" s="488">
        <f t="shared" si="144"/>
        <v>312.40000000000003</v>
      </c>
      <c r="I323" s="129">
        <v>13</v>
      </c>
      <c r="J323" s="130">
        <f t="array" ref="J323">IF(ISERROR(G323/I323),"",G323/I323)</f>
        <v>5.4615384615384617</v>
      </c>
      <c r="K323" s="131">
        <f t="array" ref="K323">IF(ISERROR(G323/L323),"",G323/L323)</f>
        <v>12.241379310344827</v>
      </c>
      <c r="L323" s="129">
        <v>5.8</v>
      </c>
      <c r="M323" s="109">
        <f t="shared" si="145"/>
        <v>0.7586206896551726</v>
      </c>
      <c r="N323" s="130">
        <f t="shared" si="146"/>
        <v>0</v>
      </c>
      <c r="O323" s="479"/>
      <c r="P323" s="479"/>
      <c r="Q323" s="479"/>
      <c r="R323" s="479"/>
      <c r="S323" s="479"/>
      <c r="T323" s="479"/>
      <c r="U323" s="479"/>
      <c r="V323" s="132">
        <f t="shared" si="147"/>
        <v>0</v>
      </c>
      <c r="W323" s="133">
        <f t="shared" si="143"/>
        <v>0</v>
      </c>
      <c r="X323" s="132"/>
      <c r="Y323" s="132"/>
      <c r="Z323" s="132"/>
      <c r="AA323" s="132"/>
    </row>
    <row r="324" spans="1:27" ht="20.100000000000001" hidden="1" customHeight="1">
      <c r="A324" s="299">
        <v>30700001</v>
      </c>
      <c r="B324" s="127" t="s">
        <v>359</v>
      </c>
      <c r="C324" s="478"/>
      <c r="D324" s="108"/>
      <c r="E324" s="108"/>
      <c r="F324" s="127"/>
      <c r="G324" s="128"/>
      <c r="H324" s="488">
        <f t="shared" si="144"/>
        <v>0</v>
      </c>
      <c r="I324" s="129"/>
      <c r="J324" s="130"/>
      <c r="K324" s="131"/>
      <c r="L324" s="129">
        <v>6</v>
      </c>
      <c r="M324" s="109"/>
      <c r="N324" s="130"/>
      <c r="O324" s="479"/>
      <c r="P324" s="479"/>
      <c r="Q324" s="479"/>
      <c r="R324" s="479"/>
      <c r="S324" s="479"/>
      <c r="T324" s="479"/>
      <c r="U324" s="479"/>
      <c r="V324" s="132"/>
      <c r="W324" s="133"/>
      <c r="X324" s="132"/>
      <c r="Y324" s="132"/>
      <c r="Z324" s="132"/>
      <c r="AA324" s="132"/>
    </row>
    <row r="325" spans="1:27" ht="20.100000000000001" hidden="1" customHeight="1">
      <c r="A325" s="305"/>
      <c r="B325" s="478" t="s">
        <v>239</v>
      </c>
      <c r="C325" s="478" t="s">
        <v>179</v>
      </c>
      <c r="D325" s="108">
        <v>6.04</v>
      </c>
      <c r="E325" s="108"/>
      <c r="F325" s="127"/>
      <c r="G325" s="128"/>
      <c r="H325" s="488">
        <f t="shared" si="144"/>
        <v>0</v>
      </c>
      <c r="I325" s="129"/>
      <c r="J325" s="130" t="str">
        <f t="array" ref="J325">IF(ISERROR(G325/I325),"",G325/I325)</f>
        <v/>
      </c>
      <c r="K325" s="131">
        <f t="array" ref="K325">IF(ISERROR(G325/L325),"",G325/L325)</f>
        <v>0</v>
      </c>
      <c r="L325" s="129">
        <v>6</v>
      </c>
      <c r="M325" s="109">
        <f t="shared" ref="M325:M326" si="148">IF(ISERROR(I325-K325),"",I325-K325)</f>
        <v>0</v>
      </c>
      <c r="N325" s="130">
        <f t="shared" ref="N325:N326" si="149">SUM(O325:U325)</f>
        <v>0</v>
      </c>
      <c r="O325" s="479"/>
      <c r="P325" s="479"/>
      <c r="Q325" s="479"/>
      <c r="R325" s="479"/>
      <c r="S325" s="479"/>
      <c r="T325" s="479"/>
      <c r="U325" s="479"/>
      <c r="V325" s="132">
        <f t="shared" ref="V325:V326" si="150">SUM(X325:AA325)</f>
        <v>0</v>
      </c>
      <c r="W325" s="133" t="str">
        <f t="shared" ref="W325:W326" si="151">IF(ISERROR(V325/G325),"",V325/G325)</f>
        <v/>
      </c>
      <c r="X325" s="132"/>
      <c r="Y325" s="132"/>
      <c r="Z325" s="132"/>
      <c r="AA325" s="132"/>
    </row>
    <row r="326" spans="1:27" ht="20.100000000000001" hidden="1" customHeight="1">
      <c r="A326" s="305">
        <v>30700019</v>
      </c>
      <c r="B326" s="478" t="s">
        <v>239</v>
      </c>
      <c r="C326" s="478" t="s">
        <v>186</v>
      </c>
      <c r="D326" s="108">
        <v>6.04</v>
      </c>
      <c r="E326" s="108"/>
      <c r="F326" s="127"/>
      <c r="G326" s="128"/>
      <c r="H326" s="488">
        <f t="shared" si="144"/>
        <v>0</v>
      </c>
      <c r="I326" s="129"/>
      <c r="J326" s="130" t="str">
        <f t="array" ref="J326">IF(ISERROR(G326/I326),"",G326/I326)</f>
        <v/>
      </c>
      <c r="K326" s="131">
        <f t="array" ref="K326">IF(ISERROR(G326/L326),"",G326/L326)</f>
        <v>0</v>
      </c>
      <c r="L326" s="129">
        <v>6</v>
      </c>
      <c r="M326" s="109">
        <f t="shared" si="148"/>
        <v>0</v>
      </c>
      <c r="N326" s="130">
        <f t="shared" si="149"/>
        <v>0</v>
      </c>
      <c r="O326" s="479"/>
      <c r="P326" s="479"/>
      <c r="Q326" s="479"/>
      <c r="R326" s="479"/>
      <c r="S326" s="479"/>
      <c r="T326" s="479"/>
      <c r="U326" s="479"/>
      <c r="V326" s="132">
        <f t="shared" si="150"/>
        <v>0</v>
      </c>
      <c r="W326" s="133" t="str">
        <f t="shared" si="151"/>
        <v/>
      </c>
      <c r="X326" s="132"/>
      <c r="Y326" s="132"/>
      <c r="Z326" s="132"/>
      <c r="AA326" s="132"/>
    </row>
    <row r="327" spans="1:27" ht="20.100000000000001" hidden="1" customHeight="1">
      <c r="A327" s="305">
        <v>30601015</v>
      </c>
      <c r="B327" s="478" t="s">
        <v>443</v>
      </c>
      <c r="C327" s="478" t="s">
        <v>179</v>
      </c>
      <c r="D327" s="108">
        <v>6</v>
      </c>
      <c r="E327" s="108"/>
      <c r="F327" s="127"/>
      <c r="G327" s="128"/>
      <c r="H327" s="488">
        <f t="shared" si="144"/>
        <v>0</v>
      </c>
      <c r="I327" s="129"/>
      <c r="J327" s="130"/>
      <c r="K327" s="131"/>
      <c r="L327" s="129"/>
      <c r="M327" s="109"/>
      <c r="N327" s="130"/>
      <c r="O327" s="479"/>
      <c r="P327" s="479"/>
      <c r="Q327" s="479"/>
      <c r="R327" s="479"/>
      <c r="S327" s="479"/>
      <c r="T327" s="479"/>
      <c r="U327" s="47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305">
        <v>30101016</v>
      </c>
      <c r="B328" s="478" t="s">
        <v>443</v>
      </c>
      <c r="C328" s="478" t="s">
        <v>60</v>
      </c>
      <c r="D328" s="108">
        <v>6</v>
      </c>
      <c r="E328" s="108"/>
      <c r="F328" s="127"/>
      <c r="G328" s="128"/>
      <c r="H328" s="488">
        <f t="shared" si="144"/>
        <v>0</v>
      </c>
      <c r="I328" s="129"/>
      <c r="J328" s="130"/>
      <c r="K328" s="131">
        <f t="array" ref="K328">IF(ISERROR(G328/L328),"",G328/L328)</f>
        <v>0</v>
      </c>
      <c r="L328" s="129">
        <v>6</v>
      </c>
      <c r="M328" s="109"/>
      <c r="N328" s="130"/>
      <c r="O328" s="479"/>
      <c r="P328" s="479"/>
      <c r="Q328" s="479"/>
      <c r="R328" s="479"/>
      <c r="S328" s="479"/>
      <c r="T328" s="479"/>
      <c r="U328" s="479"/>
      <c r="V328" s="132"/>
      <c r="W328" s="133"/>
      <c r="X328" s="132"/>
      <c r="Y328" s="132"/>
      <c r="Z328" s="132"/>
      <c r="AA328" s="132"/>
    </row>
    <row r="329" spans="1:27" ht="20.100000000000001" hidden="1" customHeight="1">
      <c r="A329" s="299">
        <v>30700018</v>
      </c>
      <c r="B329" s="480" t="s">
        <v>240</v>
      </c>
      <c r="C329" s="126"/>
      <c r="D329" s="108">
        <v>7.3</v>
      </c>
      <c r="E329" s="108"/>
      <c r="F329" s="127"/>
      <c r="G329" s="128"/>
      <c r="H329" s="488">
        <f t="shared" si="144"/>
        <v>0</v>
      </c>
      <c r="I329" s="129"/>
      <c r="J329" s="130"/>
      <c r="K329" s="131"/>
      <c r="L329" s="129"/>
      <c r="M329" s="109"/>
      <c r="N329" s="130"/>
      <c r="O329" s="479"/>
      <c r="P329" s="479"/>
      <c r="Q329" s="479"/>
      <c r="R329" s="479"/>
      <c r="S329" s="479"/>
      <c r="T329" s="479"/>
      <c r="U329" s="47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30700010</v>
      </c>
      <c r="B330" s="480" t="s">
        <v>241</v>
      </c>
      <c r="C330" s="126"/>
      <c r="D330" s="108">
        <f>78*120/1000</f>
        <v>9.36</v>
      </c>
      <c r="E330" s="108"/>
      <c r="F330" s="127"/>
      <c r="G330" s="128"/>
      <c r="H330" s="488">
        <f t="shared" si="144"/>
        <v>0</v>
      </c>
      <c r="I330" s="129"/>
      <c r="J330" s="130"/>
      <c r="K330" s="131">
        <f t="array" ref="K330">IF(ISERROR(G330/L330),"",G330/L330)</f>
        <v>0</v>
      </c>
      <c r="L330" s="129">
        <v>7.5</v>
      </c>
      <c r="M330" s="109"/>
      <c r="N330" s="130">
        <f t="shared" ref="N330" si="152">SUM(O330:U330)</f>
        <v>0</v>
      </c>
      <c r="O330" s="479"/>
      <c r="P330" s="479"/>
      <c r="Q330" s="479"/>
      <c r="R330" s="479"/>
      <c r="S330" s="479"/>
      <c r="T330" s="479"/>
      <c r="U330" s="479"/>
      <c r="V330" s="132">
        <f t="shared" ref="V330" si="153">SUM(X330:AA330)</f>
        <v>0</v>
      </c>
      <c r="W330" s="133" t="str">
        <f t="shared" ref="W330" si="154">IF(ISERROR(V330/G330),"",V330/G330)</f>
        <v/>
      </c>
      <c r="X330" s="132"/>
      <c r="Y330" s="132"/>
      <c r="Z330" s="132"/>
      <c r="AA330" s="132"/>
    </row>
    <row r="331" spans="1:27" ht="20.100000000000001" hidden="1" customHeight="1">
      <c r="A331" s="299">
        <v>30700015</v>
      </c>
      <c r="B331" s="480" t="s">
        <v>242</v>
      </c>
      <c r="C331" s="126"/>
      <c r="D331" s="108">
        <v>4.5</v>
      </c>
      <c r="E331" s="108"/>
      <c r="F331" s="127"/>
      <c r="G331" s="128"/>
      <c r="H331" s="488">
        <f t="shared" si="144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9"/>
      <c r="P331" s="479"/>
      <c r="Q331" s="479"/>
      <c r="R331" s="479"/>
      <c r="S331" s="479"/>
      <c r="T331" s="479"/>
      <c r="U331" s="47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299">
        <v>30700012</v>
      </c>
      <c r="B332" s="480" t="s">
        <v>243</v>
      </c>
      <c r="C332" s="126"/>
      <c r="D332" s="108">
        <v>4.5</v>
      </c>
      <c r="E332" s="108"/>
      <c r="F332" s="127"/>
      <c r="G332" s="128"/>
      <c r="H332" s="488">
        <f t="shared" si="144"/>
        <v>0</v>
      </c>
      <c r="I332" s="129"/>
      <c r="J332" s="130"/>
      <c r="K332" s="131" t="str">
        <f t="array" ref="K332">IF(ISERROR(G332/L332),"",G332/L332)</f>
        <v/>
      </c>
      <c r="L332" s="129"/>
      <c r="M332" s="109"/>
      <c r="N332" s="130"/>
      <c r="O332" s="479"/>
      <c r="P332" s="479"/>
      <c r="Q332" s="479"/>
      <c r="R332" s="479"/>
      <c r="S332" s="479"/>
      <c r="T332" s="479"/>
      <c r="U332" s="479"/>
      <c r="V332" s="132"/>
      <c r="W332" s="133"/>
      <c r="X332" s="132"/>
      <c r="Y332" s="132"/>
      <c r="Z332" s="132"/>
      <c r="AA332" s="132"/>
    </row>
    <row r="333" spans="1:27" ht="20.100000000000001" hidden="1" customHeight="1">
      <c r="A333" s="299"/>
      <c r="B333" s="199" t="s">
        <v>438</v>
      </c>
      <c r="C333" s="126"/>
      <c r="D333" s="108">
        <v>4.5</v>
      </c>
      <c r="E333" s="108"/>
      <c r="F333" s="127"/>
      <c r="G333" s="128"/>
      <c r="H333" s="488">
        <f t="shared" si="144"/>
        <v>0</v>
      </c>
      <c r="I333" s="129"/>
      <c r="J333" s="130"/>
      <c r="K333" s="131" t="str">
        <f t="array" ref="K333">IF(ISERROR(G333/L333),"",G333/L333)</f>
        <v/>
      </c>
      <c r="L333" s="129"/>
      <c r="M333" s="109"/>
      <c r="N333" s="130"/>
      <c r="O333" s="479"/>
      <c r="P333" s="479"/>
      <c r="Q333" s="479"/>
      <c r="R333" s="479"/>
      <c r="S333" s="479"/>
      <c r="T333" s="479"/>
      <c r="U333" s="479"/>
      <c r="V333" s="132"/>
      <c r="W333" s="133"/>
      <c r="X333" s="132"/>
      <c r="Y333" s="132"/>
      <c r="Z333" s="132"/>
      <c r="AA333" s="132"/>
    </row>
    <row r="334" spans="1:27" ht="20.100000000000001" customHeight="1">
      <c r="A334" s="618" t="s">
        <v>244</v>
      </c>
      <c r="B334" s="619"/>
      <c r="C334" s="486" t="s">
        <v>202</v>
      </c>
      <c r="D334" s="143"/>
      <c r="E334" s="143"/>
      <c r="F334" s="144"/>
      <c r="G334" s="145">
        <f>SUM(G320:G333)</f>
        <v>240</v>
      </c>
      <c r="H334" s="146">
        <f>SUM(H320:H330)</f>
        <v>1507.38</v>
      </c>
      <c r="I334" s="146">
        <f>SUM(I320:I333)</f>
        <v>50</v>
      </c>
      <c r="J334" s="130">
        <f t="array" ref="J334">IF(ISERROR(G334/I334),"",G334/I334)</f>
        <v>4.8</v>
      </c>
      <c r="K334" s="146">
        <f>SUM(K320:K330)</f>
        <v>47.223988005997001</v>
      </c>
      <c r="L334" s="147"/>
      <c r="M334" s="150">
        <f t="shared" ref="M334:AA334" si="155">SUM(M320:M330)</f>
        <v>2.7760119940029977</v>
      </c>
      <c r="N334" s="146">
        <f t="shared" si="155"/>
        <v>0</v>
      </c>
      <c r="O334" s="148">
        <f t="shared" si="155"/>
        <v>0</v>
      </c>
      <c r="P334" s="148">
        <f t="shared" si="155"/>
        <v>0</v>
      </c>
      <c r="Q334" s="148">
        <f t="shared" si="155"/>
        <v>0</v>
      </c>
      <c r="R334" s="148">
        <f t="shared" si="155"/>
        <v>0</v>
      </c>
      <c r="S334" s="148">
        <f t="shared" si="155"/>
        <v>0</v>
      </c>
      <c r="T334" s="148">
        <f t="shared" si="155"/>
        <v>0</v>
      </c>
      <c r="U334" s="148">
        <f t="shared" si="155"/>
        <v>0</v>
      </c>
      <c r="V334" s="149">
        <f t="shared" si="155"/>
        <v>0</v>
      </c>
      <c r="W334" s="133">
        <f t="shared" si="155"/>
        <v>0</v>
      </c>
      <c r="X334" s="149">
        <f t="shared" si="155"/>
        <v>0</v>
      </c>
      <c r="Y334" s="149">
        <f t="shared" si="155"/>
        <v>0</v>
      </c>
      <c r="Z334" s="149">
        <f t="shared" si="155"/>
        <v>0</v>
      </c>
      <c r="AA334" s="149">
        <f t="shared" si="155"/>
        <v>0</v>
      </c>
    </row>
    <row r="335" spans="1:27" ht="20.100000000000001" customHeight="1">
      <c r="A335" s="620" t="s">
        <v>246</v>
      </c>
      <c r="B335" s="621"/>
      <c r="C335" s="621"/>
      <c r="D335" s="621"/>
      <c r="E335" s="621"/>
      <c r="F335" s="622"/>
      <c r="G335" s="154">
        <f>SUM(G199,G257,G292,G308,G319,G334)</f>
        <v>5749</v>
      </c>
      <c r="H335" s="154">
        <f>SUM(H199,H257,H292,H308,H319,H334)</f>
        <v>29277.82</v>
      </c>
      <c r="I335" s="154">
        <f>SUM(I199,I257,I292,I308,I319,I334)</f>
        <v>359.5</v>
      </c>
      <c r="J335" s="155">
        <f t="array" ref="J335">IF(ISERROR(G335/I335),"",G335/I335)</f>
        <v>15.991655076495132</v>
      </c>
      <c r="K335" s="154">
        <f>SUM(K199,K257,K292,K308,K319,K334)</f>
        <v>306.2734384234559</v>
      </c>
      <c r="L335" s="155">
        <f>IF(ISERROR(G335/K335),"",G335/K335)</f>
        <v>18.7708082999068</v>
      </c>
      <c r="M335" s="154">
        <f t="shared" ref="M335:AA335" si="156">SUM(M199,M257,M292,M308,M319,M334)</f>
        <v>53.226561576544128</v>
      </c>
      <c r="N335" s="154">
        <f t="shared" si="156"/>
        <v>0</v>
      </c>
      <c r="O335" s="154">
        <f t="shared" si="156"/>
        <v>0</v>
      </c>
      <c r="P335" s="154">
        <f t="shared" si="156"/>
        <v>0</v>
      </c>
      <c r="Q335" s="154">
        <f t="shared" si="156"/>
        <v>0</v>
      </c>
      <c r="R335" s="154">
        <f t="shared" si="156"/>
        <v>0</v>
      </c>
      <c r="S335" s="154">
        <f t="shared" si="156"/>
        <v>0</v>
      </c>
      <c r="T335" s="154">
        <f t="shared" si="156"/>
        <v>0</v>
      </c>
      <c r="U335" s="154">
        <f t="shared" si="156"/>
        <v>0</v>
      </c>
      <c r="V335" s="154">
        <f t="shared" si="156"/>
        <v>0</v>
      </c>
      <c r="W335" s="154">
        <f t="shared" si="156"/>
        <v>0</v>
      </c>
      <c r="X335" s="154">
        <f t="shared" si="156"/>
        <v>0</v>
      </c>
      <c r="Y335" s="154">
        <f t="shared" si="156"/>
        <v>0</v>
      </c>
      <c r="Z335" s="154">
        <f t="shared" si="156"/>
        <v>0</v>
      </c>
      <c r="AA335" s="154">
        <f t="shared" si="156"/>
        <v>0</v>
      </c>
    </row>
    <row r="336" spans="1:27" ht="20.100000000000001" customHeight="1">
      <c r="A336" s="623" t="s">
        <v>476</v>
      </c>
      <c r="B336" s="485" t="s">
        <v>247</v>
      </c>
      <c r="C336" s="626" t="s">
        <v>248</v>
      </c>
      <c r="D336" s="627"/>
      <c r="E336" s="628" t="s">
        <v>249</v>
      </c>
      <c r="F336" s="628"/>
      <c r="G336" s="631" t="s">
        <v>250</v>
      </c>
      <c r="H336" s="631"/>
      <c r="I336" s="628" t="s">
        <v>251</v>
      </c>
      <c r="J336" s="628"/>
      <c r="K336" s="628" t="s">
        <v>252</v>
      </c>
      <c r="L336" s="628"/>
      <c r="M336" s="628" t="s">
        <v>253</v>
      </c>
      <c r="N336" s="628"/>
      <c r="O336" s="628" t="s">
        <v>254</v>
      </c>
      <c r="P336" s="631" t="s">
        <v>255</v>
      </c>
      <c r="Q336" s="631"/>
      <c r="R336" s="631" t="s">
        <v>252</v>
      </c>
      <c r="S336" s="631"/>
      <c r="T336" s="631" t="s">
        <v>256</v>
      </c>
      <c r="U336" s="631"/>
      <c r="V336" s="631" t="s">
        <v>257</v>
      </c>
      <c r="W336" s="631"/>
      <c r="X336" s="631" t="s">
        <v>252</v>
      </c>
      <c r="Y336" s="631"/>
      <c r="Z336" s="631" t="s">
        <v>256</v>
      </c>
      <c r="AA336" s="631"/>
    </row>
    <row r="337" spans="1:27" ht="20.100000000000001" customHeight="1">
      <c r="A337" s="624"/>
      <c r="B337" s="485" t="s">
        <v>258</v>
      </c>
      <c r="C337" s="666">
        <v>1</v>
      </c>
      <c r="D337" s="667"/>
      <c r="E337" s="630">
        <f>C337*11</f>
        <v>11</v>
      </c>
      <c r="F337" s="630"/>
      <c r="G337" s="631">
        <v>1</v>
      </c>
      <c r="H337" s="631"/>
      <c r="I337" s="630">
        <f>G337*11</f>
        <v>11</v>
      </c>
      <c r="J337" s="630"/>
      <c r="K337" s="630">
        <f>E337-I337</f>
        <v>0</v>
      </c>
      <c r="L337" s="630"/>
      <c r="M337" s="632">
        <f>IF(ISERROR(K337/E337),"",K337/E337)</f>
        <v>0</v>
      </c>
      <c r="N337" s="632"/>
      <c r="O337" s="628"/>
      <c r="P337" s="631" t="s">
        <v>201</v>
      </c>
      <c r="Q337" s="631"/>
      <c r="R337" s="633">
        <f>SUM(O199:U199)</f>
        <v>0</v>
      </c>
      <c r="S337" s="633"/>
      <c r="T337" s="634" t="str">
        <f t="array" ref="T337">IF(ISERROR(R337/R344),"",R337/R344)</f>
        <v/>
      </c>
      <c r="U337" s="634"/>
      <c r="V337" s="631" t="s">
        <v>259</v>
      </c>
      <c r="W337" s="631"/>
      <c r="X337" s="668">
        <f>SUM(P198,P256,P291,P307,P318,P333)</f>
        <v>0</v>
      </c>
      <c r="Y337" s="669"/>
      <c r="Z337" s="634" t="str">
        <f t="array" ref="Z337">IF(ISERROR(X337/X344),"",X337/X344)</f>
        <v/>
      </c>
      <c r="AA337" s="634"/>
    </row>
    <row r="338" spans="1:27" ht="20.100000000000001" customHeight="1">
      <c r="A338" s="624"/>
      <c r="B338" s="485" t="s">
        <v>260</v>
      </c>
      <c r="C338" s="626">
        <v>0</v>
      </c>
      <c r="D338" s="627"/>
      <c r="E338" s="630">
        <f>C338*11</f>
        <v>0</v>
      </c>
      <c r="F338" s="630"/>
      <c r="G338" s="631">
        <v>0</v>
      </c>
      <c r="H338" s="631"/>
      <c r="I338" s="630">
        <f>G338*11</f>
        <v>0</v>
      </c>
      <c r="J338" s="630"/>
      <c r="K338" s="630">
        <f>E338-I338</f>
        <v>0</v>
      </c>
      <c r="L338" s="630"/>
      <c r="M338" s="632" t="str">
        <f>IF(ISERROR(K338/E338),"",K338/E338)</f>
        <v/>
      </c>
      <c r="N338" s="632"/>
      <c r="O338" s="628"/>
      <c r="P338" s="631" t="s">
        <v>216</v>
      </c>
      <c r="Q338" s="631"/>
      <c r="R338" s="633">
        <f>SUM(O257:U257)</f>
        <v>0</v>
      </c>
      <c r="S338" s="633"/>
      <c r="T338" s="634" t="str">
        <f>IF(ISERROR(R338/R344),"",R338/R344)</f>
        <v/>
      </c>
      <c r="U338" s="634"/>
      <c r="V338" s="631" t="s">
        <v>261</v>
      </c>
      <c r="W338" s="631"/>
      <c r="X338" s="668">
        <f>SUM(P199,P257,P292,P308,P319,P334)</f>
        <v>0</v>
      </c>
      <c r="Y338" s="669"/>
      <c r="Z338" s="634" t="str">
        <f>IF(ISERROR(X338/X344),"",X338/X344)</f>
        <v/>
      </c>
      <c r="AA338" s="634"/>
    </row>
    <row r="339" spans="1:27" ht="20.100000000000001" customHeight="1">
      <c r="A339" s="624"/>
      <c r="B339" s="485" t="s">
        <v>262</v>
      </c>
      <c r="C339" s="626">
        <v>0</v>
      </c>
      <c r="D339" s="627"/>
      <c r="E339" s="630">
        <f>C339*8</f>
        <v>0</v>
      </c>
      <c r="F339" s="630"/>
      <c r="G339" s="631">
        <v>1</v>
      </c>
      <c r="H339" s="631"/>
      <c r="I339" s="630">
        <f>G339*8</f>
        <v>8</v>
      </c>
      <c r="J339" s="630"/>
      <c r="K339" s="630">
        <f>E339-I339</f>
        <v>-8</v>
      </c>
      <c r="L339" s="630"/>
      <c r="M339" s="632" t="str">
        <f>IF(ISERROR(K339/E339),"",K339/E339)</f>
        <v/>
      </c>
      <c r="N339" s="632"/>
      <c r="O339" s="628"/>
      <c r="P339" s="631" t="s">
        <v>224</v>
      </c>
      <c r="Q339" s="631"/>
      <c r="R339" s="633">
        <f>SUM(O292:U292)</f>
        <v>0</v>
      </c>
      <c r="S339" s="633"/>
      <c r="T339" s="634" t="str">
        <f>IF(ISERROR(R339/R344),"",R339/R344)</f>
        <v/>
      </c>
      <c r="U339" s="634"/>
      <c r="V339" s="631" t="s">
        <v>263</v>
      </c>
      <c r="W339" s="631"/>
      <c r="X339" s="668">
        <f>SUM(P200,P258,P293,P309,P320,P335)</f>
        <v>0</v>
      </c>
      <c r="Y339" s="669"/>
      <c r="Z339" s="634" t="str">
        <f>IF(ISERROR(X339/X344),"",X339/X344)</f>
        <v/>
      </c>
      <c r="AA339" s="634"/>
    </row>
    <row r="340" spans="1:27" ht="20.100000000000001" customHeight="1">
      <c r="A340" s="624"/>
      <c r="B340" s="485" t="s">
        <v>264</v>
      </c>
      <c r="C340" s="626">
        <v>1</v>
      </c>
      <c r="D340" s="627"/>
      <c r="E340" s="630">
        <f>C340*11</f>
        <v>11</v>
      </c>
      <c r="F340" s="630"/>
      <c r="G340" s="631">
        <v>1</v>
      </c>
      <c r="H340" s="631"/>
      <c r="I340" s="630">
        <f>G340*11</f>
        <v>11</v>
      </c>
      <c r="J340" s="630"/>
      <c r="K340" s="630">
        <f>E340-I340</f>
        <v>0</v>
      </c>
      <c r="L340" s="630"/>
      <c r="M340" s="632">
        <f>IF(ISERROR(K340/E340),"",K340/E340)</f>
        <v>0</v>
      </c>
      <c r="N340" s="632"/>
      <c r="O340" s="628"/>
      <c r="P340" s="631" t="s">
        <v>231</v>
      </c>
      <c r="Q340" s="631"/>
      <c r="R340" s="633">
        <f>SUM(O308:U308)</f>
        <v>0</v>
      </c>
      <c r="S340" s="633"/>
      <c r="T340" s="634" t="str">
        <f>IF(ISERROR(R340/R344),"",R340/R344)</f>
        <v/>
      </c>
      <c r="U340" s="634"/>
      <c r="V340" s="631" t="s">
        <v>265</v>
      </c>
      <c r="W340" s="631"/>
      <c r="X340" s="668">
        <f>SUM(P202,P259,P294,P310,P321,P336)</f>
        <v>0</v>
      </c>
      <c r="Y340" s="669"/>
      <c r="Z340" s="634" t="str">
        <f>IF(ISERROR(X340/X344),"",X340/X344)</f>
        <v/>
      </c>
      <c r="AA340" s="634"/>
    </row>
    <row r="341" spans="1:27" ht="20.100000000000001" customHeight="1">
      <c r="A341" s="625"/>
      <c r="B341" s="485" t="s">
        <v>266</v>
      </c>
      <c r="C341" s="636">
        <f>SUM(C337:D340)</f>
        <v>2</v>
      </c>
      <c r="D341" s="637"/>
      <c r="E341" s="630">
        <f>SUM(E337:F340)</f>
        <v>22</v>
      </c>
      <c r="F341" s="630"/>
      <c r="G341" s="631">
        <f>SUM(G337:H340)</f>
        <v>3</v>
      </c>
      <c r="H341" s="631"/>
      <c r="I341" s="630">
        <f>SUM(I337:J340)</f>
        <v>30</v>
      </c>
      <c r="J341" s="630"/>
      <c r="K341" s="630">
        <f>SUM(K337:L340)</f>
        <v>-8</v>
      </c>
      <c r="L341" s="630"/>
      <c r="M341" s="632">
        <f>IF(ISERROR(K341/E341),"",K341/E341)</f>
        <v>-0.36363636363636365</v>
      </c>
      <c r="N341" s="632"/>
      <c r="O341" s="628"/>
      <c r="P341" s="631" t="s">
        <v>234</v>
      </c>
      <c r="Q341" s="631"/>
      <c r="R341" s="633">
        <f>SUM(O319:U319)</f>
        <v>0</v>
      </c>
      <c r="S341" s="633"/>
      <c r="T341" s="634" t="str">
        <f>IF(ISERROR(R341/R344),"",R341/R344)</f>
        <v/>
      </c>
      <c r="U341" s="634"/>
      <c r="V341" s="631" t="s">
        <v>267</v>
      </c>
      <c r="W341" s="631"/>
      <c r="X341" s="668">
        <f>SUM(P203,P260,P295,P311,P322,P337)</f>
        <v>0</v>
      </c>
      <c r="Y341" s="669"/>
      <c r="Z341" s="634" t="str">
        <f>IF(ISERROR(X341/X344),"",X341/X344)</f>
        <v/>
      </c>
      <c r="AA341" s="634"/>
    </row>
    <row r="342" spans="1:27" ht="20.100000000000001" customHeight="1">
      <c r="A342" s="309" t="s">
        <v>477</v>
      </c>
      <c r="B342" s="485">
        <f>G335</f>
        <v>5749</v>
      </c>
      <c r="C342" s="638" t="s">
        <v>269</v>
      </c>
      <c r="D342" s="639"/>
      <c r="E342" s="631">
        <f>H335</f>
        <v>29277.82</v>
      </c>
      <c r="F342" s="631"/>
      <c r="G342" s="631" t="s">
        <v>270</v>
      </c>
      <c r="H342" s="631"/>
      <c r="I342" s="640">
        <f>L335</f>
        <v>18.7708082999068</v>
      </c>
      <c r="J342" s="640"/>
      <c r="K342" s="628" t="s">
        <v>271</v>
      </c>
      <c r="L342" s="628"/>
      <c r="M342" s="640">
        <f>J335</f>
        <v>15.991655076495132</v>
      </c>
      <c r="N342" s="640"/>
      <c r="O342" s="628"/>
      <c r="P342" s="631" t="s">
        <v>244</v>
      </c>
      <c r="Q342" s="631"/>
      <c r="R342" s="633">
        <f>SUM(O334:U334)</f>
        <v>0</v>
      </c>
      <c r="S342" s="633"/>
      <c r="T342" s="634" t="str">
        <f>IF(ISERROR(R342/R344),"",R342/R344)</f>
        <v/>
      </c>
      <c r="U342" s="634"/>
      <c r="V342" s="631" t="s">
        <v>272</v>
      </c>
      <c r="W342" s="631"/>
      <c r="X342" s="668">
        <f>SUM(P204,P261,P296,P312,P323,P338)</f>
        <v>0</v>
      </c>
      <c r="Y342" s="669"/>
      <c r="Z342" s="634" t="str">
        <f>IF(ISERROR(X342/X344),"",X342/X344)</f>
        <v/>
      </c>
      <c r="AA342" s="634"/>
    </row>
    <row r="343" spans="1:27" ht="20.100000000000001" customHeight="1">
      <c r="A343" s="310" t="s">
        <v>478</v>
      </c>
      <c r="B343" s="485">
        <f>I335+C341</f>
        <v>361.5</v>
      </c>
      <c r="C343" s="641" t="s">
        <v>251</v>
      </c>
      <c r="D343" s="642"/>
      <c r="E343" s="643">
        <f>K335+I341</f>
        <v>336.2734384234559</v>
      </c>
      <c r="F343" s="643"/>
      <c r="G343" s="631" t="s">
        <v>274</v>
      </c>
      <c r="H343" s="631"/>
      <c r="I343" s="640">
        <f>B343-E343</f>
        <v>25.2265615765441</v>
      </c>
      <c r="J343" s="640"/>
      <c r="K343" s="628" t="s">
        <v>275</v>
      </c>
      <c r="L343" s="628"/>
      <c r="M343" s="632">
        <f>IF(ISERROR(I343/E343),"",I343/E343)</f>
        <v>7.5018002298407174E-2</v>
      </c>
      <c r="N343" s="632"/>
      <c r="O343" s="628"/>
      <c r="P343" s="631" t="s">
        <v>245</v>
      </c>
      <c r="Q343" s="631"/>
      <c r="R343" s="633"/>
      <c r="S343" s="633"/>
      <c r="T343" s="634" t="str">
        <f>IF(ISERROR(R343/R344),"",R343/R344)</f>
        <v/>
      </c>
      <c r="U343" s="634"/>
      <c r="V343" s="631" t="s">
        <v>264</v>
      </c>
      <c r="W343" s="631"/>
      <c r="X343" s="668">
        <f>SUM(P205,P262,P297,P313,P324,P339)</f>
        <v>0</v>
      </c>
      <c r="Y343" s="669"/>
      <c r="Z343" s="634" t="str">
        <f>IF(ISERROR(X343/X344),"",X343/X344)</f>
        <v/>
      </c>
      <c r="AA343" s="634"/>
    </row>
    <row r="344" spans="1:27" ht="20.100000000000001" customHeight="1">
      <c r="A344" s="310" t="s">
        <v>479</v>
      </c>
      <c r="B344" s="485">
        <f>N335</f>
        <v>0</v>
      </c>
      <c r="C344" s="641" t="s">
        <v>277</v>
      </c>
      <c r="D344" s="642"/>
      <c r="E344" s="634">
        <f>IF(ISERROR(B344/B343),"",B344/B343)</f>
        <v>0</v>
      </c>
      <c r="F344" s="634"/>
      <c r="G344" s="631" t="s">
        <v>278</v>
      </c>
      <c r="H344" s="631"/>
      <c r="I344" s="628">
        <f>V335</f>
        <v>0</v>
      </c>
      <c r="J344" s="628"/>
      <c r="K344" s="628" t="s">
        <v>279</v>
      </c>
      <c r="L344" s="628"/>
      <c r="M344" s="632">
        <f t="array" ref="M344">IF(ISERROR(I344/B342),"",I344/B342)</f>
        <v>0</v>
      </c>
      <c r="N344" s="632"/>
      <c r="O344" s="628"/>
      <c r="P344" s="631" t="s">
        <v>266</v>
      </c>
      <c r="Q344" s="631"/>
      <c r="R344" s="633">
        <f>SUM(R337:S343)</f>
        <v>0</v>
      </c>
      <c r="S344" s="633"/>
      <c r="T344" s="634"/>
      <c r="U344" s="634"/>
      <c r="V344" s="631" t="s">
        <v>266</v>
      </c>
      <c r="W344" s="631"/>
      <c r="X344" s="635">
        <f>SUM(X337:Y343)</f>
        <v>0</v>
      </c>
      <c r="Y344" s="635"/>
      <c r="Z344" s="634"/>
      <c r="AA344" s="634"/>
    </row>
    <row r="345" spans="1:27" ht="36" customHeight="1">
      <c r="A345" s="185" t="s">
        <v>335</v>
      </c>
      <c r="B345" s="186"/>
      <c r="C345" s="122"/>
      <c r="D345" s="122"/>
      <c r="E345" s="122"/>
      <c r="F345" s="122"/>
      <c r="G345" s="124"/>
      <c r="H345" s="122"/>
      <c r="I345" s="122"/>
      <c r="J345" s="122"/>
      <c r="K345" s="122"/>
      <c r="L345" s="122"/>
      <c r="M345" s="122"/>
      <c r="N345" s="122"/>
      <c r="O345" s="122"/>
      <c r="P345" s="122"/>
      <c r="Q345" s="122"/>
      <c r="R345" s="122"/>
      <c r="S345" s="122"/>
      <c r="T345" s="122"/>
      <c r="U345" s="122"/>
      <c r="V345" s="122"/>
      <c r="W345" s="122"/>
      <c r="X345" s="122"/>
      <c r="Y345" s="122"/>
      <c r="Z345" s="122"/>
      <c r="AA345" s="122"/>
    </row>
    <row r="346" spans="1:27" ht="21.95" customHeight="1">
      <c r="A346" s="644" t="s">
        <v>480</v>
      </c>
      <c r="B346" s="647" t="s">
        <v>280</v>
      </c>
      <c r="C346" s="647" t="s">
        <v>281</v>
      </c>
      <c r="D346" s="647" t="s">
        <v>282</v>
      </c>
      <c r="E346" s="650" t="s">
        <v>283</v>
      </c>
      <c r="F346" s="663" t="s">
        <v>284</v>
      </c>
      <c r="G346" s="628" t="s">
        <v>285</v>
      </c>
      <c r="H346" s="628"/>
      <c r="I346" s="647" t="s">
        <v>286</v>
      </c>
      <c r="J346" s="653" t="s">
        <v>271</v>
      </c>
      <c r="K346" s="656" t="s">
        <v>287</v>
      </c>
      <c r="L346" s="647" t="s">
        <v>270</v>
      </c>
      <c r="M346" s="659" t="s">
        <v>288</v>
      </c>
      <c r="N346" s="661" t="s">
        <v>252</v>
      </c>
      <c r="O346" s="628" t="s">
        <v>289</v>
      </c>
      <c r="P346" s="628"/>
      <c r="Q346" s="628"/>
      <c r="R346" s="628"/>
      <c r="S346" s="628"/>
      <c r="T346" s="628"/>
      <c r="U346" s="628"/>
      <c r="V346" s="628" t="s">
        <v>290</v>
      </c>
      <c r="W346" s="661" t="s">
        <v>291</v>
      </c>
      <c r="X346" s="628" t="s">
        <v>292</v>
      </c>
      <c r="Y346" s="628"/>
      <c r="Z346" s="628"/>
      <c r="AA346" s="628"/>
    </row>
    <row r="347" spans="1:27" ht="21.95" customHeight="1">
      <c r="A347" s="645"/>
      <c r="B347" s="648"/>
      <c r="C347" s="648"/>
      <c r="D347" s="648"/>
      <c r="E347" s="651"/>
      <c r="F347" s="664"/>
      <c r="G347" s="628"/>
      <c r="H347" s="628"/>
      <c r="I347" s="648"/>
      <c r="J347" s="654"/>
      <c r="K347" s="657"/>
      <c r="L347" s="648"/>
      <c r="M347" s="660"/>
      <c r="N347" s="661"/>
      <c r="O347" s="628" t="s">
        <v>259</v>
      </c>
      <c r="P347" s="628" t="s">
        <v>261</v>
      </c>
      <c r="Q347" s="628" t="s">
        <v>263</v>
      </c>
      <c r="R347" s="662" t="s">
        <v>265</v>
      </c>
      <c r="S347" s="631" t="s">
        <v>267</v>
      </c>
      <c r="T347" s="628" t="s">
        <v>272</v>
      </c>
      <c r="U347" s="628" t="s">
        <v>264</v>
      </c>
      <c r="V347" s="628"/>
      <c r="W347" s="661"/>
      <c r="X347" s="628" t="s">
        <v>293</v>
      </c>
      <c r="Y347" s="628" t="s">
        <v>294</v>
      </c>
      <c r="Z347" s="628" t="s">
        <v>295</v>
      </c>
      <c r="AA347" s="628" t="s">
        <v>264</v>
      </c>
    </row>
    <row r="348" spans="1:27" ht="21.95" customHeight="1">
      <c r="A348" s="646"/>
      <c r="B348" s="649"/>
      <c r="C348" s="649"/>
      <c r="D348" s="649"/>
      <c r="E348" s="652"/>
      <c r="F348" s="665"/>
      <c r="G348" s="348" t="s">
        <v>545</v>
      </c>
      <c r="H348" s="478" t="s">
        <v>297</v>
      </c>
      <c r="I348" s="649"/>
      <c r="J348" s="655"/>
      <c r="K348" s="658"/>
      <c r="L348" s="649"/>
      <c r="M348" s="660"/>
      <c r="N348" s="661"/>
      <c r="O348" s="628"/>
      <c r="P348" s="628"/>
      <c r="Q348" s="628"/>
      <c r="R348" s="662"/>
      <c r="S348" s="631"/>
      <c r="T348" s="628"/>
      <c r="U348" s="628"/>
      <c r="V348" s="628"/>
      <c r="W348" s="661"/>
      <c r="X348" s="628"/>
      <c r="Y348" s="628"/>
      <c r="Z348" s="628"/>
      <c r="AA348" s="628"/>
    </row>
    <row r="349" spans="1:27" ht="20.100000000000001" hidden="1" customHeight="1">
      <c r="A349" s="299">
        <v>30100030</v>
      </c>
      <c r="B349" s="480" t="s">
        <v>178</v>
      </c>
      <c r="C349" s="126" t="s">
        <v>179</v>
      </c>
      <c r="D349" s="108">
        <v>5.03</v>
      </c>
      <c r="E349" s="108"/>
      <c r="F349" s="127"/>
      <c r="G349" s="128"/>
      <c r="H349" s="488">
        <f t="shared" ref="H349:H369" si="157">D349*G349</f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16</v>
      </c>
      <c r="M349" s="109">
        <f t="shared" ref="M349:M358" si="158">IF(ISERROR(I349-K349),"",I349-K349)</f>
        <v>0</v>
      </c>
      <c r="N349" s="130">
        <f t="shared" ref="N349:N354" si="159">SUM(O349:U349)</f>
        <v>0</v>
      </c>
      <c r="O349" s="479"/>
      <c r="P349" s="479"/>
      <c r="Q349" s="479"/>
      <c r="R349" s="479"/>
      <c r="S349" s="479"/>
      <c r="T349" s="479"/>
      <c r="U349" s="479"/>
      <c r="V349" s="132">
        <f t="shared" ref="V349:V354" si="160">SUM(X349:AA349)</f>
        <v>0</v>
      </c>
      <c r="W349" s="133" t="str">
        <f t="shared" ref="W349:W354" si="161">IF(ISERROR(V349/G349),"",V349/G349)</f>
        <v/>
      </c>
      <c r="X349" s="132"/>
      <c r="Y349" s="132"/>
      <c r="Z349" s="132"/>
      <c r="AA349" s="132"/>
    </row>
    <row r="350" spans="1:27" ht="20.100000000000001" hidden="1" customHeight="1">
      <c r="A350" s="300"/>
      <c r="B350" s="134" t="s">
        <v>180</v>
      </c>
      <c r="C350" s="126" t="s">
        <v>179</v>
      </c>
      <c r="D350" s="108">
        <v>5.03</v>
      </c>
      <c r="E350" s="108"/>
      <c r="F350" s="127"/>
      <c r="G350" s="128"/>
      <c r="H350" s="488">
        <f t="shared" si="157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8"/>
        <v>0</v>
      </c>
      <c r="N350" s="130">
        <f t="shared" si="159"/>
        <v>0</v>
      </c>
      <c r="O350" s="479"/>
      <c r="P350" s="479"/>
      <c r="Q350" s="479"/>
      <c r="R350" s="479"/>
      <c r="S350" s="479"/>
      <c r="T350" s="479"/>
      <c r="U350" s="479"/>
      <c r="V350" s="132">
        <f t="shared" si="160"/>
        <v>0</v>
      </c>
      <c r="W350" s="133" t="str">
        <f t="shared" si="161"/>
        <v/>
      </c>
      <c r="X350" s="132"/>
      <c r="Y350" s="132"/>
      <c r="Z350" s="132"/>
      <c r="AA350" s="132"/>
    </row>
    <row r="351" spans="1:27" ht="20.100000000000001" hidden="1" customHeight="1">
      <c r="A351" s="301"/>
      <c r="B351" s="134" t="s">
        <v>180</v>
      </c>
      <c r="C351" s="126" t="s">
        <v>181</v>
      </c>
      <c r="D351" s="108">
        <v>5.03</v>
      </c>
      <c r="E351" s="108"/>
      <c r="F351" s="127"/>
      <c r="G351" s="128"/>
      <c r="H351" s="488">
        <f t="shared" si="157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19</v>
      </c>
      <c r="M351" s="109">
        <f t="shared" si="158"/>
        <v>0</v>
      </c>
      <c r="N351" s="130">
        <f t="shared" si="159"/>
        <v>0</v>
      </c>
      <c r="O351" s="479"/>
      <c r="P351" s="479"/>
      <c r="Q351" s="479"/>
      <c r="R351" s="479"/>
      <c r="S351" s="479"/>
      <c r="T351" s="479"/>
      <c r="U351" s="479"/>
      <c r="V351" s="132">
        <f t="shared" si="160"/>
        <v>0</v>
      </c>
      <c r="W351" s="133" t="str">
        <f t="shared" si="161"/>
        <v/>
      </c>
      <c r="X351" s="132"/>
      <c r="Y351" s="132"/>
      <c r="Z351" s="132"/>
      <c r="AA351" s="132"/>
    </row>
    <row r="352" spans="1:27" ht="20.100000000000001" hidden="1" customHeight="1">
      <c r="A352" s="299">
        <v>30100048</v>
      </c>
      <c r="B352" s="134" t="s">
        <v>182</v>
      </c>
      <c r="C352" s="126" t="s">
        <v>179</v>
      </c>
      <c r="D352" s="108">
        <v>5.03</v>
      </c>
      <c r="E352" s="108"/>
      <c r="F352" s="127"/>
      <c r="G352" s="128"/>
      <c r="H352" s="488">
        <f t="shared" si="157"/>
        <v>0</v>
      </c>
      <c r="I352" s="129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8"/>
        <v>0</v>
      </c>
      <c r="N352" s="130">
        <f t="shared" si="159"/>
        <v>0</v>
      </c>
      <c r="O352" s="479"/>
      <c r="P352" s="479"/>
      <c r="Q352" s="479"/>
      <c r="R352" s="479"/>
      <c r="S352" s="479"/>
      <c r="T352" s="479"/>
      <c r="U352" s="479"/>
      <c r="V352" s="132">
        <f t="shared" si="160"/>
        <v>0</v>
      </c>
      <c r="W352" s="133" t="str">
        <f t="shared" si="161"/>
        <v/>
      </c>
      <c r="X352" s="132"/>
      <c r="Y352" s="132"/>
      <c r="Z352" s="132"/>
      <c r="AA352" s="132"/>
    </row>
    <row r="353" spans="1:27" ht="20.100000000000001" hidden="1" customHeight="1">
      <c r="A353" s="299">
        <v>30100047</v>
      </c>
      <c r="B353" s="134" t="s">
        <v>182</v>
      </c>
      <c r="C353" s="126" t="s">
        <v>183</v>
      </c>
      <c r="D353" s="108">
        <v>5.03</v>
      </c>
      <c r="E353" s="108"/>
      <c r="F353" s="127"/>
      <c r="G353" s="128"/>
      <c r="H353" s="488">
        <f t="shared" si="157"/>
        <v>0</v>
      </c>
      <c r="I353" s="129"/>
      <c r="J353" s="130" t="str">
        <f t="array" ref="J353">IF(ISERROR(G353/I353),"",G353/I353)</f>
        <v/>
      </c>
      <c r="K353" s="131">
        <f t="array" ref="K353">IF(ISERROR(G353/L353),"",G353/L353)</f>
        <v>0</v>
      </c>
      <c r="L353" s="129">
        <v>20</v>
      </c>
      <c r="M353" s="109">
        <f t="shared" si="158"/>
        <v>0</v>
      </c>
      <c r="N353" s="130">
        <f t="shared" si="159"/>
        <v>0</v>
      </c>
      <c r="O353" s="479"/>
      <c r="P353" s="479"/>
      <c r="Q353" s="479"/>
      <c r="R353" s="479"/>
      <c r="S353" s="479"/>
      <c r="T353" s="479"/>
      <c r="U353" s="479"/>
      <c r="V353" s="132">
        <f t="shared" si="160"/>
        <v>0</v>
      </c>
      <c r="W353" s="133" t="str">
        <f t="shared" si="161"/>
        <v/>
      </c>
      <c r="X353" s="132"/>
      <c r="Y353" s="132"/>
      <c r="Z353" s="132"/>
      <c r="AA353" s="132"/>
    </row>
    <row r="354" spans="1:27" ht="20.100000000000001" hidden="1" customHeight="1">
      <c r="A354" s="299">
        <v>30100052</v>
      </c>
      <c r="B354" s="134" t="s">
        <v>184</v>
      </c>
      <c r="C354" s="126" t="s">
        <v>179</v>
      </c>
      <c r="D354" s="108">
        <v>5.04</v>
      </c>
      <c r="E354" s="108"/>
      <c r="F354" s="158"/>
      <c r="G354" s="137"/>
      <c r="H354" s="488">
        <f t="shared" si="157"/>
        <v>0</v>
      </c>
      <c r="I354" s="138"/>
      <c r="J354" s="130" t="str">
        <f t="array" ref="J354">IF(ISERROR(G354/I354),"",G354/I354)</f>
        <v/>
      </c>
      <c r="K354" s="131">
        <f t="array" ref="K354">IF(ISERROR(G354/L354),"",G354/L354)</f>
        <v>0</v>
      </c>
      <c r="L354" s="129">
        <v>19</v>
      </c>
      <c r="M354" s="109">
        <f t="shared" si="158"/>
        <v>0</v>
      </c>
      <c r="N354" s="130">
        <f t="shared" si="159"/>
        <v>0</v>
      </c>
      <c r="O354" s="479"/>
      <c r="P354" s="479"/>
      <c r="Q354" s="479"/>
      <c r="R354" s="479"/>
      <c r="S354" s="479"/>
      <c r="T354" s="479"/>
      <c r="U354" s="479"/>
      <c r="V354" s="132">
        <f t="shared" si="160"/>
        <v>0</v>
      </c>
      <c r="W354" s="133" t="str">
        <f t="shared" si="161"/>
        <v/>
      </c>
      <c r="X354" s="132"/>
      <c r="Y354" s="132"/>
      <c r="Z354" s="132"/>
      <c r="AA354" s="132"/>
    </row>
    <row r="355" spans="1:27" ht="20.100000000000001" hidden="1" customHeight="1">
      <c r="A355" s="332">
        <v>30100059</v>
      </c>
      <c r="B355" s="134" t="s">
        <v>185</v>
      </c>
      <c r="C355" s="126" t="s">
        <v>186</v>
      </c>
      <c r="D355" s="108">
        <v>5.03</v>
      </c>
      <c r="E355" s="108"/>
      <c r="F355" s="127"/>
      <c r="G355" s="128"/>
      <c r="H355" s="488">
        <f t="shared" si="157"/>
        <v>0</v>
      </c>
      <c r="I355" s="129"/>
      <c r="J355" s="130"/>
      <c r="K355" s="131">
        <f t="array" ref="K355">IF(ISERROR(G355/L355),"",G355/L355)</f>
        <v>0</v>
      </c>
      <c r="L355" s="129">
        <v>3</v>
      </c>
      <c r="M355" s="109">
        <f t="shared" si="158"/>
        <v>0</v>
      </c>
      <c r="N355" s="130"/>
      <c r="O355" s="479"/>
      <c r="P355" s="479"/>
      <c r="Q355" s="479"/>
      <c r="R355" s="479"/>
      <c r="S355" s="479"/>
      <c r="T355" s="479"/>
      <c r="U355" s="479"/>
      <c r="V355" s="132"/>
      <c r="W355" s="133"/>
      <c r="X355" s="132"/>
      <c r="Y355" s="132"/>
      <c r="Z355" s="132"/>
      <c r="AA355" s="132"/>
    </row>
    <row r="356" spans="1:27" ht="20.100000000000001" hidden="1" customHeight="1">
      <c r="A356" s="302">
        <v>30100060</v>
      </c>
      <c r="B356" s="134" t="s">
        <v>185</v>
      </c>
      <c r="C356" s="126" t="s">
        <v>187</v>
      </c>
      <c r="D356" s="108">
        <v>5.03</v>
      </c>
      <c r="E356" s="108"/>
      <c r="F356" s="127"/>
      <c r="G356" s="128"/>
      <c r="H356" s="488">
        <f t="shared" si="157"/>
        <v>0</v>
      </c>
      <c r="I356" s="129"/>
      <c r="J356" s="130"/>
      <c r="K356" s="131">
        <f t="array" ref="K356">IF(ISERROR(G356/L356),"",G356/L356)</f>
        <v>0</v>
      </c>
      <c r="L356" s="129">
        <v>3</v>
      </c>
      <c r="M356" s="109">
        <f t="shared" si="158"/>
        <v>0</v>
      </c>
      <c r="N356" s="130"/>
      <c r="O356" s="479"/>
      <c r="P356" s="479"/>
      <c r="Q356" s="479"/>
      <c r="R356" s="479"/>
      <c r="S356" s="479"/>
      <c r="T356" s="479"/>
      <c r="U356" s="479"/>
      <c r="V356" s="132"/>
      <c r="W356" s="133"/>
      <c r="X356" s="132"/>
      <c r="Y356" s="132"/>
      <c r="Z356" s="132"/>
      <c r="AA356" s="132"/>
    </row>
    <row r="357" spans="1:27" ht="20.100000000000001" hidden="1" customHeight="1">
      <c r="A357" s="300">
        <v>30200006</v>
      </c>
      <c r="B357" s="134" t="s">
        <v>188</v>
      </c>
      <c r="C357" s="126" t="s">
        <v>189</v>
      </c>
      <c r="D357" s="108">
        <v>5.04</v>
      </c>
      <c r="E357" s="108"/>
      <c r="F357" s="126"/>
      <c r="G357" s="128"/>
      <c r="H357" s="488">
        <f t="shared" si="157"/>
        <v>0</v>
      </c>
      <c r="I357" s="488"/>
      <c r="J357" s="130" t="str">
        <f t="array" ref="J357">IF(ISERROR(G357/I357),"",G357/I357)</f>
        <v/>
      </c>
      <c r="K357" s="131">
        <f t="array" ref="K357">IF(ISERROR(G357/L357),"",G357/L357)</f>
        <v>0</v>
      </c>
      <c r="L357" s="129">
        <v>17</v>
      </c>
      <c r="M357" s="109">
        <f t="shared" si="158"/>
        <v>0</v>
      </c>
      <c r="N357" s="130">
        <f>SUM(O357:U357)</f>
        <v>0</v>
      </c>
      <c r="O357" s="479"/>
      <c r="P357" s="479"/>
      <c r="Q357" s="479"/>
      <c r="R357" s="479"/>
      <c r="S357" s="479"/>
      <c r="T357" s="479"/>
      <c r="U357" s="479"/>
      <c r="V357" s="132">
        <f>SUM(X357:AA357)</f>
        <v>0</v>
      </c>
      <c r="W357" s="133" t="str">
        <f>IF(ISERROR(V357/G357),"",V357/G357)</f>
        <v/>
      </c>
      <c r="X357" s="132"/>
      <c r="Y357" s="132"/>
      <c r="Z357" s="132"/>
      <c r="AA357" s="132"/>
    </row>
    <row r="358" spans="1:27" ht="20.100000000000001" hidden="1" customHeight="1">
      <c r="A358" s="300">
        <v>30200005</v>
      </c>
      <c r="B358" s="134" t="s">
        <v>188</v>
      </c>
      <c r="C358" s="126" t="s">
        <v>190</v>
      </c>
      <c r="D358" s="108">
        <v>5.04</v>
      </c>
      <c r="E358" s="108"/>
      <c r="F358" s="126"/>
      <c r="G358" s="128"/>
      <c r="H358" s="488">
        <f t="shared" si="157"/>
        <v>0</v>
      </c>
      <c r="I358" s="488"/>
      <c r="J358" s="130" t="str">
        <f t="array" ref="J358">IF(ISERROR(G358/I358),"",G358/I358)</f>
        <v/>
      </c>
      <c r="K358" s="131">
        <f t="array" ref="K358">IF(ISERROR(G358/L358),"",G358/L358)</f>
        <v>0</v>
      </c>
      <c r="L358" s="129">
        <v>17</v>
      </c>
      <c r="M358" s="109">
        <f t="shared" si="158"/>
        <v>0</v>
      </c>
      <c r="N358" s="130">
        <f>SUM(O358:U358)</f>
        <v>0</v>
      </c>
      <c r="O358" s="479"/>
      <c r="P358" s="479"/>
      <c r="Q358" s="479"/>
      <c r="R358" s="479"/>
      <c r="S358" s="479"/>
      <c r="T358" s="479"/>
      <c r="U358" s="479"/>
      <c r="V358" s="132">
        <f>SUM(X358:AA358)</f>
        <v>0</v>
      </c>
      <c r="W358" s="133" t="str">
        <f>IF(ISERROR(V358/G358),"",V358/G358)</f>
        <v/>
      </c>
      <c r="X358" s="132"/>
      <c r="Y358" s="132"/>
      <c r="Z358" s="132"/>
      <c r="AA358" s="132"/>
    </row>
    <row r="359" spans="1:27" ht="20.100000000000001" hidden="1" customHeight="1">
      <c r="A359" s="302">
        <v>30100063</v>
      </c>
      <c r="B359" s="134" t="s">
        <v>191</v>
      </c>
      <c r="C359" s="126" t="s">
        <v>192</v>
      </c>
      <c r="D359" s="108">
        <v>5.03</v>
      </c>
      <c r="E359" s="108"/>
      <c r="F359" s="126"/>
      <c r="G359" s="128"/>
      <c r="H359" s="488">
        <f t="shared" si="157"/>
        <v>0</v>
      </c>
      <c r="I359" s="488"/>
      <c r="J359" s="130"/>
      <c r="K359" s="131"/>
      <c r="L359" s="129"/>
      <c r="M359" s="109"/>
      <c r="N359" s="130"/>
      <c r="O359" s="479"/>
      <c r="P359" s="479"/>
      <c r="Q359" s="479"/>
      <c r="R359" s="479"/>
      <c r="S359" s="479"/>
      <c r="T359" s="479"/>
      <c r="U359" s="479"/>
      <c r="V359" s="132"/>
      <c r="W359" s="133"/>
      <c r="X359" s="132"/>
      <c r="Y359" s="132"/>
      <c r="Z359" s="132"/>
      <c r="AA359" s="132"/>
    </row>
    <row r="360" spans="1:27" ht="20.100000000000001" hidden="1" customHeight="1">
      <c r="A360" s="302">
        <v>30100061</v>
      </c>
      <c r="B360" s="134" t="s">
        <v>191</v>
      </c>
      <c r="C360" s="126" t="s">
        <v>193</v>
      </c>
      <c r="D360" s="108">
        <v>5.03</v>
      </c>
      <c r="E360" s="108"/>
      <c r="F360" s="126"/>
      <c r="G360" s="128"/>
      <c r="H360" s="488">
        <f t="shared" si="157"/>
        <v>0</v>
      </c>
      <c r="I360" s="488"/>
      <c r="J360" s="130"/>
      <c r="K360" s="131"/>
      <c r="L360" s="129"/>
      <c r="M360" s="109"/>
      <c r="N360" s="130"/>
      <c r="O360" s="479"/>
      <c r="P360" s="479"/>
      <c r="Q360" s="479"/>
      <c r="R360" s="479"/>
      <c r="S360" s="479"/>
      <c r="T360" s="479"/>
      <c r="U360" s="479"/>
      <c r="V360" s="132"/>
      <c r="W360" s="133"/>
      <c r="X360" s="132"/>
      <c r="Y360" s="132"/>
      <c r="Z360" s="132"/>
      <c r="AA360" s="132"/>
    </row>
    <row r="361" spans="1:27" ht="20.100000000000001" hidden="1" customHeight="1">
      <c r="A361" s="300">
        <v>30200001</v>
      </c>
      <c r="B361" s="134" t="s">
        <v>196</v>
      </c>
      <c r="C361" s="126" t="s">
        <v>189</v>
      </c>
      <c r="D361" s="108">
        <v>5.0599999999999996</v>
      </c>
      <c r="E361" s="108"/>
      <c r="F361" s="127"/>
      <c r="G361" s="128"/>
      <c r="H361" s="488">
        <f t="shared" si="157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19</v>
      </c>
      <c r="M361" s="109">
        <f t="shared" ref="M361:M369" si="162">IF(ISERROR(I361-K361),"",I361-K361)</f>
        <v>0</v>
      </c>
      <c r="N361" s="130">
        <f t="shared" ref="N361:N363" si="163">SUM(O361:U361)</f>
        <v>0</v>
      </c>
      <c r="O361" s="479"/>
      <c r="P361" s="479"/>
      <c r="Q361" s="479"/>
      <c r="R361" s="479"/>
      <c r="S361" s="479"/>
      <c r="T361" s="479"/>
      <c r="U361" s="479"/>
      <c r="V361" s="132">
        <f t="shared" ref="V361:V363" si="164">SUM(X361:AA361)</f>
        <v>0</v>
      </c>
      <c r="W361" s="133" t="str">
        <f t="shared" ref="W361:W363" si="165">IF(ISERROR(V361/G361),"",V361/G361)</f>
        <v/>
      </c>
      <c r="X361" s="132"/>
      <c r="Y361" s="132"/>
      <c r="Z361" s="132"/>
      <c r="AA361" s="132"/>
    </row>
    <row r="362" spans="1:27" ht="20.100000000000001" hidden="1" customHeight="1">
      <c r="A362" s="300">
        <v>30200002</v>
      </c>
      <c r="B362" s="134" t="s">
        <v>197</v>
      </c>
      <c r="C362" s="126" t="s">
        <v>189</v>
      </c>
      <c r="D362" s="108">
        <v>5.09</v>
      </c>
      <c r="E362" s="108"/>
      <c r="F362" s="127"/>
      <c r="G362" s="128"/>
      <c r="H362" s="488">
        <f t="shared" si="157"/>
        <v>0</v>
      </c>
      <c r="I362" s="129"/>
      <c r="J362" s="130" t="str">
        <f t="array" ref="J362">IF(ISERROR(G362/I362),"",G362/I362)</f>
        <v/>
      </c>
      <c r="K362" s="131">
        <f t="array" ref="K362">IF(ISERROR(G362/L362),"",G362/L362)</f>
        <v>0</v>
      </c>
      <c r="L362" s="129">
        <v>23</v>
      </c>
      <c r="M362" s="109">
        <f t="shared" si="162"/>
        <v>0</v>
      </c>
      <c r="N362" s="130">
        <f t="shared" si="163"/>
        <v>0</v>
      </c>
      <c r="O362" s="479"/>
      <c r="P362" s="479"/>
      <c r="Q362" s="479"/>
      <c r="R362" s="479"/>
      <c r="S362" s="479"/>
      <c r="T362" s="479"/>
      <c r="U362" s="479"/>
      <c r="V362" s="132">
        <f t="shared" si="164"/>
        <v>0</v>
      </c>
      <c r="W362" s="133" t="str">
        <f t="shared" si="165"/>
        <v/>
      </c>
      <c r="X362" s="132"/>
      <c r="Y362" s="132"/>
      <c r="Z362" s="132"/>
      <c r="AA362" s="132"/>
    </row>
    <row r="363" spans="1:27" ht="20.100000000000001" hidden="1" customHeight="1">
      <c r="A363" s="300">
        <v>30200003</v>
      </c>
      <c r="B363" s="134" t="s">
        <v>197</v>
      </c>
      <c r="C363" s="126" t="s">
        <v>190</v>
      </c>
      <c r="D363" s="108">
        <v>5.09</v>
      </c>
      <c r="E363" s="108"/>
      <c r="F363" s="127"/>
      <c r="G363" s="128"/>
      <c r="H363" s="488">
        <f t="shared" si="157"/>
        <v>0</v>
      </c>
      <c r="I363" s="129"/>
      <c r="J363" s="130" t="str">
        <f t="array" ref="J363">IF(ISERROR(G363/I363),"",G363/I363)</f>
        <v/>
      </c>
      <c r="K363" s="131">
        <f t="array" ref="K363">IF(ISERROR(G363/L363),"",G363/L363)</f>
        <v>0</v>
      </c>
      <c r="L363" s="129">
        <v>23</v>
      </c>
      <c r="M363" s="109">
        <f t="shared" si="162"/>
        <v>0</v>
      </c>
      <c r="N363" s="130">
        <f t="shared" si="163"/>
        <v>0</v>
      </c>
      <c r="O363" s="479"/>
      <c r="P363" s="479"/>
      <c r="Q363" s="479"/>
      <c r="R363" s="479"/>
      <c r="S363" s="479"/>
      <c r="T363" s="479"/>
      <c r="U363" s="479"/>
      <c r="V363" s="132">
        <f t="shared" si="164"/>
        <v>0</v>
      </c>
      <c r="W363" s="133" t="str">
        <f t="shared" si="165"/>
        <v/>
      </c>
      <c r="X363" s="132"/>
      <c r="Y363" s="132"/>
      <c r="Z363" s="132"/>
      <c r="AA363" s="132"/>
    </row>
    <row r="364" spans="1:27" ht="20.100000000000001" hidden="1" customHeight="1">
      <c r="A364" s="300">
        <v>30100003</v>
      </c>
      <c r="B364" s="141" t="s">
        <v>198</v>
      </c>
      <c r="C364" s="478" t="s">
        <v>190</v>
      </c>
      <c r="D364" s="108">
        <v>4.8</v>
      </c>
      <c r="E364" s="108"/>
      <c r="F364" s="127"/>
      <c r="G364" s="128"/>
      <c r="H364" s="488">
        <f t="shared" si="157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2"/>
        <v>0</v>
      </c>
      <c r="N364" s="130"/>
      <c r="O364" s="479"/>
      <c r="P364" s="479"/>
      <c r="Q364" s="479"/>
      <c r="R364" s="479"/>
      <c r="S364" s="479"/>
      <c r="T364" s="479"/>
      <c r="U364" s="47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30100004</v>
      </c>
      <c r="B365" s="141" t="s">
        <v>198</v>
      </c>
      <c r="C365" s="478" t="s">
        <v>187</v>
      </c>
      <c r="D365" s="108">
        <v>4.8</v>
      </c>
      <c r="E365" s="108"/>
      <c r="F365" s="127"/>
      <c r="G365" s="128"/>
      <c r="H365" s="488">
        <f t="shared" si="157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2"/>
        <v>0</v>
      </c>
      <c r="N365" s="130"/>
      <c r="O365" s="479"/>
      <c r="P365" s="479"/>
      <c r="Q365" s="479"/>
      <c r="R365" s="479"/>
      <c r="S365" s="479"/>
      <c r="T365" s="479"/>
      <c r="U365" s="47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30100006</v>
      </c>
      <c r="B366" s="141" t="s">
        <v>198</v>
      </c>
      <c r="C366" s="478" t="s">
        <v>179</v>
      </c>
      <c r="D366" s="108">
        <v>4.8</v>
      </c>
      <c r="E366" s="108"/>
      <c r="F366" s="127"/>
      <c r="G366" s="128"/>
      <c r="H366" s="488">
        <f t="shared" si="157"/>
        <v>0</v>
      </c>
      <c r="I366" s="129"/>
      <c r="J366" s="130"/>
      <c r="K366" s="131">
        <f t="array" ref="K366">IF(ISERROR(G366/L366),"",G366/L366)</f>
        <v>0</v>
      </c>
      <c r="L366" s="129">
        <v>4</v>
      </c>
      <c r="M366" s="109">
        <f t="shared" si="162"/>
        <v>0</v>
      </c>
      <c r="N366" s="130"/>
      <c r="O366" s="479"/>
      <c r="P366" s="479"/>
      <c r="Q366" s="479"/>
      <c r="R366" s="479"/>
      <c r="S366" s="479"/>
      <c r="T366" s="479"/>
      <c r="U366" s="479"/>
      <c r="V366" s="132"/>
      <c r="W366" s="133"/>
      <c r="X366" s="132"/>
      <c r="Y366" s="132"/>
      <c r="Z366" s="132"/>
      <c r="AA366" s="132"/>
    </row>
    <row r="367" spans="1:27" ht="20.100000000000001" hidden="1" customHeight="1">
      <c r="A367" s="300">
        <v>30100005</v>
      </c>
      <c r="B367" s="141" t="s">
        <v>198</v>
      </c>
      <c r="C367" s="478" t="s">
        <v>199</v>
      </c>
      <c r="D367" s="108">
        <v>4.8</v>
      </c>
      <c r="E367" s="108"/>
      <c r="F367" s="127"/>
      <c r="G367" s="128"/>
      <c r="H367" s="488">
        <f t="shared" si="157"/>
        <v>0</v>
      </c>
      <c r="I367" s="129"/>
      <c r="J367" s="130"/>
      <c r="K367" s="131">
        <f t="array" ref="K367">IF(ISERROR(G367/L367),"",G367/L367)</f>
        <v>0</v>
      </c>
      <c r="L367" s="129">
        <v>4</v>
      </c>
      <c r="M367" s="109">
        <f t="shared" si="162"/>
        <v>0</v>
      </c>
      <c r="N367" s="130"/>
      <c r="O367" s="479"/>
      <c r="P367" s="479"/>
      <c r="Q367" s="479"/>
      <c r="R367" s="479"/>
      <c r="S367" s="479"/>
      <c r="T367" s="479"/>
      <c r="U367" s="479"/>
      <c r="V367" s="132"/>
      <c r="W367" s="133"/>
      <c r="X367" s="132"/>
      <c r="Y367" s="132"/>
      <c r="Z367" s="132"/>
      <c r="AA367" s="132"/>
    </row>
    <row r="368" spans="1:27" ht="20.100000000000001" hidden="1" customHeight="1">
      <c r="A368" s="300">
        <v>30100009</v>
      </c>
      <c r="B368" s="141" t="s">
        <v>200</v>
      </c>
      <c r="C368" s="126" t="s">
        <v>190</v>
      </c>
      <c r="D368" s="108">
        <v>4.99</v>
      </c>
      <c r="E368" s="108"/>
      <c r="F368" s="127"/>
      <c r="G368" s="128"/>
      <c r="H368" s="488">
        <f t="shared" si="157"/>
        <v>0</v>
      </c>
      <c r="I368" s="129"/>
      <c r="J368" s="130" t="str">
        <f t="array" ref="J368">IF(ISERROR(G368/I368),"",G368/I368)</f>
        <v/>
      </c>
      <c r="K368" s="131">
        <f t="array" ref="K368">IF(ISERROR(G368/L368),"",G368/L368)</f>
        <v>0</v>
      </c>
      <c r="L368" s="129">
        <v>23.5</v>
      </c>
      <c r="M368" s="109">
        <f t="shared" si="162"/>
        <v>0</v>
      </c>
      <c r="N368" s="130">
        <f t="shared" ref="N368:N369" si="166">SUM(O368:U368)</f>
        <v>0</v>
      </c>
      <c r="O368" s="479"/>
      <c r="P368" s="479"/>
      <c r="Q368" s="479"/>
      <c r="R368" s="479"/>
      <c r="S368" s="479"/>
      <c r="T368" s="479"/>
      <c r="U368" s="479"/>
      <c r="V368" s="132">
        <f t="shared" ref="V368:V369" si="167">SUM(X368:AA368)</f>
        <v>0</v>
      </c>
      <c r="W368" s="133" t="str">
        <f t="shared" ref="W368:W369" si="168">IF(ISERROR(V368/G368),"",V368/G368)</f>
        <v/>
      </c>
      <c r="X368" s="132"/>
      <c r="Y368" s="132"/>
      <c r="Z368" s="132"/>
      <c r="AA368" s="132"/>
    </row>
    <row r="369" spans="1:27" ht="20.100000000000001" hidden="1" customHeight="1">
      <c r="A369" s="299">
        <v>30200004</v>
      </c>
      <c r="B369" s="141" t="s">
        <v>200</v>
      </c>
      <c r="C369" s="126" t="s">
        <v>189</v>
      </c>
      <c r="D369" s="108">
        <v>4.99</v>
      </c>
      <c r="E369" s="108"/>
      <c r="F369" s="142"/>
      <c r="G369" s="128"/>
      <c r="H369" s="488">
        <f t="shared" si="157"/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23.5</v>
      </c>
      <c r="M369" s="109">
        <f t="shared" si="162"/>
        <v>0</v>
      </c>
      <c r="N369" s="130">
        <f t="shared" si="166"/>
        <v>0</v>
      </c>
      <c r="O369" s="479"/>
      <c r="P369" s="479"/>
      <c r="Q369" s="479"/>
      <c r="R369" s="479"/>
      <c r="S369" s="479"/>
      <c r="T369" s="479"/>
      <c r="U369" s="479"/>
      <c r="V369" s="132">
        <f t="shared" si="167"/>
        <v>0</v>
      </c>
      <c r="W369" s="133" t="str">
        <f t="shared" si="168"/>
        <v/>
      </c>
      <c r="X369" s="132"/>
      <c r="Y369" s="132"/>
      <c r="Z369" s="132"/>
      <c r="AA369" s="132"/>
    </row>
    <row r="370" spans="1:27" ht="20.100000000000001" hidden="1" customHeight="1">
      <c r="A370" s="618" t="s">
        <v>201</v>
      </c>
      <c r="B370" s="619"/>
      <c r="C370" s="486" t="s">
        <v>202</v>
      </c>
      <c r="D370" s="143"/>
      <c r="E370" s="143"/>
      <c r="F370" s="144"/>
      <c r="G370" s="145">
        <f>SUM(G349:G369)</f>
        <v>0</v>
      </c>
      <c r="H370" s="146">
        <f>SUM(H349:H369)</f>
        <v>0</v>
      </c>
      <c r="I370" s="146">
        <f>SUM(I349:I369)</f>
        <v>0</v>
      </c>
      <c r="J370" s="130" t="str">
        <f t="array" ref="J370">IF(ISERROR(G370/I370),"",G370/I370)</f>
        <v/>
      </c>
      <c r="K370" s="146">
        <f>SUM(K349:K369)</f>
        <v>0</v>
      </c>
      <c r="L370" s="147"/>
      <c r="M370" s="150">
        <f t="shared" ref="M370:AA370" si="169">SUM(M349:M369)</f>
        <v>0</v>
      </c>
      <c r="N370" s="146">
        <f t="shared" si="169"/>
        <v>0</v>
      </c>
      <c r="O370" s="148">
        <f t="shared" si="169"/>
        <v>0</v>
      </c>
      <c r="P370" s="148">
        <f t="shared" si="169"/>
        <v>0</v>
      </c>
      <c r="Q370" s="148">
        <f t="shared" si="169"/>
        <v>0</v>
      </c>
      <c r="R370" s="148">
        <f t="shared" si="169"/>
        <v>0</v>
      </c>
      <c r="S370" s="148">
        <f t="shared" si="169"/>
        <v>0</v>
      </c>
      <c r="T370" s="148">
        <f t="shared" si="169"/>
        <v>0</v>
      </c>
      <c r="U370" s="148">
        <f t="shared" si="169"/>
        <v>0</v>
      </c>
      <c r="V370" s="149">
        <f t="shared" si="169"/>
        <v>0</v>
      </c>
      <c r="W370" s="133">
        <f t="shared" si="169"/>
        <v>0</v>
      </c>
      <c r="X370" s="149">
        <f t="shared" si="169"/>
        <v>0</v>
      </c>
      <c r="Y370" s="149">
        <f t="shared" si="169"/>
        <v>0</v>
      </c>
      <c r="Z370" s="149">
        <f t="shared" si="169"/>
        <v>0</v>
      </c>
      <c r="AA370" s="149">
        <f t="shared" si="169"/>
        <v>0</v>
      </c>
    </row>
    <row r="371" spans="1:27" ht="20.100000000000001" hidden="1" customHeight="1">
      <c r="A371" s="300">
        <v>30100012</v>
      </c>
      <c r="B371" s="480" t="s">
        <v>206</v>
      </c>
      <c r="C371" s="126" t="s">
        <v>199</v>
      </c>
      <c r="D371" s="108">
        <v>5.03</v>
      </c>
      <c r="E371" s="108"/>
      <c r="F371" s="127"/>
      <c r="G371" s="128"/>
      <c r="H371" s="488">
        <f t="shared" ref="H371:H427" si="170">D371*G371</f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" si="171">IF(ISERROR(I371-K371),"",I371-K371)</f>
        <v>0</v>
      </c>
      <c r="N371" s="130">
        <f t="shared" ref="N371" si="172">SUM(O371:U371)</f>
        <v>0</v>
      </c>
      <c r="O371" s="483"/>
      <c r="P371" s="483"/>
      <c r="Q371" s="483"/>
      <c r="R371" s="483"/>
      <c r="S371" s="483"/>
      <c r="T371" s="483"/>
      <c r="U371" s="483"/>
      <c r="V371" s="132">
        <f t="shared" ref="V371" si="173">SUM(X371:AA371)</f>
        <v>0</v>
      </c>
      <c r="W371" s="133" t="str">
        <f t="shared" ref="W371" si="174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30100011</v>
      </c>
      <c r="B372" s="480" t="s">
        <v>425</v>
      </c>
      <c r="C372" s="187" t="s">
        <v>427</v>
      </c>
      <c r="D372" s="108">
        <v>5.03</v>
      </c>
      <c r="E372" s="108"/>
      <c r="F372" s="127"/>
      <c r="G372" s="128"/>
      <c r="H372" s="488">
        <f t="shared" si="170"/>
        <v>0</v>
      </c>
      <c r="I372" s="129"/>
      <c r="J372" s="130"/>
      <c r="K372" s="131">
        <f t="array" ref="K372">IF(ISERROR(G372/L372),"",G372/L372)</f>
        <v>0</v>
      </c>
      <c r="L372" s="129">
        <v>52</v>
      </c>
      <c r="M372" s="109"/>
      <c r="N372" s="130"/>
      <c r="O372" s="483"/>
      <c r="P372" s="483"/>
      <c r="Q372" s="483"/>
      <c r="R372" s="483"/>
      <c r="S372" s="483"/>
      <c r="T372" s="483"/>
      <c r="U372" s="483"/>
      <c r="V372" s="132"/>
      <c r="W372" s="133"/>
      <c r="X372" s="132"/>
      <c r="Y372" s="132"/>
      <c r="Z372" s="132"/>
      <c r="AA372" s="132"/>
    </row>
    <row r="373" spans="1:27" ht="20.100000000000001" hidden="1" customHeight="1">
      <c r="A373" s="300">
        <v>30100010</v>
      </c>
      <c r="B373" s="480" t="s">
        <v>206</v>
      </c>
      <c r="C373" s="126" t="s">
        <v>186</v>
      </c>
      <c r="D373" s="108">
        <v>5.03</v>
      </c>
      <c r="E373" s="108"/>
      <c r="F373" s="127"/>
      <c r="G373" s="128"/>
      <c r="H373" s="488">
        <f t="shared" si="170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ref="M373:M408" si="175">IF(ISERROR(I373-K373),"",I373-K373)</f>
        <v>0</v>
      </c>
      <c r="N373" s="130">
        <f t="shared" ref="N373:N375" si="176">SUM(O373:U373)</f>
        <v>0</v>
      </c>
      <c r="O373" s="483"/>
      <c r="P373" s="483"/>
      <c r="Q373" s="483"/>
      <c r="R373" s="483"/>
      <c r="S373" s="483"/>
      <c r="T373" s="483"/>
      <c r="U373" s="483"/>
      <c r="V373" s="132">
        <f t="shared" ref="V373:V375" si="177">SUM(X373:AA373)</f>
        <v>0</v>
      </c>
      <c r="W373" s="133" t="str">
        <f t="shared" ref="W373:W375" si="178">IF(ISERROR(V373/G373),"",V373/G373)</f>
        <v/>
      </c>
      <c r="X373" s="132"/>
      <c r="Y373" s="132"/>
      <c r="Z373" s="132"/>
      <c r="AA373" s="132"/>
    </row>
    <row r="374" spans="1:27" ht="20.100000000000001" hidden="1" customHeight="1">
      <c r="A374" s="300">
        <v>30100014</v>
      </c>
      <c r="B374" s="480" t="s">
        <v>206</v>
      </c>
      <c r="C374" s="126" t="s">
        <v>203</v>
      </c>
      <c r="D374" s="108">
        <v>5.03</v>
      </c>
      <c r="E374" s="108"/>
      <c r="F374" s="127"/>
      <c r="G374" s="128"/>
      <c r="H374" s="488">
        <f t="shared" si="170"/>
        <v>0</v>
      </c>
      <c r="I374" s="129"/>
      <c r="J374" s="130" t="str">
        <f t="array" ref="J374">IF(ISERROR(G374/I374),"",G374/I374)</f>
        <v/>
      </c>
      <c r="K374" s="131">
        <f t="array" ref="K374">IF(ISERROR(G374/L374),"",G374/L374)</f>
        <v>0</v>
      </c>
      <c r="L374" s="129">
        <v>52</v>
      </c>
      <c r="M374" s="109">
        <f t="shared" si="175"/>
        <v>0</v>
      </c>
      <c r="N374" s="130">
        <f t="shared" si="176"/>
        <v>0</v>
      </c>
      <c r="O374" s="483"/>
      <c r="P374" s="483"/>
      <c r="Q374" s="483"/>
      <c r="R374" s="483"/>
      <c r="S374" s="483"/>
      <c r="T374" s="483"/>
      <c r="U374" s="483"/>
      <c r="V374" s="132">
        <f t="shared" si="177"/>
        <v>0</v>
      </c>
      <c r="W374" s="133" t="str">
        <f t="shared" si="178"/>
        <v/>
      </c>
      <c r="X374" s="132"/>
      <c r="Y374" s="132"/>
      <c r="Z374" s="132"/>
      <c r="AA374" s="132"/>
    </row>
    <row r="375" spans="1:27" ht="20.100000000000001" hidden="1" customHeight="1">
      <c r="A375" s="300">
        <v>30100013</v>
      </c>
      <c r="B375" s="480" t="s">
        <v>206</v>
      </c>
      <c r="C375" s="126" t="s">
        <v>207</v>
      </c>
      <c r="D375" s="108">
        <v>5.03</v>
      </c>
      <c r="E375" s="108"/>
      <c r="F375" s="127"/>
      <c r="G375" s="128"/>
      <c r="H375" s="488">
        <f t="shared" si="170"/>
        <v>0</v>
      </c>
      <c r="I375" s="129"/>
      <c r="J375" s="130" t="str">
        <f t="array" ref="J375">IF(ISERROR(G375/I375),"",G375/I375)</f>
        <v/>
      </c>
      <c r="K375" s="131">
        <f t="array" ref="K375">IF(ISERROR(G375/L375),"",G375/L375)</f>
        <v>0</v>
      </c>
      <c r="L375" s="129">
        <v>52</v>
      </c>
      <c r="M375" s="109">
        <f t="shared" si="175"/>
        <v>0</v>
      </c>
      <c r="N375" s="130">
        <f t="shared" si="176"/>
        <v>0</v>
      </c>
      <c r="O375" s="483"/>
      <c r="P375" s="483"/>
      <c r="Q375" s="483"/>
      <c r="R375" s="483"/>
      <c r="S375" s="483"/>
      <c r="T375" s="483"/>
      <c r="U375" s="483"/>
      <c r="V375" s="132">
        <f t="shared" si="177"/>
        <v>0</v>
      </c>
      <c r="W375" s="133" t="str">
        <f t="shared" si="178"/>
        <v/>
      </c>
      <c r="X375" s="132"/>
      <c r="Y375" s="132"/>
      <c r="Z375" s="132"/>
      <c r="AA375" s="132"/>
    </row>
    <row r="376" spans="1:27" ht="20.100000000000001" hidden="1" customHeight="1">
      <c r="A376" s="300">
        <v>30100016</v>
      </c>
      <c r="B376" s="480" t="s">
        <v>414</v>
      </c>
      <c r="C376" s="187" t="s">
        <v>415</v>
      </c>
      <c r="D376" s="108"/>
      <c r="E376" s="108"/>
      <c r="F376" s="127"/>
      <c r="G376" s="128"/>
      <c r="H376" s="488">
        <f t="shared" si="170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5"/>
        <v>0</v>
      </c>
      <c r="N376" s="130"/>
      <c r="O376" s="483"/>
      <c r="P376" s="483"/>
      <c r="Q376" s="483"/>
      <c r="R376" s="483"/>
      <c r="S376" s="483"/>
      <c r="T376" s="483"/>
      <c r="U376" s="483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30100017</v>
      </c>
      <c r="B377" s="480" t="s">
        <v>414</v>
      </c>
      <c r="C377" s="187" t="s">
        <v>416</v>
      </c>
      <c r="D377" s="108"/>
      <c r="E377" s="108"/>
      <c r="F377" s="127"/>
      <c r="G377" s="128"/>
      <c r="H377" s="488">
        <f t="shared" si="170"/>
        <v>0</v>
      </c>
      <c r="I377" s="129"/>
      <c r="J377" s="130"/>
      <c r="K377" s="131">
        <f t="array" ref="K377">IF(ISERROR(G377/L377),"",G377/L377)</f>
        <v>0</v>
      </c>
      <c r="L377" s="129">
        <v>52</v>
      </c>
      <c r="M377" s="109">
        <f t="shared" si="175"/>
        <v>0</v>
      </c>
      <c r="N377" s="130"/>
      <c r="O377" s="483"/>
      <c r="P377" s="483"/>
      <c r="Q377" s="483"/>
      <c r="R377" s="483"/>
      <c r="S377" s="483"/>
      <c r="T377" s="483"/>
      <c r="U377" s="483"/>
      <c r="V377" s="132"/>
      <c r="W377" s="133"/>
      <c r="X377" s="132"/>
      <c r="Y377" s="132"/>
      <c r="Z377" s="132"/>
      <c r="AA377" s="132"/>
    </row>
    <row r="378" spans="1:27" ht="20.100000000000001" hidden="1" customHeight="1">
      <c r="A378" s="300">
        <v>30100015</v>
      </c>
      <c r="B378" s="480" t="s">
        <v>414</v>
      </c>
      <c r="C378" s="187" t="s">
        <v>61</v>
      </c>
      <c r="D378" s="108"/>
      <c r="E378" s="108"/>
      <c r="F378" s="127"/>
      <c r="G378" s="128"/>
      <c r="H378" s="488">
        <f t="shared" si="170"/>
        <v>0</v>
      </c>
      <c r="I378" s="129"/>
      <c r="J378" s="130"/>
      <c r="K378" s="131">
        <f t="array" ref="K378">IF(ISERROR(G378/L378),"",G378/L378)</f>
        <v>0</v>
      </c>
      <c r="L378" s="129">
        <v>52</v>
      </c>
      <c r="M378" s="109">
        <f t="shared" si="175"/>
        <v>0</v>
      </c>
      <c r="N378" s="130"/>
      <c r="O378" s="483"/>
      <c r="P378" s="483"/>
      <c r="Q378" s="483"/>
      <c r="R378" s="483"/>
      <c r="S378" s="483"/>
      <c r="T378" s="483"/>
      <c r="U378" s="483"/>
      <c r="V378" s="132"/>
      <c r="W378" s="133"/>
      <c r="X378" s="132"/>
      <c r="Y378" s="132"/>
      <c r="Z378" s="132"/>
      <c r="AA378" s="132"/>
    </row>
    <row r="379" spans="1:27" ht="20.100000000000001" hidden="1" customHeight="1">
      <c r="A379" s="300">
        <v>30100027</v>
      </c>
      <c r="B379" s="480" t="s">
        <v>208</v>
      </c>
      <c r="C379" s="126" t="s">
        <v>179</v>
      </c>
      <c r="D379" s="108">
        <v>5.08</v>
      </c>
      <c r="E379" s="108"/>
      <c r="F379" s="127"/>
      <c r="G379" s="128"/>
      <c r="H379" s="488">
        <f t="shared" si="170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5"/>
        <v>0</v>
      </c>
      <c r="N379" s="130">
        <f t="shared" ref="N379:N394" si="179">SUM(O379:U379)</f>
        <v>0</v>
      </c>
      <c r="O379" s="483"/>
      <c r="P379" s="483"/>
      <c r="Q379" s="483"/>
      <c r="R379" s="483"/>
      <c r="S379" s="483"/>
      <c r="T379" s="483"/>
      <c r="U379" s="483"/>
      <c r="V379" s="132">
        <f t="shared" ref="V379:V390" si="180">SUM(X379:AA379)</f>
        <v>0</v>
      </c>
      <c r="W379" s="133" t="str">
        <f t="shared" ref="W379:W390" si="181">IF(ISERROR(V379/G379),"",V379/G379)</f>
        <v/>
      </c>
      <c r="X379" s="132"/>
      <c r="Y379" s="132"/>
      <c r="Z379" s="132"/>
      <c r="AA379" s="132"/>
    </row>
    <row r="380" spans="1:27" ht="20.100000000000001" hidden="1" customHeight="1">
      <c r="A380" s="300">
        <v>30100023</v>
      </c>
      <c r="B380" s="480" t="s">
        <v>208</v>
      </c>
      <c r="C380" s="126" t="s">
        <v>204</v>
      </c>
      <c r="D380" s="108">
        <v>5.08</v>
      </c>
      <c r="E380" s="108"/>
      <c r="F380" s="127"/>
      <c r="G380" s="128"/>
      <c r="H380" s="488">
        <f t="shared" si="170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5"/>
        <v>0</v>
      </c>
      <c r="N380" s="130">
        <f t="shared" si="179"/>
        <v>0</v>
      </c>
      <c r="O380" s="483"/>
      <c r="P380" s="483"/>
      <c r="Q380" s="483"/>
      <c r="R380" s="483"/>
      <c r="S380" s="483"/>
      <c r="T380" s="483"/>
      <c r="U380" s="483"/>
      <c r="V380" s="132">
        <f t="shared" si="180"/>
        <v>0</v>
      </c>
      <c r="W380" s="133" t="str">
        <f t="shared" si="181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30100024</v>
      </c>
      <c r="B381" s="480" t="s">
        <v>208</v>
      </c>
      <c r="C381" s="126" t="s">
        <v>205</v>
      </c>
      <c r="D381" s="108">
        <v>5.08</v>
      </c>
      <c r="E381" s="108"/>
      <c r="F381" s="127"/>
      <c r="G381" s="128"/>
      <c r="H381" s="488">
        <f t="shared" si="170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5"/>
        <v>0</v>
      </c>
      <c r="N381" s="130">
        <f t="shared" si="179"/>
        <v>0</v>
      </c>
      <c r="O381" s="483"/>
      <c r="P381" s="483"/>
      <c r="Q381" s="483"/>
      <c r="R381" s="483"/>
      <c r="S381" s="483"/>
      <c r="T381" s="483"/>
      <c r="U381" s="483"/>
      <c r="V381" s="132">
        <f t="shared" si="180"/>
        <v>0</v>
      </c>
      <c r="W381" s="133" t="str">
        <f t="shared" si="181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30100022</v>
      </c>
      <c r="B382" s="480" t="s">
        <v>208</v>
      </c>
      <c r="C382" s="126" t="s">
        <v>186</v>
      </c>
      <c r="D382" s="108">
        <v>5.08</v>
      </c>
      <c r="E382" s="108"/>
      <c r="F382" s="127"/>
      <c r="G382" s="128"/>
      <c r="H382" s="488">
        <f t="shared" si="170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5"/>
        <v>0</v>
      </c>
      <c r="N382" s="130">
        <f t="shared" si="179"/>
        <v>0</v>
      </c>
      <c r="O382" s="483"/>
      <c r="P382" s="483"/>
      <c r="Q382" s="483"/>
      <c r="R382" s="483"/>
      <c r="S382" s="483"/>
      <c r="T382" s="483"/>
      <c r="U382" s="483"/>
      <c r="V382" s="132">
        <f t="shared" si="180"/>
        <v>0</v>
      </c>
      <c r="W382" s="133" t="str">
        <f t="shared" si="181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30100029</v>
      </c>
      <c r="B383" s="480" t="s">
        <v>208</v>
      </c>
      <c r="C383" s="126" t="s">
        <v>203</v>
      </c>
      <c r="D383" s="108">
        <v>5.08</v>
      </c>
      <c r="E383" s="108"/>
      <c r="F383" s="127"/>
      <c r="G383" s="128"/>
      <c r="H383" s="488">
        <f t="shared" si="170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5"/>
        <v>0</v>
      </c>
      <c r="N383" s="130">
        <f t="shared" si="179"/>
        <v>0</v>
      </c>
      <c r="O383" s="483"/>
      <c r="P383" s="483"/>
      <c r="Q383" s="483"/>
      <c r="R383" s="483"/>
      <c r="S383" s="483"/>
      <c r="T383" s="483"/>
      <c r="U383" s="483"/>
      <c r="V383" s="132">
        <f t="shared" si="180"/>
        <v>0</v>
      </c>
      <c r="W383" s="133" t="str">
        <f t="shared" si="181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30100026</v>
      </c>
      <c r="B384" s="480" t="s">
        <v>208</v>
      </c>
      <c r="C384" s="126" t="s">
        <v>199</v>
      </c>
      <c r="D384" s="108">
        <v>5.08</v>
      </c>
      <c r="E384" s="108"/>
      <c r="F384" s="127"/>
      <c r="G384" s="128"/>
      <c r="H384" s="488">
        <f t="shared" si="170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5"/>
        <v>0</v>
      </c>
      <c r="N384" s="130">
        <f t="shared" si="179"/>
        <v>0</v>
      </c>
      <c r="O384" s="479"/>
      <c r="P384" s="479"/>
      <c r="Q384" s="479"/>
      <c r="R384" s="479"/>
      <c r="S384" s="479"/>
      <c r="T384" s="479"/>
      <c r="U384" s="479"/>
      <c r="V384" s="132">
        <f t="shared" si="180"/>
        <v>0</v>
      </c>
      <c r="W384" s="133" t="str">
        <f t="shared" si="181"/>
        <v/>
      </c>
      <c r="X384" s="132"/>
      <c r="Y384" s="132"/>
      <c r="Z384" s="132"/>
      <c r="AA384" s="132"/>
    </row>
    <row r="385" spans="1:27" ht="20.100000000000001" hidden="1" customHeight="1">
      <c r="A385" s="300">
        <v>30100025</v>
      </c>
      <c r="B385" s="480" t="s">
        <v>208</v>
      </c>
      <c r="C385" s="126" t="s">
        <v>187</v>
      </c>
      <c r="D385" s="108">
        <v>5.08</v>
      </c>
      <c r="E385" s="108"/>
      <c r="F385" s="127"/>
      <c r="G385" s="128"/>
      <c r="H385" s="488">
        <f t="shared" si="170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21</v>
      </c>
      <c r="M385" s="109">
        <f t="shared" si="175"/>
        <v>0</v>
      </c>
      <c r="N385" s="130">
        <f t="shared" si="179"/>
        <v>0</v>
      </c>
      <c r="O385" s="483"/>
      <c r="P385" s="483"/>
      <c r="Q385" s="483"/>
      <c r="R385" s="483"/>
      <c r="S385" s="483"/>
      <c r="T385" s="483"/>
      <c r="U385" s="483"/>
      <c r="V385" s="132">
        <f t="shared" si="180"/>
        <v>0</v>
      </c>
      <c r="W385" s="133" t="str">
        <f t="shared" si="181"/>
        <v/>
      </c>
      <c r="X385" s="132"/>
      <c r="Y385" s="132"/>
      <c r="Z385" s="132"/>
      <c r="AA385" s="132"/>
    </row>
    <row r="386" spans="1:27" ht="20.100000000000001" hidden="1" customHeight="1">
      <c r="A386" s="300">
        <v>30100028</v>
      </c>
      <c r="B386" s="480" t="s">
        <v>208</v>
      </c>
      <c r="C386" s="126" t="s">
        <v>207</v>
      </c>
      <c r="D386" s="108">
        <v>5.08</v>
      </c>
      <c r="E386" s="108"/>
      <c r="F386" s="127"/>
      <c r="G386" s="128"/>
      <c r="H386" s="488">
        <f t="shared" si="170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21</v>
      </c>
      <c r="M386" s="109">
        <f t="shared" si="175"/>
        <v>0</v>
      </c>
      <c r="N386" s="130">
        <f t="shared" si="179"/>
        <v>0</v>
      </c>
      <c r="O386" s="479"/>
      <c r="P386" s="479"/>
      <c r="Q386" s="479"/>
      <c r="R386" s="479"/>
      <c r="S386" s="479"/>
      <c r="T386" s="479"/>
      <c r="U386" s="479"/>
      <c r="V386" s="132">
        <f t="shared" si="180"/>
        <v>0</v>
      </c>
      <c r="W386" s="133" t="str">
        <f t="shared" si="181"/>
        <v/>
      </c>
      <c r="X386" s="132"/>
      <c r="Y386" s="132"/>
      <c r="Z386" s="132"/>
      <c r="AA386" s="132"/>
    </row>
    <row r="387" spans="1:27" ht="20.100000000000001" hidden="1" customHeight="1">
      <c r="A387" s="300">
        <v>30100032</v>
      </c>
      <c r="B387" s="480" t="s">
        <v>209</v>
      </c>
      <c r="C387" s="126" t="s">
        <v>194</v>
      </c>
      <c r="D387" s="108">
        <v>5.03</v>
      </c>
      <c r="E387" s="108"/>
      <c r="F387" s="127"/>
      <c r="G387" s="128"/>
      <c r="H387" s="488">
        <f t="shared" si="170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5"/>
        <v>0</v>
      </c>
      <c r="N387" s="130">
        <f t="shared" si="179"/>
        <v>0</v>
      </c>
      <c r="O387" s="483"/>
      <c r="P387" s="483"/>
      <c r="Q387" s="483"/>
      <c r="R387" s="483"/>
      <c r="S387" s="483"/>
      <c r="T387" s="483"/>
      <c r="U387" s="483"/>
      <c r="V387" s="132">
        <f t="shared" si="180"/>
        <v>0</v>
      </c>
      <c r="W387" s="133" t="str">
        <f t="shared" si="181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30100033</v>
      </c>
      <c r="B388" s="480" t="s">
        <v>209</v>
      </c>
      <c r="C388" s="126" t="s">
        <v>179</v>
      </c>
      <c r="D388" s="108">
        <v>5.03</v>
      </c>
      <c r="E388" s="108"/>
      <c r="F388" s="127"/>
      <c r="G388" s="128"/>
      <c r="H388" s="488">
        <f t="shared" si="170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5"/>
        <v>0</v>
      </c>
      <c r="N388" s="130">
        <f t="shared" si="179"/>
        <v>0</v>
      </c>
      <c r="O388" s="483"/>
      <c r="P388" s="483"/>
      <c r="Q388" s="483"/>
      <c r="R388" s="483"/>
      <c r="S388" s="483"/>
      <c r="T388" s="483"/>
      <c r="U388" s="483"/>
      <c r="V388" s="132">
        <f t="shared" si="180"/>
        <v>0</v>
      </c>
      <c r="W388" s="133" t="str">
        <f t="shared" si="181"/>
        <v/>
      </c>
      <c r="X388" s="132"/>
      <c r="Y388" s="132"/>
      <c r="Z388" s="132"/>
      <c r="AA388" s="132"/>
    </row>
    <row r="389" spans="1:27" ht="20.100000000000001" hidden="1" customHeight="1">
      <c r="A389" s="300">
        <v>30100062</v>
      </c>
      <c r="B389" s="480" t="s">
        <v>209</v>
      </c>
      <c r="C389" s="126" t="s">
        <v>195</v>
      </c>
      <c r="D389" s="108">
        <v>5.03</v>
      </c>
      <c r="E389" s="108"/>
      <c r="F389" s="127"/>
      <c r="G389" s="128"/>
      <c r="H389" s="488">
        <f t="shared" si="170"/>
        <v>0</v>
      </c>
      <c r="I389" s="129"/>
      <c r="J389" s="130" t="str">
        <f t="array" ref="J389">IF(ISERROR(G389/I389),"",G389/I389)</f>
        <v/>
      </c>
      <c r="K389" s="131">
        <f t="array" ref="K389">IF(ISERROR(G389/L389),"",G389/L389)</f>
        <v>0</v>
      </c>
      <c r="L389" s="129">
        <v>56</v>
      </c>
      <c r="M389" s="109">
        <f t="shared" si="175"/>
        <v>0</v>
      </c>
      <c r="N389" s="130">
        <f t="shared" si="179"/>
        <v>0</v>
      </c>
      <c r="O389" s="483"/>
      <c r="P389" s="483"/>
      <c r="Q389" s="483"/>
      <c r="R389" s="483"/>
      <c r="S389" s="483"/>
      <c r="T389" s="483"/>
      <c r="U389" s="483"/>
      <c r="V389" s="132">
        <f t="shared" si="180"/>
        <v>0</v>
      </c>
      <c r="W389" s="133" t="str">
        <f t="shared" si="181"/>
        <v/>
      </c>
      <c r="X389" s="132"/>
      <c r="Y389" s="132"/>
      <c r="Z389" s="132"/>
      <c r="AA389" s="132"/>
    </row>
    <row r="390" spans="1:27" ht="20.100000000000001" hidden="1" customHeight="1">
      <c r="A390" s="300">
        <v>30100031</v>
      </c>
      <c r="B390" s="480" t="s">
        <v>209</v>
      </c>
      <c r="C390" s="126" t="s">
        <v>204</v>
      </c>
      <c r="D390" s="108">
        <v>5.03</v>
      </c>
      <c r="E390" s="108"/>
      <c r="F390" s="127"/>
      <c r="G390" s="128"/>
      <c r="H390" s="488">
        <f t="shared" si="170"/>
        <v>0</v>
      </c>
      <c r="I390" s="129"/>
      <c r="J390" s="130" t="str">
        <f t="array" ref="J390">IF(ISERROR(G390/I390),"",G390/I390)</f>
        <v/>
      </c>
      <c r="K390" s="131">
        <f t="array" ref="K390">IF(ISERROR(G390/L390),"",G390/L390)</f>
        <v>0</v>
      </c>
      <c r="L390" s="129">
        <v>56</v>
      </c>
      <c r="M390" s="109">
        <f t="shared" si="175"/>
        <v>0</v>
      </c>
      <c r="N390" s="130">
        <f t="shared" si="179"/>
        <v>0</v>
      </c>
      <c r="O390" s="483"/>
      <c r="P390" s="483"/>
      <c r="Q390" s="483"/>
      <c r="R390" s="483"/>
      <c r="S390" s="483"/>
      <c r="T390" s="483"/>
      <c r="U390" s="483"/>
      <c r="V390" s="132">
        <f t="shared" si="180"/>
        <v>0</v>
      </c>
      <c r="W390" s="133" t="str">
        <f t="shared" si="181"/>
        <v/>
      </c>
      <c r="X390" s="132"/>
      <c r="Y390" s="132"/>
      <c r="Z390" s="132"/>
      <c r="AA390" s="132"/>
    </row>
    <row r="391" spans="1:27" ht="20.100000000000001" hidden="1" customHeight="1">
      <c r="A391" s="300">
        <v>30100019</v>
      </c>
      <c r="B391" s="480" t="s">
        <v>382</v>
      </c>
      <c r="C391" s="187" t="s">
        <v>383</v>
      </c>
      <c r="D391" s="108">
        <v>5.03</v>
      </c>
      <c r="E391" s="108"/>
      <c r="F391" s="127"/>
      <c r="G391" s="128"/>
      <c r="H391" s="488">
        <f t="shared" si="170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5"/>
        <v>0</v>
      </c>
      <c r="N391" s="130">
        <f t="shared" si="179"/>
        <v>0</v>
      </c>
      <c r="O391" s="483"/>
      <c r="P391" s="483"/>
      <c r="Q391" s="483"/>
      <c r="R391" s="483"/>
      <c r="S391" s="483"/>
      <c r="T391" s="483"/>
      <c r="U391" s="483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30100020</v>
      </c>
      <c r="B392" s="480" t="s">
        <v>382</v>
      </c>
      <c r="C392" s="187" t="s">
        <v>384</v>
      </c>
      <c r="D392" s="108">
        <v>5.03</v>
      </c>
      <c r="E392" s="108"/>
      <c r="F392" s="127"/>
      <c r="G392" s="128"/>
      <c r="H392" s="488">
        <f t="shared" si="170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5"/>
        <v>0</v>
      </c>
      <c r="N392" s="130">
        <f t="shared" si="179"/>
        <v>0</v>
      </c>
      <c r="O392" s="483"/>
      <c r="P392" s="483"/>
      <c r="Q392" s="483"/>
      <c r="R392" s="483"/>
      <c r="S392" s="483"/>
      <c r="T392" s="483"/>
      <c r="U392" s="483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0">
        <v>30100021</v>
      </c>
      <c r="B393" s="480" t="s">
        <v>382</v>
      </c>
      <c r="C393" s="187" t="s">
        <v>389</v>
      </c>
      <c r="D393" s="108">
        <v>5.03</v>
      </c>
      <c r="E393" s="108"/>
      <c r="F393" s="127"/>
      <c r="G393" s="128"/>
      <c r="H393" s="488">
        <f t="shared" si="170"/>
        <v>0</v>
      </c>
      <c r="I393" s="129"/>
      <c r="J393" s="130"/>
      <c r="K393" s="131">
        <f t="array" ref="K393">IF(ISERROR(G393/L393),"",G393/L393)</f>
        <v>0</v>
      </c>
      <c r="L393" s="129">
        <v>54</v>
      </c>
      <c r="M393" s="109">
        <f t="shared" si="175"/>
        <v>0</v>
      </c>
      <c r="N393" s="130">
        <f t="shared" si="179"/>
        <v>0</v>
      </c>
      <c r="O393" s="483"/>
      <c r="P393" s="483"/>
      <c r="Q393" s="483"/>
      <c r="R393" s="483"/>
      <c r="S393" s="483"/>
      <c r="T393" s="483"/>
      <c r="U393" s="483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0">
        <v>30100018</v>
      </c>
      <c r="B394" s="480" t="s">
        <v>382</v>
      </c>
      <c r="C394" s="187" t="s">
        <v>391</v>
      </c>
      <c r="D394" s="108">
        <v>5.03</v>
      </c>
      <c r="E394" s="108"/>
      <c r="F394" s="127"/>
      <c r="G394" s="128"/>
      <c r="H394" s="488">
        <f t="shared" si="170"/>
        <v>0</v>
      </c>
      <c r="I394" s="129"/>
      <c r="J394" s="130"/>
      <c r="K394" s="131">
        <f t="array" ref="K394">IF(ISERROR(G394/L394),"",G394/L394)</f>
        <v>0</v>
      </c>
      <c r="L394" s="129">
        <v>54</v>
      </c>
      <c r="M394" s="109">
        <f t="shared" si="175"/>
        <v>0</v>
      </c>
      <c r="N394" s="130">
        <f t="shared" si="179"/>
        <v>0</v>
      </c>
      <c r="O394" s="483"/>
      <c r="P394" s="483"/>
      <c r="Q394" s="483"/>
      <c r="R394" s="483"/>
      <c r="S394" s="483"/>
      <c r="T394" s="483"/>
      <c r="U394" s="483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30700007</v>
      </c>
      <c r="B395" s="480" t="s">
        <v>418</v>
      </c>
      <c r="C395" s="187" t="s">
        <v>364</v>
      </c>
      <c r="D395" s="108">
        <v>5.03</v>
      </c>
      <c r="E395" s="108"/>
      <c r="F395" s="127"/>
      <c r="G395" s="128"/>
      <c r="H395" s="488">
        <f t="shared" si="170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5"/>
        <v>0</v>
      </c>
      <c r="N395" s="130"/>
      <c r="O395" s="483"/>
      <c r="P395" s="483"/>
      <c r="Q395" s="483"/>
      <c r="R395" s="483"/>
      <c r="S395" s="483"/>
      <c r="T395" s="483"/>
      <c r="U395" s="483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30700006</v>
      </c>
      <c r="B396" s="480" t="s">
        <v>418</v>
      </c>
      <c r="C396" s="187" t="s">
        <v>365</v>
      </c>
      <c r="D396" s="108">
        <v>5.03</v>
      </c>
      <c r="E396" s="108"/>
      <c r="F396" s="127"/>
      <c r="G396" s="128"/>
      <c r="H396" s="488">
        <f t="shared" si="170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5"/>
        <v>0</v>
      </c>
      <c r="N396" s="130"/>
      <c r="O396" s="483"/>
      <c r="P396" s="483"/>
      <c r="Q396" s="483"/>
      <c r="R396" s="483"/>
      <c r="S396" s="483"/>
      <c r="T396" s="483"/>
      <c r="U396" s="483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3">
        <v>30700008</v>
      </c>
      <c r="B397" s="480" t="s">
        <v>418</v>
      </c>
      <c r="C397" s="187" t="s">
        <v>366</v>
      </c>
      <c r="D397" s="108">
        <v>5.03</v>
      </c>
      <c r="E397" s="108"/>
      <c r="F397" s="127"/>
      <c r="G397" s="128"/>
      <c r="H397" s="488">
        <f t="shared" si="170"/>
        <v>0</v>
      </c>
      <c r="I397" s="129"/>
      <c r="J397" s="130"/>
      <c r="K397" s="131">
        <f t="array" ref="K397">IF(ISERROR(G397/L397),"",G397/L397)</f>
        <v>0</v>
      </c>
      <c r="L397" s="129">
        <v>4</v>
      </c>
      <c r="M397" s="109">
        <f t="shared" si="175"/>
        <v>0</v>
      </c>
      <c r="N397" s="130"/>
      <c r="O397" s="483"/>
      <c r="P397" s="483"/>
      <c r="Q397" s="483"/>
      <c r="R397" s="483"/>
      <c r="S397" s="483"/>
      <c r="T397" s="483"/>
      <c r="U397" s="483"/>
      <c r="V397" s="132"/>
      <c r="W397" s="133"/>
      <c r="X397" s="132"/>
      <c r="Y397" s="132"/>
      <c r="Z397" s="132"/>
      <c r="AA397" s="132"/>
    </row>
    <row r="398" spans="1:27" ht="20.100000000000001" hidden="1" customHeight="1">
      <c r="A398" s="303">
        <v>30700009</v>
      </c>
      <c r="B398" s="480" t="s">
        <v>418</v>
      </c>
      <c r="C398" s="187" t="s">
        <v>367</v>
      </c>
      <c r="D398" s="108">
        <v>5.03</v>
      </c>
      <c r="E398" s="108"/>
      <c r="F398" s="127"/>
      <c r="G398" s="128"/>
      <c r="H398" s="488">
        <f t="shared" si="170"/>
        <v>0</v>
      </c>
      <c r="I398" s="129"/>
      <c r="J398" s="130"/>
      <c r="K398" s="131">
        <f t="array" ref="K398">IF(ISERROR(G398/L398),"",G398/L398)</f>
        <v>0</v>
      </c>
      <c r="L398" s="129">
        <v>4</v>
      </c>
      <c r="M398" s="109">
        <f t="shared" si="175"/>
        <v>0</v>
      </c>
      <c r="N398" s="130"/>
      <c r="O398" s="483"/>
      <c r="P398" s="483"/>
      <c r="Q398" s="483"/>
      <c r="R398" s="483"/>
      <c r="S398" s="483"/>
      <c r="T398" s="483"/>
      <c r="U398" s="483"/>
      <c r="V398" s="132"/>
      <c r="W398" s="133"/>
      <c r="X398" s="132"/>
      <c r="Y398" s="132"/>
      <c r="Z398" s="132"/>
      <c r="AA398" s="132"/>
    </row>
    <row r="399" spans="1:27" ht="20.100000000000001" hidden="1" customHeight="1">
      <c r="A399" s="300">
        <v>30100036</v>
      </c>
      <c r="B399" s="134" t="s">
        <v>210</v>
      </c>
      <c r="C399" s="126" t="s">
        <v>187</v>
      </c>
      <c r="D399" s="108">
        <v>5.03</v>
      </c>
      <c r="E399" s="108"/>
      <c r="F399" s="127"/>
      <c r="G399" s="128"/>
      <c r="H399" s="488">
        <f t="shared" si="170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5"/>
        <v>0</v>
      </c>
      <c r="N399" s="130">
        <f t="shared" ref="N399:N408" si="182">SUM(O399:U399)</f>
        <v>0</v>
      </c>
      <c r="O399" s="479"/>
      <c r="P399" s="479"/>
      <c r="Q399" s="479"/>
      <c r="R399" s="479"/>
      <c r="S399" s="479"/>
      <c r="T399" s="479"/>
      <c r="U399" s="479"/>
      <c r="V399" s="132">
        <f t="shared" ref="V399:V408" si="183">SUM(X399:AA399)</f>
        <v>0</v>
      </c>
      <c r="W399" s="133" t="str">
        <f t="shared" ref="W399:W408" si="184">IF(ISERROR(V399/G399),"",V399/G399)</f>
        <v/>
      </c>
      <c r="X399" s="132"/>
      <c r="Y399" s="132"/>
      <c r="Z399" s="132"/>
      <c r="AA399" s="132"/>
    </row>
    <row r="400" spans="1:27" ht="20.100000000000001" hidden="1" customHeight="1">
      <c r="A400" s="300">
        <v>30100034</v>
      </c>
      <c r="B400" s="134" t="s">
        <v>210</v>
      </c>
      <c r="C400" s="126" t="s">
        <v>186</v>
      </c>
      <c r="D400" s="108">
        <v>5.03</v>
      </c>
      <c r="E400" s="108"/>
      <c r="F400" s="127"/>
      <c r="G400" s="128"/>
      <c r="H400" s="488">
        <f t="shared" si="170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40</v>
      </c>
      <c r="M400" s="109">
        <f t="shared" si="175"/>
        <v>0</v>
      </c>
      <c r="N400" s="130">
        <f t="shared" si="182"/>
        <v>0</v>
      </c>
      <c r="O400" s="479"/>
      <c r="P400" s="479"/>
      <c r="Q400" s="479"/>
      <c r="R400" s="479"/>
      <c r="S400" s="479"/>
      <c r="T400" s="479"/>
      <c r="U400" s="47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30100035</v>
      </c>
      <c r="B401" s="134" t="s">
        <v>210</v>
      </c>
      <c r="C401" s="126" t="s">
        <v>194</v>
      </c>
      <c r="D401" s="108">
        <v>5.03</v>
      </c>
      <c r="E401" s="108"/>
      <c r="F401" s="127"/>
      <c r="G401" s="128"/>
      <c r="H401" s="488">
        <f t="shared" si="170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40</v>
      </c>
      <c r="M401" s="109">
        <f t="shared" si="175"/>
        <v>0</v>
      </c>
      <c r="N401" s="130">
        <f t="shared" si="182"/>
        <v>0</v>
      </c>
      <c r="O401" s="479"/>
      <c r="P401" s="479"/>
      <c r="Q401" s="479"/>
      <c r="R401" s="479"/>
      <c r="S401" s="479"/>
      <c r="T401" s="479"/>
      <c r="U401" s="47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30100040</v>
      </c>
      <c r="B402" s="134" t="s">
        <v>211</v>
      </c>
      <c r="C402" s="126" t="s">
        <v>212</v>
      </c>
      <c r="D402" s="108">
        <v>5.03</v>
      </c>
      <c r="E402" s="108"/>
      <c r="F402" s="127"/>
      <c r="G402" s="128"/>
      <c r="H402" s="488">
        <f t="shared" si="170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5"/>
        <v>0</v>
      </c>
      <c r="N402" s="130">
        <f t="shared" si="182"/>
        <v>0</v>
      </c>
      <c r="O402" s="479"/>
      <c r="P402" s="479"/>
      <c r="Q402" s="479"/>
      <c r="R402" s="479"/>
      <c r="S402" s="479"/>
      <c r="T402" s="479"/>
      <c r="U402" s="47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hidden="1" customHeight="1">
      <c r="A403" s="300">
        <v>30100039</v>
      </c>
      <c r="B403" s="134" t="s">
        <v>211</v>
      </c>
      <c r="C403" s="126" t="s">
        <v>186</v>
      </c>
      <c r="D403" s="108">
        <v>5.03</v>
      </c>
      <c r="E403" s="108"/>
      <c r="F403" s="127"/>
      <c r="G403" s="128"/>
      <c r="H403" s="488">
        <f t="shared" si="170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5"/>
        <v>0</v>
      </c>
      <c r="N403" s="130">
        <f t="shared" si="182"/>
        <v>0</v>
      </c>
      <c r="O403" s="479"/>
      <c r="P403" s="479"/>
      <c r="Q403" s="479"/>
      <c r="R403" s="479"/>
      <c r="S403" s="479"/>
      <c r="T403" s="479"/>
      <c r="U403" s="47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30100042</v>
      </c>
      <c r="B404" s="134" t="s">
        <v>211</v>
      </c>
      <c r="C404" s="126" t="s">
        <v>187</v>
      </c>
      <c r="D404" s="108">
        <v>5.03</v>
      </c>
      <c r="E404" s="108"/>
      <c r="F404" s="127"/>
      <c r="G404" s="128"/>
      <c r="H404" s="488">
        <f t="shared" si="170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5"/>
        <v>0</v>
      </c>
      <c r="N404" s="130">
        <f t="shared" si="182"/>
        <v>0</v>
      </c>
      <c r="O404" s="479"/>
      <c r="P404" s="479"/>
      <c r="Q404" s="479"/>
      <c r="R404" s="479"/>
      <c r="S404" s="479"/>
      <c r="T404" s="479"/>
      <c r="U404" s="47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30100041</v>
      </c>
      <c r="B405" s="134" t="s">
        <v>211</v>
      </c>
      <c r="C405" s="126" t="s">
        <v>194</v>
      </c>
      <c r="D405" s="108">
        <v>5.03</v>
      </c>
      <c r="E405" s="108"/>
      <c r="F405" s="127"/>
      <c r="G405" s="128"/>
      <c r="H405" s="488">
        <f t="shared" si="170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5"/>
        <v>0</v>
      </c>
      <c r="N405" s="130">
        <f t="shared" si="182"/>
        <v>0</v>
      </c>
      <c r="O405" s="479"/>
      <c r="P405" s="479"/>
      <c r="Q405" s="479"/>
      <c r="R405" s="479"/>
      <c r="S405" s="479"/>
      <c r="T405" s="479"/>
      <c r="U405" s="47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30100045</v>
      </c>
      <c r="B406" s="134" t="s">
        <v>213</v>
      </c>
      <c r="C406" s="126" t="s">
        <v>199</v>
      </c>
      <c r="D406" s="108">
        <v>5.03</v>
      </c>
      <c r="E406" s="108"/>
      <c r="F406" s="127"/>
      <c r="G406" s="128"/>
      <c r="H406" s="488">
        <f t="shared" si="170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5"/>
        <v>0</v>
      </c>
      <c r="N406" s="130">
        <f t="shared" si="182"/>
        <v>0</v>
      </c>
      <c r="O406" s="479"/>
      <c r="P406" s="479"/>
      <c r="Q406" s="479"/>
      <c r="R406" s="479"/>
      <c r="S406" s="479"/>
      <c r="T406" s="479"/>
      <c r="U406" s="47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30100044</v>
      </c>
      <c r="B407" s="134" t="s">
        <v>213</v>
      </c>
      <c r="C407" s="126" t="s">
        <v>187</v>
      </c>
      <c r="D407" s="108">
        <v>5.03</v>
      </c>
      <c r="E407" s="108"/>
      <c r="F407" s="127"/>
      <c r="G407" s="128"/>
      <c r="H407" s="488">
        <f t="shared" si="170"/>
        <v>0</v>
      </c>
      <c r="I407" s="129"/>
      <c r="J407" s="130" t="str">
        <f t="array" ref="J407">IF(ISERROR(G407/I407),"",G407/I407)</f>
        <v/>
      </c>
      <c r="K407" s="131">
        <f t="array" ref="K407">IF(ISERROR(G407/L407),"",G407/L407)</f>
        <v>0</v>
      </c>
      <c r="L407" s="129">
        <v>50</v>
      </c>
      <c r="M407" s="109">
        <f t="shared" si="175"/>
        <v>0</v>
      </c>
      <c r="N407" s="130">
        <f t="shared" si="182"/>
        <v>0</v>
      </c>
      <c r="O407" s="479"/>
      <c r="P407" s="479"/>
      <c r="Q407" s="479"/>
      <c r="R407" s="479"/>
      <c r="S407" s="479"/>
      <c r="T407" s="479"/>
      <c r="U407" s="479"/>
      <c r="V407" s="132">
        <f t="shared" si="183"/>
        <v>0</v>
      </c>
      <c r="W407" s="133" t="str">
        <f t="shared" si="184"/>
        <v/>
      </c>
      <c r="X407" s="132"/>
      <c r="Y407" s="132"/>
      <c r="Z407" s="132"/>
      <c r="AA407" s="132"/>
    </row>
    <row r="408" spans="1:27" ht="20.100000000000001" hidden="1" customHeight="1">
      <c r="A408" s="300">
        <v>30100046</v>
      </c>
      <c r="B408" s="134" t="s">
        <v>213</v>
      </c>
      <c r="C408" s="126" t="s">
        <v>207</v>
      </c>
      <c r="D408" s="108">
        <v>5.03</v>
      </c>
      <c r="E408" s="108"/>
      <c r="F408" s="127"/>
      <c r="G408" s="128"/>
      <c r="H408" s="488">
        <f t="shared" si="170"/>
        <v>0</v>
      </c>
      <c r="I408" s="129"/>
      <c r="J408" s="130" t="str">
        <f t="array" ref="J408">IF(ISERROR(G408/I408),"",G408/I408)</f>
        <v/>
      </c>
      <c r="K408" s="131">
        <f t="array" ref="K408">IF(ISERROR(G408/L408),"",G408/L408)</f>
        <v>0</v>
      </c>
      <c r="L408" s="129">
        <v>50</v>
      </c>
      <c r="M408" s="109">
        <f t="shared" si="175"/>
        <v>0</v>
      </c>
      <c r="N408" s="130">
        <f t="shared" si="182"/>
        <v>0</v>
      </c>
      <c r="O408" s="479"/>
      <c r="P408" s="479"/>
      <c r="Q408" s="479"/>
      <c r="R408" s="479"/>
      <c r="S408" s="479"/>
      <c r="T408" s="479"/>
      <c r="U408" s="479"/>
      <c r="V408" s="132">
        <f t="shared" si="183"/>
        <v>0</v>
      </c>
      <c r="W408" s="133" t="str">
        <f t="shared" si="184"/>
        <v/>
      </c>
      <c r="X408" s="132"/>
      <c r="Y408" s="132"/>
      <c r="Z408" s="132"/>
      <c r="AA408" s="132"/>
    </row>
    <row r="409" spans="1:27" ht="20.100000000000001" hidden="1" customHeight="1">
      <c r="A409" s="300">
        <v>30100043</v>
      </c>
      <c r="B409" s="134" t="s">
        <v>429</v>
      </c>
      <c r="C409" s="187" t="s">
        <v>427</v>
      </c>
      <c r="D409" s="108">
        <v>50.3</v>
      </c>
      <c r="E409" s="108"/>
      <c r="F409" s="127"/>
      <c r="G409" s="128"/>
      <c r="H409" s="488">
        <f t="shared" si="170"/>
        <v>0</v>
      </c>
      <c r="I409" s="129"/>
      <c r="J409" s="130"/>
      <c r="K409" s="131">
        <f t="array" ref="K409">IF(ISERROR(G409/L409),"",G409/L409)</f>
        <v>0</v>
      </c>
      <c r="L409" s="129">
        <v>50</v>
      </c>
      <c r="M409" s="109"/>
      <c r="N409" s="130"/>
      <c r="O409" s="479"/>
      <c r="P409" s="479"/>
      <c r="Q409" s="479"/>
      <c r="R409" s="479"/>
      <c r="S409" s="479"/>
      <c r="T409" s="479"/>
      <c r="U409" s="479"/>
      <c r="V409" s="132"/>
      <c r="W409" s="133"/>
      <c r="X409" s="132"/>
      <c r="Y409" s="132"/>
      <c r="Z409" s="132"/>
      <c r="AA409" s="132"/>
    </row>
    <row r="410" spans="1:27" ht="20.100000000000001" hidden="1" customHeight="1">
      <c r="A410" s="300">
        <v>30100064</v>
      </c>
      <c r="B410" s="134" t="s">
        <v>400</v>
      </c>
      <c r="C410" s="187" t="s">
        <v>398</v>
      </c>
      <c r="D410" s="108">
        <v>5</v>
      </c>
      <c r="E410" s="108"/>
      <c r="F410" s="127"/>
      <c r="G410" s="128"/>
      <c r="H410" s="488">
        <f t="shared" si="170"/>
        <v>0</v>
      </c>
      <c r="I410" s="129"/>
      <c r="J410" s="130"/>
      <c r="K410" s="131"/>
      <c r="L410" s="129">
        <v>50</v>
      </c>
      <c r="M410" s="109"/>
      <c r="N410" s="130"/>
      <c r="O410" s="479"/>
      <c r="P410" s="479"/>
      <c r="Q410" s="479"/>
      <c r="R410" s="479"/>
      <c r="S410" s="479"/>
      <c r="T410" s="479"/>
      <c r="U410" s="479"/>
      <c r="V410" s="132"/>
      <c r="W410" s="133"/>
      <c r="X410" s="132"/>
      <c r="Y410" s="132"/>
      <c r="Z410" s="132"/>
      <c r="AA410" s="132"/>
    </row>
    <row r="411" spans="1:27" ht="20.100000000000001" hidden="1" customHeight="1">
      <c r="A411" s="300">
        <v>30100049</v>
      </c>
      <c r="B411" s="134" t="s">
        <v>214</v>
      </c>
      <c r="C411" s="126" t="s">
        <v>190</v>
      </c>
      <c r="D411" s="108">
        <v>5.03</v>
      </c>
      <c r="E411" s="108"/>
      <c r="F411" s="127"/>
      <c r="G411" s="128"/>
      <c r="H411" s="488">
        <f t="shared" si="170"/>
        <v>0</v>
      </c>
      <c r="I411" s="129"/>
      <c r="J411" s="130" t="str">
        <f t="array" ref="J411">IF(ISERROR(G411/I411),"",G411/I411)</f>
        <v/>
      </c>
      <c r="K411" s="131">
        <f t="array" ref="K411">IF(ISERROR(G411/L411),"",G411/L411)</f>
        <v>0</v>
      </c>
      <c r="L411" s="129">
        <v>21.5</v>
      </c>
      <c r="M411" s="109">
        <f t="shared" ref="M411:M412" si="185">IF(ISERROR(I411-K411),"",I411-K411)</f>
        <v>0</v>
      </c>
      <c r="N411" s="130">
        <f t="shared" ref="N411:N412" si="186">SUM(O411:U411)</f>
        <v>0</v>
      </c>
      <c r="O411" s="479"/>
      <c r="P411" s="479"/>
      <c r="Q411" s="479"/>
      <c r="R411" s="479"/>
      <c r="S411" s="479"/>
      <c r="T411" s="479"/>
      <c r="U411" s="479"/>
      <c r="V411" s="132">
        <f t="shared" ref="V411:V412" si="187">SUM(X411:AA411)</f>
        <v>0</v>
      </c>
      <c r="W411" s="133" t="str">
        <f t="shared" ref="W411:W412" si="188">IF(ISERROR(V411/G411),"",V411/G411)</f>
        <v/>
      </c>
      <c r="X411" s="132"/>
      <c r="Y411" s="132"/>
      <c r="Z411" s="132"/>
      <c r="AA411" s="132"/>
    </row>
    <row r="412" spans="1:27" ht="20.100000000000001" hidden="1" customHeight="1">
      <c r="A412" s="300">
        <v>30100050</v>
      </c>
      <c r="B412" s="134" t="s">
        <v>214</v>
      </c>
      <c r="C412" s="126" t="s">
        <v>194</v>
      </c>
      <c r="D412" s="108">
        <v>5.03</v>
      </c>
      <c r="E412" s="108"/>
      <c r="F412" s="127"/>
      <c r="G412" s="128"/>
      <c r="H412" s="488">
        <f t="shared" si="170"/>
        <v>0</v>
      </c>
      <c r="I412" s="129"/>
      <c r="J412" s="130" t="str">
        <f t="array" ref="J412">IF(ISERROR(G412/I412),"",G412/I412)</f>
        <v/>
      </c>
      <c r="K412" s="131">
        <f t="array" ref="K412">IF(ISERROR(G412/L412),"",G412/L412)</f>
        <v>0</v>
      </c>
      <c r="L412" s="129">
        <v>21.5</v>
      </c>
      <c r="M412" s="109">
        <f t="shared" si="185"/>
        <v>0</v>
      </c>
      <c r="N412" s="130">
        <f t="shared" si="186"/>
        <v>0</v>
      </c>
      <c r="O412" s="479"/>
      <c r="P412" s="479"/>
      <c r="Q412" s="479"/>
      <c r="R412" s="479"/>
      <c r="S412" s="479"/>
      <c r="T412" s="479"/>
      <c r="U412" s="479"/>
      <c r="V412" s="132">
        <f t="shared" si="187"/>
        <v>0</v>
      </c>
      <c r="W412" s="133" t="str">
        <f t="shared" si="188"/>
        <v/>
      </c>
      <c r="X412" s="132"/>
      <c r="Y412" s="132"/>
      <c r="Z412" s="132"/>
      <c r="AA412" s="132"/>
    </row>
    <row r="413" spans="1:27" ht="20.100000000000001" hidden="1" customHeight="1">
      <c r="A413" s="300"/>
      <c r="B413" s="134" t="s">
        <v>360</v>
      </c>
      <c r="C413" s="187" t="s">
        <v>361</v>
      </c>
      <c r="D413" s="108"/>
      <c r="E413" s="108"/>
      <c r="F413" s="127"/>
      <c r="G413" s="128"/>
      <c r="H413" s="488">
        <f t="shared" si="170"/>
        <v>0</v>
      </c>
      <c r="I413" s="129"/>
      <c r="J413" s="130"/>
      <c r="K413" s="131"/>
      <c r="L413" s="129"/>
      <c r="M413" s="109"/>
      <c r="N413" s="130"/>
      <c r="O413" s="479"/>
      <c r="P413" s="479"/>
      <c r="Q413" s="479"/>
      <c r="R413" s="479"/>
      <c r="S413" s="479"/>
      <c r="T413" s="479"/>
      <c r="U413" s="479"/>
      <c r="V413" s="132"/>
      <c r="W413" s="133"/>
      <c r="X413" s="132"/>
      <c r="Y413" s="132"/>
      <c r="Z413" s="132"/>
      <c r="AA413" s="132"/>
    </row>
    <row r="414" spans="1:27" ht="20.100000000000001" hidden="1" customHeight="1">
      <c r="A414" s="300">
        <v>30100055</v>
      </c>
      <c r="B414" s="140" t="s">
        <v>215</v>
      </c>
      <c r="C414" s="126" t="s">
        <v>186</v>
      </c>
      <c r="D414" s="108">
        <v>5.0599999999999996</v>
      </c>
      <c r="E414" s="108"/>
      <c r="F414" s="127"/>
      <c r="G414" s="128"/>
      <c r="H414" s="488">
        <f t="shared" si="170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ref="M414:M427" si="189">IF(ISERROR(I414-K414),"",I414-K414)</f>
        <v/>
      </c>
      <c r="N414" s="130">
        <f t="shared" ref="N414:N417" si="190">SUM(O414:U414)</f>
        <v>0</v>
      </c>
      <c r="O414" s="479"/>
      <c r="P414" s="479"/>
      <c r="Q414" s="479"/>
      <c r="R414" s="479"/>
      <c r="S414" s="479"/>
      <c r="T414" s="479"/>
      <c r="U414" s="479"/>
      <c r="V414" s="132">
        <f t="shared" ref="V414:V417" si="191">SUM(X414:AA414)</f>
        <v>0</v>
      </c>
      <c r="W414" s="133" t="str">
        <f t="shared" ref="W414:W417" si="192">IF(ISERROR(V414/G414),"",V414/G414)</f>
        <v/>
      </c>
      <c r="X414" s="132"/>
      <c r="Y414" s="132"/>
      <c r="Z414" s="132"/>
      <c r="AA414" s="132"/>
    </row>
    <row r="415" spans="1:27" ht="20.100000000000001" hidden="1" customHeight="1">
      <c r="A415" s="300">
        <v>30100056</v>
      </c>
      <c r="B415" s="140" t="s">
        <v>215</v>
      </c>
      <c r="C415" s="126" t="s">
        <v>204</v>
      </c>
      <c r="D415" s="108">
        <v>5.0599999999999996</v>
      </c>
      <c r="E415" s="108"/>
      <c r="F415" s="127"/>
      <c r="G415" s="128"/>
      <c r="H415" s="488">
        <f t="shared" si="170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479"/>
      <c r="P415" s="479"/>
      <c r="Q415" s="479"/>
      <c r="R415" s="479"/>
      <c r="S415" s="479"/>
      <c r="T415" s="479"/>
      <c r="U415" s="47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hidden="1" customHeight="1">
      <c r="A416" s="300">
        <v>30100057</v>
      </c>
      <c r="B416" s="140" t="s">
        <v>215</v>
      </c>
      <c r="C416" s="126" t="s">
        <v>194</v>
      </c>
      <c r="D416" s="108">
        <v>5.0599999999999996</v>
      </c>
      <c r="E416" s="108"/>
      <c r="F416" s="127"/>
      <c r="G416" s="128"/>
      <c r="H416" s="488">
        <f t="shared" si="170"/>
        <v>0</v>
      </c>
      <c r="I416" s="129"/>
      <c r="J416" s="130" t="str">
        <f t="array" ref="J416">IF(ISERROR(G416/I416),"",G416/I416)</f>
        <v/>
      </c>
      <c r="K416" s="131" t="str">
        <f t="array" ref="K416">IF(ISERROR(G416/L416),"",G416/L416)</f>
        <v/>
      </c>
      <c r="L416" s="129"/>
      <c r="M416" s="109" t="str">
        <f t="shared" si="189"/>
        <v/>
      </c>
      <c r="N416" s="130">
        <f t="shared" si="190"/>
        <v>0</v>
      </c>
      <c r="O416" s="479"/>
      <c r="P416" s="479"/>
      <c r="Q416" s="479"/>
      <c r="R416" s="479"/>
      <c r="S416" s="479"/>
      <c r="T416" s="479"/>
      <c r="U416" s="479"/>
      <c r="V416" s="132">
        <f t="shared" si="191"/>
        <v>0</v>
      </c>
      <c r="W416" s="133" t="str">
        <f t="shared" si="192"/>
        <v/>
      </c>
      <c r="X416" s="132"/>
      <c r="Y416" s="132"/>
      <c r="Z416" s="132"/>
      <c r="AA416" s="132"/>
    </row>
    <row r="417" spans="1:27" ht="20.100000000000001" hidden="1" customHeight="1">
      <c r="A417" s="300">
        <v>30100058</v>
      </c>
      <c r="B417" s="140" t="s">
        <v>215</v>
      </c>
      <c r="C417" s="126" t="s">
        <v>187</v>
      </c>
      <c r="D417" s="108">
        <v>5.0599999999999996</v>
      </c>
      <c r="E417" s="108"/>
      <c r="F417" s="127"/>
      <c r="G417" s="128"/>
      <c r="H417" s="488">
        <f t="shared" si="170"/>
        <v>0</v>
      </c>
      <c r="I417" s="129"/>
      <c r="J417" s="130" t="str">
        <f t="array" ref="J417">IF(ISERROR(G417/I417),"",G417/I417)</f>
        <v/>
      </c>
      <c r="K417" s="131" t="str">
        <f t="array" ref="K417">IF(ISERROR(G417/L417),"",G417/L417)</f>
        <v/>
      </c>
      <c r="L417" s="129"/>
      <c r="M417" s="109" t="str">
        <f t="shared" si="189"/>
        <v/>
      </c>
      <c r="N417" s="130">
        <f t="shared" si="190"/>
        <v>0</v>
      </c>
      <c r="O417" s="479"/>
      <c r="P417" s="479"/>
      <c r="Q417" s="479"/>
      <c r="R417" s="479"/>
      <c r="S417" s="479"/>
      <c r="T417" s="479"/>
      <c r="U417" s="479"/>
      <c r="V417" s="132">
        <f t="shared" si="191"/>
        <v>0</v>
      </c>
      <c r="W417" s="133" t="str">
        <f t="shared" si="192"/>
        <v/>
      </c>
      <c r="X417" s="132"/>
      <c r="Y417" s="132"/>
      <c r="Z417" s="132"/>
      <c r="AA417" s="132"/>
    </row>
    <row r="418" spans="1:27" ht="20.100000000000001" hidden="1" customHeight="1">
      <c r="A418" s="302">
        <v>30600013</v>
      </c>
      <c r="B418" s="196" t="s">
        <v>368</v>
      </c>
      <c r="C418" s="187" t="s">
        <v>374</v>
      </c>
      <c r="D418" s="108"/>
      <c r="E418" s="108"/>
      <c r="F418" s="127"/>
      <c r="G418" s="128"/>
      <c r="H418" s="488">
        <f t="shared" si="170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479"/>
      <c r="P418" s="479"/>
      <c r="Q418" s="479"/>
      <c r="R418" s="479"/>
      <c r="S418" s="479"/>
      <c r="T418" s="479"/>
      <c r="U418" s="47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30600014</v>
      </c>
      <c r="B419" s="196" t="s">
        <v>368</v>
      </c>
      <c r="C419" s="187" t="s">
        <v>369</v>
      </c>
      <c r="D419" s="108"/>
      <c r="E419" s="108"/>
      <c r="F419" s="127"/>
      <c r="G419" s="128"/>
      <c r="H419" s="488">
        <f t="shared" si="170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479"/>
      <c r="P419" s="479"/>
      <c r="Q419" s="479"/>
      <c r="R419" s="479"/>
      <c r="S419" s="479"/>
      <c r="T419" s="479"/>
      <c r="U419" s="47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30600012</v>
      </c>
      <c r="B420" s="196" t="s">
        <v>368</v>
      </c>
      <c r="C420" s="187" t="s">
        <v>370</v>
      </c>
      <c r="D420" s="108"/>
      <c r="E420" s="108"/>
      <c r="F420" s="127"/>
      <c r="G420" s="128"/>
      <c r="H420" s="488">
        <f t="shared" si="170"/>
        <v>0</v>
      </c>
      <c r="I420" s="129"/>
      <c r="J420" s="130"/>
      <c r="K420" s="131">
        <f t="array" ref="K420">IF(ISERROR(G420/L420),"",G420/L420)</f>
        <v>0</v>
      </c>
      <c r="L420" s="129">
        <v>24</v>
      </c>
      <c r="M420" s="109">
        <f t="shared" si="189"/>
        <v>0</v>
      </c>
      <c r="N420" s="130"/>
      <c r="O420" s="479"/>
      <c r="P420" s="479"/>
      <c r="Q420" s="479"/>
      <c r="R420" s="479"/>
      <c r="S420" s="479"/>
      <c r="T420" s="479"/>
      <c r="U420" s="47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30600011</v>
      </c>
      <c r="B421" s="196" t="s">
        <v>368</v>
      </c>
      <c r="C421" s="187" t="s">
        <v>371</v>
      </c>
      <c r="D421" s="108"/>
      <c r="E421" s="108"/>
      <c r="F421" s="127"/>
      <c r="G421" s="128"/>
      <c r="H421" s="488">
        <f t="shared" si="170"/>
        <v>0</v>
      </c>
      <c r="I421" s="129"/>
      <c r="J421" s="130"/>
      <c r="K421" s="131">
        <f t="array" ref="K421">IF(ISERROR(G421/L421),"",G421/L421)</f>
        <v>0</v>
      </c>
      <c r="L421" s="129">
        <v>24</v>
      </c>
      <c r="M421" s="109">
        <f t="shared" si="189"/>
        <v>0</v>
      </c>
      <c r="N421" s="130"/>
      <c r="O421" s="479"/>
      <c r="P421" s="479"/>
      <c r="Q421" s="479"/>
      <c r="R421" s="479"/>
      <c r="S421" s="479"/>
      <c r="T421" s="479"/>
      <c r="U421" s="47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30300002</v>
      </c>
      <c r="B422" s="196" t="s">
        <v>407</v>
      </c>
      <c r="C422" s="187" t="s">
        <v>408</v>
      </c>
      <c r="D422" s="108"/>
      <c r="E422" s="108"/>
      <c r="F422" s="127"/>
      <c r="G422" s="128"/>
      <c r="H422" s="488">
        <f t="shared" si="170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479"/>
      <c r="P422" s="479"/>
      <c r="Q422" s="479"/>
      <c r="R422" s="479"/>
      <c r="S422" s="479"/>
      <c r="T422" s="479"/>
      <c r="U422" s="47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30300001</v>
      </c>
      <c r="B423" s="196" t="s">
        <v>407</v>
      </c>
      <c r="C423" s="187" t="s">
        <v>409</v>
      </c>
      <c r="D423" s="108"/>
      <c r="E423" s="108"/>
      <c r="F423" s="127"/>
      <c r="G423" s="128"/>
      <c r="H423" s="488">
        <f t="shared" si="170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479"/>
      <c r="P423" s="479"/>
      <c r="Q423" s="479"/>
      <c r="R423" s="479"/>
      <c r="S423" s="479"/>
      <c r="T423" s="479"/>
      <c r="U423" s="47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30300003</v>
      </c>
      <c r="B424" s="196" t="s">
        <v>407</v>
      </c>
      <c r="C424" s="187" t="s">
        <v>410</v>
      </c>
      <c r="D424" s="108"/>
      <c r="E424" s="108"/>
      <c r="F424" s="127"/>
      <c r="G424" s="128"/>
      <c r="H424" s="488">
        <f t="shared" si="170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479"/>
      <c r="P424" s="479"/>
      <c r="Q424" s="479"/>
      <c r="R424" s="479"/>
      <c r="S424" s="479"/>
      <c r="T424" s="479"/>
      <c r="U424" s="47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30300005</v>
      </c>
      <c r="B425" s="140" t="s">
        <v>362</v>
      </c>
      <c r="C425" s="126" t="s">
        <v>337</v>
      </c>
      <c r="D425" s="108"/>
      <c r="E425" s="108"/>
      <c r="F425" s="127"/>
      <c r="G425" s="128"/>
      <c r="H425" s="488">
        <f t="shared" si="170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479"/>
      <c r="P425" s="479"/>
      <c r="Q425" s="479"/>
      <c r="R425" s="479"/>
      <c r="S425" s="479"/>
      <c r="T425" s="479"/>
      <c r="U425" s="47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302">
        <v>30300004</v>
      </c>
      <c r="B426" s="140" t="s">
        <v>362</v>
      </c>
      <c r="C426" s="126" t="s">
        <v>339</v>
      </c>
      <c r="D426" s="108"/>
      <c r="E426" s="108"/>
      <c r="F426" s="127"/>
      <c r="G426" s="128"/>
      <c r="H426" s="488">
        <f t="shared" si="170"/>
        <v>0</v>
      </c>
      <c r="I426" s="129"/>
      <c r="J426" s="130"/>
      <c r="K426" s="131">
        <f t="array" ref="K426">IF(ISERROR(G426/L426),"",G426/L426)</f>
        <v>0</v>
      </c>
      <c r="L426" s="129">
        <v>4</v>
      </c>
      <c r="M426" s="109">
        <f t="shared" si="189"/>
        <v>0</v>
      </c>
      <c r="N426" s="130"/>
      <c r="O426" s="479"/>
      <c r="P426" s="479"/>
      <c r="Q426" s="479"/>
      <c r="R426" s="479"/>
      <c r="S426" s="479"/>
      <c r="T426" s="479"/>
      <c r="U426" s="479"/>
      <c r="V426" s="132"/>
      <c r="W426" s="133"/>
      <c r="X426" s="132"/>
      <c r="Y426" s="132"/>
      <c r="Z426" s="132"/>
      <c r="AA426" s="132"/>
    </row>
    <row r="427" spans="1:27" ht="20.100000000000001" hidden="1" customHeight="1">
      <c r="A427" s="302">
        <v>30300006</v>
      </c>
      <c r="B427" s="140" t="s">
        <v>362</v>
      </c>
      <c r="C427" s="126" t="s">
        <v>341</v>
      </c>
      <c r="D427" s="108"/>
      <c r="E427" s="108"/>
      <c r="F427" s="127"/>
      <c r="G427" s="128"/>
      <c r="H427" s="488">
        <f t="shared" si="170"/>
        <v>0</v>
      </c>
      <c r="I427" s="129"/>
      <c r="J427" s="130"/>
      <c r="K427" s="131">
        <f t="array" ref="K427">IF(ISERROR(G427/L427),"",G427/L427)</f>
        <v>0</v>
      </c>
      <c r="L427" s="129">
        <v>4</v>
      </c>
      <c r="M427" s="109">
        <f t="shared" si="189"/>
        <v>0</v>
      </c>
      <c r="N427" s="130"/>
      <c r="O427" s="479"/>
      <c r="P427" s="479"/>
      <c r="Q427" s="479"/>
      <c r="R427" s="479"/>
      <c r="S427" s="479"/>
      <c r="T427" s="479"/>
      <c r="U427" s="479"/>
      <c r="V427" s="132"/>
      <c r="W427" s="133"/>
      <c r="X427" s="132"/>
      <c r="Y427" s="132"/>
      <c r="Z427" s="132"/>
      <c r="AA427" s="132"/>
    </row>
    <row r="428" spans="1:27" ht="20.100000000000001" hidden="1" customHeight="1">
      <c r="A428" s="629" t="s">
        <v>216</v>
      </c>
      <c r="B428" s="629"/>
      <c r="C428" s="486" t="s">
        <v>202</v>
      </c>
      <c r="D428" s="143"/>
      <c r="E428" s="143"/>
      <c r="F428" s="144"/>
      <c r="G428" s="145">
        <f>SUM(G371:G427)</f>
        <v>0</v>
      </c>
      <c r="H428" s="146">
        <f>SUM(H371:H427)</f>
        <v>0</v>
      </c>
      <c r="I428" s="146">
        <f>SUM(I371:I427)</f>
        <v>0</v>
      </c>
      <c r="J428" s="130" t="str">
        <f t="array" ref="J428">IF(ISERROR(G428/I428),"",G428/I428)</f>
        <v/>
      </c>
      <c r="K428" s="146">
        <f>SUM(K371:K427)</f>
        <v>0</v>
      </c>
      <c r="L428" s="129"/>
      <c r="M428" s="150">
        <f t="shared" ref="M428:V428" si="193">SUM(M371:M427)</f>
        <v>0</v>
      </c>
      <c r="N428" s="146">
        <f t="shared" si="193"/>
        <v>0</v>
      </c>
      <c r="O428" s="148">
        <f t="shared" si="193"/>
        <v>0</v>
      </c>
      <c r="P428" s="148">
        <f t="shared" si="193"/>
        <v>0</v>
      </c>
      <c r="Q428" s="148">
        <f t="shared" si="193"/>
        <v>0</v>
      </c>
      <c r="R428" s="148">
        <f t="shared" si="193"/>
        <v>0</v>
      </c>
      <c r="S428" s="148">
        <f t="shared" si="193"/>
        <v>0</v>
      </c>
      <c r="T428" s="148">
        <f t="shared" si="193"/>
        <v>0</v>
      </c>
      <c r="U428" s="148">
        <f t="shared" si="193"/>
        <v>0</v>
      </c>
      <c r="V428" s="149">
        <f t="shared" si="193"/>
        <v>0</v>
      </c>
      <c r="W428" s="133" t="str">
        <f t="shared" ref="W428:W435" si="194">IF(ISERROR(V428/G428),"",V428/G428)</f>
        <v/>
      </c>
      <c r="X428" s="149">
        <f>SUM(X371:X427)</f>
        <v>0</v>
      </c>
      <c r="Y428" s="149">
        <f>SUM(Y371:Y427)</f>
        <v>0</v>
      </c>
      <c r="Z428" s="149">
        <f>SUM(Z371:Z427)</f>
        <v>0</v>
      </c>
      <c r="AA428" s="149">
        <f>SUM(AA371:AA427)</f>
        <v>0</v>
      </c>
    </row>
    <row r="429" spans="1:27" ht="20.100000000000001" hidden="1" customHeight="1">
      <c r="A429" s="299">
        <v>30400012</v>
      </c>
      <c r="B429" s="480" t="s">
        <v>217</v>
      </c>
      <c r="C429" s="126" t="s">
        <v>179</v>
      </c>
      <c r="D429" s="108">
        <v>5.03</v>
      </c>
      <c r="E429" s="108"/>
      <c r="F429" s="127"/>
      <c r="G429" s="128"/>
      <c r="H429" s="488">
        <f t="shared" ref="H429:H462" si="195">D429*G429</f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ref="M429:M436" si="196">IF(ISERROR(I429-K429),"",I429-K429)</f>
        <v>0</v>
      </c>
      <c r="N429" s="130">
        <f t="shared" ref="N429:N436" si="197">SUM(O429:U429)</f>
        <v>0</v>
      </c>
      <c r="O429" s="479"/>
      <c r="P429" s="479"/>
      <c r="Q429" s="479"/>
      <c r="R429" s="479"/>
      <c r="S429" s="479"/>
      <c r="T429" s="479"/>
      <c r="U429" s="479"/>
      <c r="V429" s="132">
        <f t="shared" ref="V429:V435" si="198">SUM(X429:AA429)</f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30400010</v>
      </c>
      <c r="B430" s="480" t="s">
        <v>217</v>
      </c>
      <c r="C430" s="126" t="s">
        <v>186</v>
      </c>
      <c r="D430" s="108">
        <v>5.03</v>
      </c>
      <c r="E430" s="108"/>
      <c r="F430" s="127">
        <v>42741</v>
      </c>
      <c r="G430" s="128">
        <f>72*7+63+18+48*2+34</f>
        <v>715</v>
      </c>
      <c r="H430" s="488">
        <f t="shared" si="195"/>
        <v>3596.4500000000003</v>
      </c>
      <c r="I430" s="129">
        <f>10+10+10*2+10+9.5*2</f>
        <v>69</v>
      </c>
      <c r="J430" s="130">
        <f t="array" ref="J430">IF(ISERROR(G430/I430),"",G430/I430)</f>
        <v>10.362318840579711</v>
      </c>
      <c r="K430" s="131">
        <f t="array" ref="K430">IF(ISERROR(G430/L430),"",G430/L430)</f>
        <v>81.25</v>
      </c>
      <c r="L430" s="129">
        <v>8.8000000000000007</v>
      </c>
      <c r="M430" s="109">
        <f t="shared" si="196"/>
        <v>-12.25</v>
      </c>
      <c r="N430" s="130">
        <f t="shared" si="197"/>
        <v>0</v>
      </c>
      <c r="O430" s="479"/>
      <c r="P430" s="479"/>
      <c r="Q430" s="479"/>
      <c r="R430" s="479"/>
      <c r="S430" s="479"/>
      <c r="T430" s="479"/>
      <c r="U430" s="479"/>
      <c r="V430" s="132">
        <f t="shared" si="198"/>
        <v>0</v>
      </c>
      <c r="W430" s="133">
        <f t="shared" si="194"/>
        <v>0</v>
      </c>
      <c r="X430" s="132"/>
      <c r="Y430" s="132"/>
      <c r="Z430" s="132"/>
      <c r="AA430" s="132"/>
    </row>
    <row r="431" spans="1:27" ht="20.100000000000001" customHeight="1">
      <c r="A431" s="299">
        <v>30400011</v>
      </c>
      <c r="B431" s="480" t="s">
        <v>217</v>
      </c>
      <c r="C431" s="126" t="s">
        <v>204</v>
      </c>
      <c r="D431" s="108">
        <v>5.03</v>
      </c>
      <c r="E431" s="108"/>
      <c r="F431" s="127">
        <v>42742</v>
      </c>
      <c r="G431" s="128">
        <f>52+72*3</f>
        <v>268</v>
      </c>
      <c r="H431" s="488">
        <f t="shared" si="195"/>
        <v>1348.04</v>
      </c>
      <c r="I431" s="129">
        <f>8.5+9.5+1*2</f>
        <v>20</v>
      </c>
      <c r="J431" s="130">
        <f t="array" ref="J431">IF(ISERROR(G431/I431),"",G431/I431)</f>
        <v>13.4</v>
      </c>
      <c r="K431" s="131">
        <f t="array" ref="K431">IF(ISERROR(G431/L431),"",G431/L431)</f>
        <v>30.454545454545453</v>
      </c>
      <c r="L431" s="129">
        <v>8.8000000000000007</v>
      </c>
      <c r="M431" s="109">
        <f t="shared" si="196"/>
        <v>-10.454545454545453</v>
      </c>
      <c r="N431" s="130">
        <f t="shared" si="197"/>
        <v>0</v>
      </c>
      <c r="O431" s="479"/>
      <c r="P431" s="479"/>
      <c r="Q431" s="479"/>
      <c r="R431" s="479"/>
      <c r="S431" s="479"/>
      <c r="T431" s="479"/>
      <c r="U431" s="479"/>
      <c r="V431" s="132">
        <f t="shared" si="198"/>
        <v>0</v>
      </c>
      <c r="W431" s="133">
        <f t="shared" si="194"/>
        <v>0</v>
      </c>
      <c r="X431" s="132"/>
      <c r="Y431" s="132"/>
      <c r="Z431" s="132"/>
      <c r="AA431" s="132"/>
    </row>
    <row r="432" spans="1:27" ht="20.100000000000001" hidden="1" customHeight="1">
      <c r="A432" s="299">
        <v>30400014</v>
      </c>
      <c r="B432" s="151" t="s">
        <v>513</v>
      </c>
      <c r="C432" s="126" t="s">
        <v>179</v>
      </c>
      <c r="D432" s="108">
        <v>5.03</v>
      </c>
      <c r="E432" s="108"/>
      <c r="F432" s="127"/>
      <c r="G432" s="128"/>
      <c r="H432" s="488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479"/>
      <c r="P432" s="479"/>
      <c r="Q432" s="479"/>
      <c r="R432" s="479"/>
      <c r="S432" s="479"/>
      <c r="T432" s="479"/>
      <c r="U432" s="47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30400013</v>
      </c>
      <c r="B433" s="151" t="s">
        <v>473</v>
      </c>
      <c r="C433" s="126" t="s">
        <v>203</v>
      </c>
      <c r="D433" s="108">
        <v>5.03</v>
      </c>
      <c r="E433" s="108"/>
      <c r="F433" s="127">
        <v>42741</v>
      </c>
      <c r="G433" s="128">
        <v>100</v>
      </c>
      <c r="H433" s="488">
        <f t="shared" si="195"/>
        <v>503</v>
      </c>
      <c r="I433" s="129">
        <v>11</v>
      </c>
      <c r="J433" s="130">
        <f t="array" ref="J433">IF(ISERROR(G433/I433),"",G433/I433)</f>
        <v>9.0909090909090917</v>
      </c>
      <c r="K433" s="131">
        <f t="array" ref="K433">IF(ISERROR(G433/L433),"",G433/L433)</f>
        <v>10.75268817204301</v>
      </c>
      <c r="L433" s="129">
        <v>9.3000000000000007</v>
      </c>
      <c r="M433" s="109">
        <f t="shared" si="196"/>
        <v>0.24731182795698992</v>
      </c>
      <c r="N433" s="130">
        <f t="shared" si="197"/>
        <v>0</v>
      </c>
      <c r="O433" s="479"/>
      <c r="P433" s="479"/>
      <c r="Q433" s="479"/>
      <c r="R433" s="479"/>
      <c r="S433" s="479"/>
      <c r="T433" s="479"/>
      <c r="U433" s="479"/>
      <c r="V433" s="132">
        <f t="shared" si="198"/>
        <v>0</v>
      </c>
      <c r="W433" s="133">
        <f t="shared" si="194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30400016</v>
      </c>
      <c r="B434" s="151" t="s">
        <v>513</v>
      </c>
      <c r="C434" s="126" t="s">
        <v>186</v>
      </c>
      <c r="D434" s="108">
        <v>5.03</v>
      </c>
      <c r="E434" s="108"/>
      <c r="F434" s="127"/>
      <c r="G434" s="128"/>
      <c r="H434" s="488">
        <f t="shared" si="195"/>
        <v>0</v>
      </c>
      <c r="I434" s="129"/>
      <c r="J434" s="130" t="str">
        <f t="array" ref="J434">IF(ISERROR(G434/I434),"",G434/I434)</f>
        <v/>
      </c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479"/>
      <c r="P434" s="479"/>
      <c r="Q434" s="479"/>
      <c r="R434" s="479"/>
      <c r="S434" s="479"/>
      <c r="T434" s="479"/>
      <c r="U434" s="479"/>
      <c r="V434" s="132">
        <f t="shared" si="198"/>
        <v>0</v>
      </c>
      <c r="W434" s="133" t="str">
        <f t="shared" si="194"/>
        <v/>
      </c>
      <c r="X434" s="132"/>
      <c r="Y434" s="132"/>
      <c r="Z434" s="132"/>
      <c r="AA434" s="132"/>
    </row>
    <row r="435" spans="1:27" ht="20.100000000000001" hidden="1" customHeight="1">
      <c r="A435" s="299">
        <v>30400017</v>
      </c>
      <c r="B435" s="151" t="s">
        <v>513</v>
      </c>
      <c r="C435" s="126" t="s">
        <v>195</v>
      </c>
      <c r="D435" s="108">
        <v>5.03</v>
      </c>
      <c r="E435" s="108"/>
      <c r="F435" s="127"/>
      <c r="G435" s="128"/>
      <c r="H435" s="488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9.3000000000000007</v>
      </c>
      <c r="M435" s="109">
        <f t="shared" si="196"/>
        <v>0</v>
      </c>
      <c r="N435" s="130">
        <f t="shared" si="197"/>
        <v>0</v>
      </c>
      <c r="O435" s="479"/>
      <c r="P435" s="479"/>
      <c r="Q435" s="479"/>
      <c r="R435" s="479"/>
      <c r="S435" s="479"/>
      <c r="T435" s="479"/>
      <c r="U435" s="479"/>
      <c r="V435" s="132">
        <f t="shared" si="198"/>
        <v>0</v>
      </c>
      <c r="W435" s="133" t="str">
        <f t="shared" si="194"/>
        <v/>
      </c>
      <c r="X435" s="132"/>
      <c r="Y435" s="132"/>
      <c r="Z435" s="132"/>
      <c r="AA435" s="132"/>
    </row>
    <row r="436" spans="1:27" ht="20.100000000000001" hidden="1" customHeight="1">
      <c r="A436" s="299">
        <v>30400015</v>
      </c>
      <c r="B436" s="151" t="s">
        <v>512</v>
      </c>
      <c r="C436" s="126" t="s">
        <v>218</v>
      </c>
      <c r="D436" s="108">
        <v>5.03</v>
      </c>
      <c r="E436" s="108"/>
      <c r="F436" s="127"/>
      <c r="G436" s="128"/>
      <c r="H436" s="488">
        <f t="shared" si="195"/>
        <v>0</v>
      </c>
      <c r="I436" s="129"/>
      <c r="J436" s="130"/>
      <c r="K436" s="131">
        <f t="array" ref="K436">IF(ISERROR(G436/L436),"",G436/L436)</f>
        <v>0</v>
      </c>
      <c r="L436" s="129">
        <v>9.3000000000000007</v>
      </c>
      <c r="M436" s="109">
        <f t="shared" si="196"/>
        <v>0</v>
      </c>
      <c r="N436" s="130">
        <f t="shared" si="197"/>
        <v>0</v>
      </c>
      <c r="O436" s="479"/>
      <c r="P436" s="479"/>
      <c r="Q436" s="479"/>
      <c r="R436" s="479"/>
      <c r="S436" s="479"/>
      <c r="T436" s="479"/>
      <c r="U436" s="479"/>
      <c r="V436" s="132"/>
      <c r="W436" s="133"/>
      <c r="X436" s="132"/>
      <c r="Y436" s="132"/>
      <c r="Z436" s="132"/>
      <c r="AA436" s="132"/>
    </row>
    <row r="437" spans="1:27" ht="20.100000000000001" hidden="1" customHeight="1">
      <c r="A437" s="304">
        <v>30600004</v>
      </c>
      <c r="B437" s="151" t="s">
        <v>219</v>
      </c>
      <c r="C437" s="126" t="s">
        <v>179</v>
      </c>
      <c r="D437" s="108">
        <v>5.03</v>
      </c>
      <c r="E437" s="108"/>
      <c r="F437" s="127"/>
      <c r="G437" s="128"/>
      <c r="H437" s="488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9"/>
      <c r="P437" s="479"/>
      <c r="Q437" s="479"/>
      <c r="R437" s="479"/>
      <c r="S437" s="479"/>
      <c r="T437" s="479"/>
      <c r="U437" s="47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30600001</v>
      </c>
      <c r="B438" s="151" t="s">
        <v>219</v>
      </c>
      <c r="C438" s="126" t="s">
        <v>181</v>
      </c>
      <c r="D438" s="108">
        <v>5.03</v>
      </c>
      <c r="E438" s="108"/>
      <c r="F438" s="127"/>
      <c r="G438" s="128"/>
      <c r="H438" s="488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9"/>
      <c r="P438" s="479"/>
      <c r="Q438" s="479"/>
      <c r="R438" s="479"/>
      <c r="S438" s="479"/>
      <c r="T438" s="479"/>
      <c r="U438" s="47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30600002</v>
      </c>
      <c r="B439" s="151" t="s">
        <v>219</v>
      </c>
      <c r="C439" s="126" t="s">
        <v>186</v>
      </c>
      <c r="D439" s="108">
        <v>5.03</v>
      </c>
      <c r="E439" s="108"/>
      <c r="F439" s="127"/>
      <c r="G439" s="128"/>
      <c r="H439" s="488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8</v>
      </c>
      <c r="M439" s="109">
        <f>IF(ISERROR(I439-K439),"",I439-K439)</f>
        <v>0</v>
      </c>
      <c r="N439" s="130">
        <f>SUM(O439:U439)</f>
        <v>0</v>
      </c>
      <c r="O439" s="479"/>
      <c r="P439" s="479"/>
      <c r="Q439" s="479"/>
      <c r="R439" s="479"/>
      <c r="S439" s="479"/>
      <c r="T439" s="479"/>
      <c r="U439" s="479"/>
      <c r="V439" s="132">
        <f>SUM(X439:AA439)</f>
        <v>0</v>
      </c>
      <c r="W439" s="133" t="str">
        <f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>
        <v>30600003</v>
      </c>
      <c r="B440" s="151" t="s">
        <v>219</v>
      </c>
      <c r="C440" s="195" t="s">
        <v>89</v>
      </c>
      <c r="D440" s="108">
        <v>5.03</v>
      </c>
      <c r="E440" s="108"/>
      <c r="F440" s="127"/>
      <c r="G440" s="128"/>
      <c r="H440" s="488">
        <f t="shared" si="195"/>
        <v>0</v>
      </c>
      <c r="I440" s="129"/>
      <c r="J440" s="130" t="str">
        <f t="array" ref="J440">IF(ISERROR(G440/I440),"",G440/I440)</f>
        <v/>
      </c>
      <c r="K440" s="131">
        <f t="array" ref="K440">IF(ISERROR(G440/L440),"",G440/L440)</f>
        <v>0</v>
      </c>
      <c r="L440" s="129">
        <v>8</v>
      </c>
      <c r="M440" s="109">
        <f>IF(ISERROR(I440-K440),"",I440-K440)</f>
        <v>0</v>
      </c>
      <c r="N440" s="130">
        <f>SUM(O440:U440)</f>
        <v>0</v>
      </c>
      <c r="O440" s="479"/>
      <c r="P440" s="479"/>
      <c r="Q440" s="479"/>
      <c r="R440" s="479"/>
      <c r="S440" s="479"/>
      <c r="T440" s="479"/>
      <c r="U440" s="479"/>
      <c r="V440" s="132">
        <f>SUM(X440:AA440)</f>
        <v>0</v>
      </c>
      <c r="W440" s="133" t="str">
        <f>IF(ISERROR(V440/G440),"",V440/G440)</f>
        <v/>
      </c>
      <c r="X440" s="132"/>
      <c r="Y440" s="132"/>
      <c r="Z440" s="132"/>
      <c r="AA440" s="132"/>
    </row>
    <row r="441" spans="1:27" ht="20.100000000000001" hidden="1" customHeight="1">
      <c r="A441" s="304">
        <v>30400030</v>
      </c>
      <c r="B441" s="151" t="s">
        <v>220</v>
      </c>
      <c r="C441" s="126" t="s">
        <v>179</v>
      </c>
      <c r="D441" s="108">
        <v>5.03</v>
      </c>
      <c r="E441" s="108"/>
      <c r="F441" s="127"/>
      <c r="G441" s="128"/>
      <c r="H441" s="488">
        <f t="shared" si="195"/>
        <v>0</v>
      </c>
      <c r="I441" s="129"/>
      <c r="J441" s="130" t="str">
        <f t="array" ref="J441">IF(ISERROR(G441/I441),"",G441/I441)</f>
        <v/>
      </c>
      <c r="K441" s="131">
        <f t="array" ref="K441">IF(ISERROR(G441/L441),"",G441/L441)</f>
        <v>0</v>
      </c>
      <c r="L441" s="129">
        <v>10</v>
      </c>
      <c r="M441" s="109">
        <f t="shared" ref="M441:M462" si="199">IF(ISERROR(I441-K441),"",I441-K441)</f>
        <v>0</v>
      </c>
      <c r="N441" s="130">
        <f t="shared" ref="N441:N456" si="200">SUM(O441:U441)</f>
        <v>0</v>
      </c>
      <c r="O441" s="479"/>
      <c r="P441" s="479"/>
      <c r="Q441" s="479"/>
      <c r="R441" s="479"/>
      <c r="S441" s="479"/>
      <c r="T441" s="479"/>
      <c r="U441" s="479"/>
      <c r="V441" s="132">
        <f t="shared" ref="V441:V444" si="201">SUM(X441:AA441)</f>
        <v>0</v>
      </c>
      <c r="W441" s="133" t="str">
        <f t="shared" ref="W441:W448" si="202">IF(ISERROR(V441/G441),"",V441/G441)</f>
        <v/>
      </c>
      <c r="X441" s="132"/>
      <c r="Y441" s="132"/>
      <c r="Z441" s="132"/>
      <c r="AA441" s="132"/>
    </row>
    <row r="442" spans="1:27" ht="20.100000000000001" hidden="1" customHeight="1">
      <c r="A442" s="304"/>
      <c r="B442" s="151" t="s">
        <v>220</v>
      </c>
      <c r="C442" s="126" t="s">
        <v>203</v>
      </c>
      <c r="D442" s="108">
        <v>5.03</v>
      </c>
      <c r="E442" s="108"/>
      <c r="F442" s="127"/>
      <c r="G442" s="128"/>
      <c r="H442" s="488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479"/>
      <c r="P442" s="479"/>
      <c r="Q442" s="479"/>
      <c r="R442" s="479"/>
      <c r="S442" s="479"/>
      <c r="T442" s="479"/>
      <c r="U442" s="47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hidden="1" customHeight="1">
      <c r="A443" s="304"/>
      <c r="B443" s="151" t="s">
        <v>220</v>
      </c>
      <c r="C443" s="126" t="s">
        <v>186</v>
      </c>
      <c r="D443" s="108">
        <v>5.03</v>
      </c>
      <c r="E443" s="108"/>
      <c r="F443" s="127"/>
      <c r="G443" s="128"/>
      <c r="H443" s="488">
        <f t="shared" si="195"/>
        <v>0</v>
      </c>
      <c r="I443" s="129"/>
      <c r="J443" s="130" t="str">
        <f t="array" ref="J443">IF(ISERROR(G443/I443),"",G443/I443)</f>
        <v/>
      </c>
      <c r="K443" s="131" t="str">
        <f t="array" ref="K443">IF(ISERROR(G443/L443),"",G443/L443)</f>
        <v/>
      </c>
      <c r="L443" s="129"/>
      <c r="M443" s="109" t="str">
        <f t="shared" si="199"/>
        <v/>
      </c>
      <c r="N443" s="130">
        <f t="shared" si="200"/>
        <v>0</v>
      </c>
      <c r="O443" s="479"/>
      <c r="P443" s="479"/>
      <c r="Q443" s="479"/>
      <c r="R443" s="479"/>
      <c r="S443" s="479"/>
      <c r="T443" s="479"/>
      <c r="U443" s="479"/>
      <c r="V443" s="132">
        <f t="shared" si="201"/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hidden="1" customHeight="1">
      <c r="A444" s="304">
        <v>30401031</v>
      </c>
      <c r="B444" s="151" t="s">
        <v>220</v>
      </c>
      <c r="C444" s="126" t="s">
        <v>195</v>
      </c>
      <c r="D444" s="108">
        <v>5.03</v>
      </c>
      <c r="E444" s="108"/>
      <c r="F444" s="127"/>
      <c r="G444" s="128"/>
      <c r="H444" s="488">
        <f t="shared" si="195"/>
        <v>0</v>
      </c>
      <c r="I444" s="129"/>
      <c r="J444" s="130" t="str">
        <f t="array" ref="J444">IF(ISERROR(G444/I444),"",G444/I444)</f>
        <v/>
      </c>
      <c r="K444" s="131" t="str">
        <f t="array" ref="K444">IF(ISERROR(G444/L444),"",G444/L444)</f>
        <v/>
      </c>
      <c r="L444" s="129"/>
      <c r="M444" s="109" t="str">
        <f t="shared" si="199"/>
        <v/>
      </c>
      <c r="N444" s="130">
        <f t="shared" si="200"/>
        <v>0</v>
      </c>
      <c r="O444" s="479"/>
      <c r="P444" s="479"/>
      <c r="Q444" s="479"/>
      <c r="R444" s="479"/>
      <c r="S444" s="479"/>
      <c r="T444" s="479"/>
      <c r="U444" s="479"/>
      <c r="V444" s="132">
        <f t="shared" si="201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30600005</v>
      </c>
      <c r="B445" s="480" t="s">
        <v>222</v>
      </c>
      <c r="C445" s="126" t="s">
        <v>181</v>
      </c>
      <c r="D445" s="108">
        <v>9.36</v>
      </c>
      <c r="E445" s="108"/>
      <c r="F445" s="127"/>
      <c r="G445" s="128"/>
      <c r="H445" s="488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479"/>
      <c r="P445" s="479"/>
      <c r="Q445" s="479"/>
      <c r="R445" s="479"/>
      <c r="S445" s="479"/>
      <c r="T445" s="479"/>
      <c r="U445" s="479"/>
      <c r="V445" s="132">
        <f t="shared" ref="V445:V448" si="203">SUM(X445:AA445)</f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30600008</v>
      </c>
      <c r="B446" s="480" t="s">
        <v>222</v>
      </c>
      <c r="C446" s="126" t="s">
        <v>179</v>
      </c>
      <c r="D446" s="108">
        <v>9.36</v>
      </c>
      <c r="E446" s="108"/>
      <c r="F446" s="127"/>
      <c r="G446" s="128"/>
      <c r="H446" s="488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479"/>
      <c r="P446" s="479"/>
      <c r="Q446" s="479"/>
      <c r="R446" s="479"/>
      <c r="S446" s="479"/>
      <c r="T446" s="479"/>
      <c r="U446" s="47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hidden="1" customHeight="1">
      <c r="A447" s="304">
        <v>30600007</v>
      </c>
      <c r="B447" s="480" t="s">
        <v>222</v>
      </c>
      <c r="C447" s="126" t="s">
        <v>221</v>
      </c>
      <c r="D447" s="108">
        <v>9.36</v>
      </c>
      <c r="E447" s="108"/>
      <c r="F447" s="127"/>
      <c r="G447" s="128"/>
      <c r="H447" s="488">
        <f t="shared" si="195"/>
        <v>0</v>
      </c>
      <c r="I447" s="129"/>
      <c r="J447" s="130" t="str">
        <f t="array" ref="J447">IF(ISERROR(G447/I447),"",G447/I447)</f>
        <v/>
      </c>
      <c r="K447" s="131">
        <f t="array" ref="K447">IF(ISERROR(G447/L447),"",G447/L447)</f>
        <v>0</v>
      </c>
      <c r="L447" s="129">
        <v>6</v>
      </c>
      <c r="M447" s="109">
        <f t="shared" si="199"/>
        <v>0</v>
      </c>
      <c r="N447" s="130">
        <f t="shared" si="200"/>
        <v>0</v>
      </c>
      <c r="O447" s="479"/>
      <c r="P447" s="479"/>
      <c r="Q447" s="479"/>
      <c r="R447" s="479"/>
      <c r="S447" s="479"/>
      <c r="T447" s="479"/>
      <c r="U447" s="479"/>
      <c r="V447" s="132">
        <f t="shared" si="203"/>
        <v>0</v>
      </c>
      <c r="W447" s="133" t="str">
        <f t="shared" si="202"/>
        <v/>
      </c>
      <c r="X447" s="132"/>
      <c r="Y447" s="132"/>
      <c r="Z447" s="132"/>
      <c r="AA447" s="132"/>
    </row>
    <row r="448" spans="1:27" ht="20.100000000000001" hidden="1" customHeight="1">
      <c r="A448" s="304">
        <v>30600006</v>
      </c>
      <c r="B448" s="480" t="s">
        <v>222</v>
      </c>
      <c r="C448" s="126" t="s">
        <v>186</v>
      </c>
      <c r="D448" s="108">
        <v>9.36</v>
      </c>
      <c r="E448" s="108"/>
      <c r="F448" s="127"/>
      <c r="G448" s="128"/>
      <c r="H448" s="488">
        <f t="shared" si="195"/>
        <v>0</v>
      </c>
      <c r="I448" s="129"/>
      <c r="J448" s="130" t="str">
        <f t="array" ref="J448">IF(ISERROR(G448/I448),"",G448/I448)</f>
        <v/>
      </c>
      <c r="K448" s="131">
        <f t="array" ref="K448">IF(ISERROR(G448/L448),"",G448/L448)</f>
        <v>0</v>
      </c>
      <c r="L448" s="129">
        <v>6</v>
      </c>
      <c r="M448" s="109">
        <f t="shared" si="199"/>
        <v>0</v>
      </c>
      <c r="N448" s="130">
        <f t="shared" si="200"/>
        <v>0</v>
      </c>
      <c r="O448" s="479"/>
      <c r="P448" s="479"/>
      <c r="Q448" s="479"/>
      <c r="R448" s="479"/>
      <c r="S448" s="479"/>
      <c r="T448" s="479"/>
      <c r="U448" s="479"/>
      <c r="V448" s="132">
        <f t="shared" si="203"/>
        <v>0</v>
      </c>
      <c r="W448" s="133" t="str">
        <f t="shared" si="202"/>
        <v/>
      </c>
      <c r="X448" s="132"/>
      <c r="Y448" s="132"/>
      <c r="Z448" s="132"/>
      <c r="AA448" s="132"/>
    </row>
    <row r="449" spans="1:27" ht="20.100000000000001" hidden="1" customHeight="1">
      <c r="A449" s="299">
        <v>30400026</v>
      </c>
      <c r="B449" s="480" t="s">
        <v>393</v>
      </c>
      <c r="C449" s="187" t="s">
        <v>395</v>
      </c>
      <c r="D449" s="108">
        <v>5</v>
      </c>
      <c r="E449" s="108"/>
      <c r="F449" s="127"/>
      <c r="G449" s="128"/>
      <c r="H449" s="488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479"/>
      <c r="P449" s="479"/>
      <c r="Q449" s="479"/>
      <c r="R449" s="479"/>
      <c r="S449" s="479"/>
      <c r="T449" s="479"/>
      <c r="U449" s="47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>
        <v>30400028</v>
      </c>
      <c r="B450" s="480" t="s">
        <v>393</v>
      </c>
      <c r="C450" s="187" t="s">
        <v>402</v>
      </c>
      <c r="D450" s="108">
        <v>5</v>
      </c>
      <c r="E450" s="108"/>
      <c r="F450" s="127"/>
      <c r="G450" s="128"/>
      <c r="H450" s="488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479"/>
      <c r="P450" s="479"/>
      <c r="Q450" s="479"/>
      <c r="R450" s="479"/>
      <c r="S450" s="479"/>
      <c r="T450" s="479"/>
      <c r="U450" s="47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30400027</v>
      </c>
      <c r="B451" s="480" t="s">
        <v>404</v>
      </c>
      <c r="C451" s="187" t="s">
        <v>405</v>
      </c>
      <c r="D451" s="108">
        <v>5</v>
      </c>
      <c r="E451" s="108"/>
      <c r="F451" s="127"/>
      <c r="G451" s="128"/>
      <c r="H451" s="488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479"/>
      <c r="P451" s="479"/>
      <c r="Q451" s="479"/>
      <c r="R451" s="479"/>
      <c r="S451" s="479"/>
      <c r="T451" s="479"/>
      <c r="U451" s="47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/>
      <c r="B452" s="480" t="s">
        <v>342</v>
      </c>
      <c r="C452" s="187" t="s">
        <v>372</v>
      </c>
      <c r="D452" s="108">
        <v>5</v>
      </c>
      <c r="E452" s="108"/>
      <c r="F452" s="127"/>
      <c r="G452" s="128"/>
      <c r="H452" s="488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479"/>
      <c r="P452" s="479"/>
      <c r="Q452" s="479"/>
      <c r="R452" s="479"/>
      <c r="S452" s="479"/>
      <c r="T452" s="479"/>
      <c r="U452" s="47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30600009</v>
      </c>
      <c r="B453" s="480" t="s">
        <v>343</v>
      </c>
      <c r="C453" s="126" t="s">
        <v>345</v>
      </c>
      <c r="D453" s="108">
        <v>5</v>
      </c>
      <c r="E453" s="108"/>
      <c r="F453" s="127"/>
      <c r="G453" s="128"/>
      <c r="H453" s="488">
        <f t="shared" si="195"/>
        <v>0</v>
      </c>
      <c r="I453" s="129"/>
      <c r="J453" s="130"/>
      <c r="K453" s="131">
        <f t="array" ref="K453">IF(ISERROR(G453/L453),"",G453/L453)</f>
        <v>0</v>
      </c>
      <c r="L453" s="129">
        <v>5</v>
      </c>
      <c r="M453" s="109">
        <f t="shared" si="199"/>
        <v>0</v>
      </c>
      <c r="N453" s="130">
        <f t="shared" si="200"/>
        <v>0</v>
      </c>
      <c r="O453" s="479"/>
      <c r="P453" s="479"/>
      <c r="Q453" s="479"/>
      <c r="R453" s="479"/>
      <c r="S453" s="479"/>
      <c r="T453" s="479"/>
      <c r="U453" s="479"/>
      <c r="V453" s="132"/>
      <c r="W453" s="133"/>
      <c r="X453" s="132"/>
      <c r="Y453" s="132"/>
      <c r="Z453" s="132"/>
      <c r="AA453" s="132"/>
    </row>
    <row r="454" spans="1:27" ht="20.100000000000001" hidden="1" customHeight="1">
      <c r="A454" s="299">
        <v>30600010</v>
      </c>
      <c r="B454" s="480" t="s">
        <v>343</v>
      </c>
      <c r="C454" s="126" t="s">
        <v>347</v>
      </c>
      <c r="D454" s="108">
        <v>5</v>
      </c>
      <c r="E454" s="108"/>
      <c r="F454" s="127"/>
      <c r="G454" s="128"/>
      <c r="H454" s="488">
        <f t="shared" si="195"/>
        <v>0</v>
      </c>
      <c r="I454" s="129"/>
      <c r="J454" s="130"/>
      <c r="K454" s="131">
        <f t="array" ref="K454">IF(ISERROR(G454/L454),"",G454/L454)</f>
        <v>0</v>
      </c>
      <c r="L454" s="129">
        <v>5</v>
      </c>
      <c r="M454" s="109">
        <f t="shared" si="199"/>
        <v>0</v>
      </c>
      <c r="N454" s="130">
        <f t="shared" si="200"/>
        <v>0</v>
      </c>
      <c r="O454" s="479"/>
      <c r="P454" s="479"/>
      <c r="Q454" s="479"/>
      <c r="R454" s="479"/>
      <c r="S454" s="479"/>
      <c r="T454" s="479"/>
      <c r="U454" s="479"/>
      <c r="V454" s="132"/>
      <c r="W454" s="133"/>
      <c r="X454" s="132"/>
      <c r="Y454" s="132"/>
      <c r="Z454" s="132"/>
      <c r="AA454" s="132"/>
    </row>
    <row r="455" spans="1:27" ht="20.100000000000001" hidden="1" customHeight="1">
      <c r="A455" s="299">
        <v>30400001</v>
      </c>
      <c r="B455" s="151" t="s">
        <v>514</v>
      </c>
      <c r="C455" s="126" t="s">
        <v>187</v>
      </c>
      <c r="D455" s="108">
        <v>5.0599999999999996</v>
      </c>
      <c r="E455" s="108"/>
      <c r="F455" s="127"/>
      <c r="G455" s="128"/>
      <c r="H455" s="488">
        <f t="shared" si="195"/>
        <v>0</v>
      </c>
      <c r="I455" s="129"/>
      <c r="J455" s="130" t="str">
        <f t="array" ref="J455">IF(ISERROR(G455/I455),"",G455/I455)</f>
        <v/>
      </c>
      <c r="K455" s="131">
        <f t="array" ref="K455">IF(ISERROR(G455/L455),"",G455/L455)</f>
        <v>0</v>
      </c>
      <c r="L455" s="129">
        <v>15.5</v>
      </c>
      <c r="M455" s="109">
        <f t="shared" si="199"/>
        <v>0</v>
      </c>
      <c r="N455" s="130">
        <f t="shared" si="200"/>
        <v>0</v>
      </c>
      <c r="O455" s="479"/>
      <c r="P455" s="479"/>
      <c r="Q455" s="479"/>
      <c r="R455" s="479"/>
      <c r="S455" s="479"/>
      <c r="T455" s="479"/>
      <c r="U455" s="479"/>
      <c r="V455" s="132">
        <f t="shared" ref="V455:V456" si="204">SUM(X455:AA455)</f>
        <v>0</v>
      </c>
      <c r="W455" s="133" t="str">
        <f t="shared" ref="W455:W456" si="205">IF(ISERROR(V455/G455),"",V455/G455)</f>
        <v/>
      </c>
      <c r="X455" s="132"/>
      <c r="Y455" s="132"/>
      <c r="Z455" s="132"/>
      <c r="AA455" s="132"/>
    </row>
    <row r="456" spans="1:27" ht="20.100000000000001" hidden="1" customHeight="1">
      <c r="A456" s="299">
        <v>30400002</v>
      </c>
      <c r="B456" s="151" t="s">
        <v>514</v>
      </c>
      <c r="C456" s="126" t="s">
        <v>203</v>
      </c>
      <c r="D456" s="108">
        <v>5.0599999999999996</v>
      </c>
      <c r="E456" s="108"/>
      <c r="F456" s="127"/>
      <c r="G456" s="128"/>
      <c r="H456" s="488">
        <f t="shared" si="195"/>
        <v>0</v>
      </c>
      <c r="I456" s="129"/>
      <c r="J456" s="130" t="str">
        <f t="array" ref="J456">IF(ISERROR(G456/I456),"",G456/I456)</f>
        <v/>
      </c>
      <c r="K456" s="131">
        <f t="array" ref="K456">IF(ISERROR(G456/L456),"",G456/L456)</f>
        <v>0</v>
      </c>
      <c r="L456" s="129">
        <v>15.5</v>
      </c>
      <c r="M456" s="109">
        <f t="shared" si="199"/>
        <v>0</v>
      </c>
      <c r="N456" s="130">
        <f t="shared" si="200"/>
        <v>0</v>
      </c>
      <c r="O456" s="479"/>
      <c r="P456" s="479"/>
      <c r="Q456" s="479"/>
      <c r="R456" s="479"/>
      <c r="S456" s="479"/>
      <c r="T456" s="479"/>
      <c r="U456" s="479"/>
      <c r="V456" s="132">
        <f t="shared" si="204"/>
        <v>0</v>
      </c>
      <c r="W456" s="133" t="str">
        <f t="shared" si="205"/>
        <v/>
      </c>
      <c r="X456" s="132"/>
      <c r="Y456" s="132"/>
      <c r="Z456" s="132"/>
      <c r="AA456" s="132"/>
    </row>
    <row r="457" spans="1:27" ht="20.100000000000001" hidden="1" customHeight="1">
      <c r="A457" s="299">
        <v>30400004</v>
      </c>
      <c r="B457" s="151" t="s">
        <v>419</v>
      </c>
      <c r="C457" s="187" t="s">
        <v>73</v>
      </c>
      <c r="D457" s="108"/>
      <c r="E457" s="108"/>
      <c r="F457" s="127"/>
      <c r="G457" s="128"/>
      <c r="H457" s="488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479"/>
      <c r="P457" s="479"/>
      <c r="Q457" s="479"/>
      <c r="R457" s="479"/>
      <c r="S457" s="479"/>
      <c r="T457" s="479"/>
      <c r="U457" s="47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30400003</v>
      </c>
      <c r="B458" s="151" t="s">
        <v>419</v>
      </c>
      <c r="C458" s="187" t="s">
        <v>60</v>
      </c>
      <c r="D458" s="108"/>
      <c r="E458" s="108"/>
      <c r="F458" s="127"/>
      <c r="G458" s="128"/>
      <c r="H458" s="488">
        <f t="shared" si="195"/>
        <v>0</v>
      </c>
      <c r="I458" s="129"/>
      <c r="J458" s="130"/>
      <c r="K458" s="131">
        <f t="array" ref="K458">IF(ISERROR(G458/L458),"",G458/L458)</f>
        <v>0</v>
      </c>
      <c r="L458" s="129">
        <v>24</v>
      </c>
      <c r="M458" s="109">
        <f t="shared" si="199"/>
        <v>0</v>
      </c>
      <c r="N458" s="130"/>
      <c r="O458" s="479"/>
      <c r="P458" s="479"/>
      <c r="Q458" s="479"/>
      <c r="R458" s="479"/>
      <c r="S458" s="479"/>
      <c r="T458" s="479"/>
      <c r="U458" s="479"/>
      <c r="V458" s="132"/>
      <c r="W458" s="133"/>
      <c r="X458" s="132"/>
      <c r="Y458" s="132"/>
      <c r="Z458" s="132"/>
      <c r="AA458" s="132"/>
    </row>
    <row r="459" spans="1:27" ht="20.100000000000001" hidden="1" customHeight="1">
      <c r="A459" s="299">
        <v>30400005</v>
      </c>
      <c r="B459" s="151" t="s">
        <v>419</v>
      </c>
      <c r="C459" s="187" t="s">
        <v>422</v>
      </c>
      <c r="D459" s="108"/>
      <c r="E459" s="108"/>
      <c r="F459" s="127"/>
      <c r="G459" s="128"/>
      <c r="H459" s="488">
        <f t="shared" si="195"/>
        <v>0</v>
      </c>
      <c r="I459" s="129"/>
      <c r="J459" s="130"/>
      <c r="K459" s="131">
        <f t="array" ref="K459">IF(ISERROR(G459/L459),"",G459/L459)</f>
        <v>0</v>
      </c>
      <c r="L459" s="129">
        <v>24</v>
      </c>
      <c r="M459" s="109">
        <f t="shared" si="199"/>
        <v>0</v>
      </c>
      <c r="N459" s="130"/>
      <c r="O459" s="479"/>
      <c r="P459" s="479"/>
      <c r="Q459" s="479"/>
      <c r="R459" s="479"/>
      <c r="S459" s="479"/>
      <c r="T459" s="479"/>
      <c r="U459" s="479"/>
      <c r="V459" s="132"/>
      <c r="W459" s="133"/>
      <c r="X459" s="132"/>
      <c r="Y459" s="132"/>
      <c r="Z459" s="132"/>
      <c r="AA459" s="132"/>
    </row>
    <row r="460" spans="1:27" ht="20.100000000000001" hidden="1" customHeight="1">
      <c r="A460" s="299">
        <v>30400007</v>
      </c>
      <c r="B460" s="151" t="s">
        <v>223</v>
      </c>
      <c r="C460" s="126" t="s">
        <v>204</v>
      </c>
      <c r="D460" s="108">
        <v>5.07</v>
      </c>
      <c r="E460" s="108"/>
      <c r="F460" s="127"/>
      <c r="G460" s="128"/>
      <c r="H460" s="488">
        <f t="shared" si="195"/>
        <v>0</v>
      </c>
      <c r="I460" s="129"/>
      <c r="J460" s="130" t="str">
        <f t="array" ref="J460">IF(ISERROR(G460/I460),"",G460/I460)</f>
        <v/>
      </c>
      <c r="K460" s="131">
        <f t="array" ref="K460">IF(ISERROR(G460/L460),"",G460/L460)</f>
        <v>0</v>
      </c>
      <c r="L460" s="129">
        <v>9</v>
      </c>
      <c r="M460" s="109">
        <f t="shared" si="199"/>
        <v>0</v>
      </c>
      <c r="N460" s="130">
        <f t="shared" ref="N460:N462" si="206">SUM(O460:U460)</f>
        <v>0</v>
      </c>
      <c r="O460" s="479"/>
      <c r="P460" s="479"/>
      <c r="Q460" s="479"/>
      <c r="R460" s="479"/>
      <c r="S460" s="479"/>
      <c r="T460" s="479"/>
      <c r="U460" s="479"/>
      <c r="V460" s="132">
        <f t="shared" ref="V460:V462" si="207">SUM(X460:AA460)</f>
        <v>0</v>
      </c>
      <c r="W460" s="133" t="str">
        <f t="shared" ref="W460:W484" si="208">IF(ISERROR(V460/G460),"",V460/G460)</f>
        <v/>
      </c>
      <c r="X460" s="132"/>
      <c r="Y460" s="132"/>
      <c r="Z460" s="132"/>
      <c r="AA460" s="132"/>
    </row>
    <row r="461" spans="1:27" ht="20.100000000000001" hidden="1" customHeight="1">
      <c r="A461" s="299">
        <v>30400006</v>
      </c>
      <c r="B461" s="151" t="s">
        <v>223</v>
      </c>
      <c r="C461" s="126" t="s">
        <v>179</v>
      </c>
      <c r="D461" s="108">
        <v>5.07</v>
      </c>
      <c r="E461" s="108"/>
      <c r="F461" s="127"/>
      <c r="G461" s="128"/>
      <c r="H461" s="488">
        <f t="shared" si="195"/>
        <v>0</v>
      </c>
      <c r="I461" s="129"/>
      <c r="J461" s="130" t="str">
        <f t="array" ref="J461">IF(ISERROR(G461/I461),"",G461/I461)</f>
        <v/>
      </c>
      <c r="K461" s="131">
        <f t="array" ref="K461">IF(ISERROR(G461/L461),"",G461/L461)</f>
        <v>0</v>
      </c>
      <c r="L461" s="129">
        <v>9</v>
      </c>
      <c r="M461" s="109">
        <f t="shared" si="199"/>
        <v>0</v>
      </c>
      <c r="N461" s="130">
        <f t="shared" si="206"/>
        <v>0</v>
      </c>
      <c r="O461" s="479"/>
      <c r="P461" s="479"/>
      <c r="Q461" s="479"/>
      <c r="R461" s="479"/>
      <c r="S461" s="479"/>
      <c r="T461" s="479"/>
      <c r="U461" s="479"/>
      <c r="V461" s="132">
        <f t="shared" si="207"/>
        <v>0</v>
      </c>
      <c r="W461" s="133" t="str">
        <f t="shared" si="208"/>
        <v/>
      </c>
      <c r="X461" s="132"/>
      <c r="Y461" s="132"/>
      <c r="Z461" s="132"/>
      <c r="AA461" s="132"/>
    </row>
    <row r="462" spans="1:27" ht="20.100000000000001" hidden="1" customHeight="1">
      <c r="A462" s="299">
        <v>30400006</v>
      </c>
      <c r="B462" s="151" t="s">
        <v>223</v>
      </c>
      <c r="C462" s="126" t="s">
        <v>186</v>
      </c>
      <c r="D462" s="108">
        <v>5.0599999999999996</v>
      </c>
      <c r="E462" s="108"/>
      <c r="F462" s="153"/>
      <c r="G462" s="128"/>
      <c r="H462" s="488">
        <f t="shared" si="195"/>
        <v>0</v>
      </c>
      <c r="I462" s="129"/>
      <c r="J462" s="130" t="str">
        <f t="array" ref="J462">IF(ISERROR(G462/I462),"",G462/I462)</f>
        <v/>
      </c>
      <c r="K462" s="488">
        <f t="array" ref="K462">IF(ISERROR(G462/L462),"",G462/L462)</f>
        <v>0</v>
      </c>
      <c r="L462" s="129">
        <v>9</v>
      </c>
      <c r="M462" s="109">
        <f t="shared" si="199"/>
        <v>0</v>
      </c>
      <c r="N462" s="130">
        <f t="shared" si="206"/>
        <v>0</v>
      </c>
      <c r="O462" s="479"/>
      <c r="P462" s="479"/>
      <c r="Q462" s="479"/>
      <c r="R462" s="479"/>
      <c r="S462" s="479"/>
      <c r="T462" s="479"/>
      <c r="U462" s="479"/>
      <c r="V462" s="132">
        <f t="shared" si="207"/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618" t="s">
        <v>224</v>
      </c>
      <c r="B463" s="619"/>
      <c r="C463" s="486" t="s">
        <v>202</v>
      </c>
      <c r="D463" s="143"/>
      <c r="E463" s="143"/>
      <c r="F463" s="144"/>
      <c r="G463" s="145">
        <f>SUM(G429:G462)</f>
        <v>1083</v>
      </c>
      <c r="H463" s="146">
        <f>SUM(H429:H462)</f>
        <v>5447.49</v>
      </c>
      <c r="I463" s="146">
        <f>SUM(I429:I462)</f>
        <v>100</v>
      </c>
      <c r="J463" s="130">
        <f t="array" ref="J463">IF(ISERROR(G463/I463),"",G463/I463)</f>
        <v>10.83</v>
      </c>
      <c r="K463" s="146">
        <f>SUM(K429:K462)</f>
        <v>122.45723362658846</v>
      </c>
      <c r="L463" s="147"/>
      <c r="M463" s="150">
        <f t="shared" ref="M463:V463" si="209">SUM(M429:M462)</f>
        <v>-22.457233626588462</v>
      </c>
      <c r="N463" s="146">
        <f t="shared" si="209"/>
        <v>0</v>
      </c>
      <c r="O463" s="148">
        <f t="shared" si="209"/>
        <v>0</v>
      </c>
      <c r="P463" s="148">
        <f t="shared" si="209"/>
        <v>0</v>
      </c>
      <c r="Q463" s="148">
        <f t="shared" si="209"/>
        <v>0</v>
      </c>
      <c r="R463" s="148">
        <f t="shared" si="209"/>
        <v>0</v>
      </c>
      <c r="S463" s="148">
        <f t="shared" si="209"/>
        <v>0</v>
      </c>
      <c r="T463" s="148">
        <f t="shared" si="209"/>
        <v>0</v>
      </c>
      <c r="U463" s="148">
        <f t="shared" si="209"/>
        <v>0</v>
      </c>
      <c r="V463" s="149">
        <f t="shared" si="209"/>
        <v>0</v>
      </c>
      <c r="W463" s="133">
        <f t="shared" si="208"/>
        <v>0</v>
      </c>
      <c r="X463" s="149">
        <f>SUM(X429:X462)</f>
        <v>0</v>
      </c>
      <c r="Y463" s="149">
        <f>SUM(Y429:Y462)</f>
        <v>0</v>
      </c>
      <c r="Z463" s="149">
        <f>SUM(Z429:Z462)</f>
        <v>0</v>
      </c>
      <c r="AA463" s="149">
        <f>SUM(AA429:AA462)</f>
        <v>0</v>
      </c>
    </row>
    <row r="464" spans="1:27" ht="20.100000000000001" hidden="1" customHeight="1">
      <c r="A464" s="299">
        <v>30100038</v>
      </c>
      <c r="B464" s="134" t="s">
        <v>225</v>
      </c>
      <c r="C464" s="126" t="s">
        <v>226</v>
      </c>
      <c r="D464" s="108">
        <v>5.03</v>
      </c>
      <c r="E464" s="108"/>
      <c r="F464" s="127"/>
      <c r="G464" s="128"/>
      <c r="H464" s="488">
        <f t="shared" ref="H464:H478" si="210">D464*G464</f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25</v>
      </c>
      <c r="M464" s="109">
        <f t="shared" ref="M464:M478" si="211">IF(ISERROR(I464-K464),"",I464-K464)</f>
        <v>0</v>
      </c>
      <c r="N464" s="130">
        <f t="shared" ref="N464:N478" si="212">SUM(O464:U464)</f>
        <v>0</v>
      </c>
      <c r="O464" s="479"/>
      <c r="P464" s="479"/>
      <c r="Q464" s="479"/>
      <c r="R464" s="479"/>
      <c r="S464" s="479"/>
      <c r="T464" s="479"/>
      <c r="U464" s="479"/>
      <c r="V464" s="132">
        <f t="shared" ref="V464:V478" si="213">SUM(X464:AA464)</f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hidden="1" customHeight="1">
      <c r="A465" s="299">
        <v>30100037</v>
      </c>
      <c r="B465" s="134" t="s">
        <v>225</v>
      </c>
      <c r="C465" s="126" t="s">
        <v>204</v>
      </c>
      <c r="D465" s="108">
        <v>5.03</v>
      </c>
      <c r="E465" s="108"/>
      <c r="F465" s="127"/>
      <c r="G465" s="128"/>
      <c r="H465" s="488">
        <f t="shared" si="210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25</v>
      </c>
      <c r="M465" s="109">
        <f t="shared" si="211"/>
        <v>0</v>
      </c>
      <c r="N465" s="130">
        <f t="shared" si="212"/>
        <v>0</v>
      </c>
      <c r="O465" s="479"/>
      <c r="P465" s="479"/>
      <c r="Q465" s="479"/>
      <c r="R465" s="479"/>
      <c r="S465" s="479"/>
      <c r="T465" s="479"/>
      <c r="U465" s="479"/>
      <c r="V465" s="132">
        <f t="shared" si="213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30100051</v>
      </c>
      <c r="B466" s="134" t="s">
        <v>184</v>
      </c>
      <c r="C466" s="126" t="s">
        <v>194</v>
      </c>
      <c r="D466" s="108">
        <v>5.04</v>
      </c>
      <c r="E466" s="108"/>
      <c r="F466" s="127"/>
      <c r="G466" s="128"/>
      <c r="H466" s="488">
        <f t="shared" si="210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20</v>
      </c>
      <c r="M466" s="109">
        <f t="shared" si="211"/>
        <v>0</v>
      </c>
      <c r="N466" s="130">
        <f t="shared" si="212"/>
        <v>0</v>
      </c>
      <c r="O466" s="479"/>
      <c r="P466" s="479"/>
      <c r="Q466" s="479"/>
      <c r="R466" s="479"/>
      <c r="S466" s="479"/>
      <c r="T466" s="479"/>
      <c r="U466" s="479"/>
      <c r="V466" s="132">
        <f t="shared" si="213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hidden="1" customHeight="1">
      <c r="A467" s="299"/>
      <c r="B467" s="140" t="s">
        <v>227</v>
      </c>
      <c r="C467" s="126" t="s">
        <v>212</v>
      </c>
      <c r="D467" s="108">
        <v>5.03</v>
      </c>
      <c r="E467" s="108"/>
      <c r="F467" s="127"/>
      <c r="G467" s="128"/>
      <c r="H467" s="488">
        <f t="shared" si="210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1"/>
        <v>0</v>
      </c>
      <c r="N467" s="130">
        <f t="shared" si="212"/>
        <v>0</v>
      </c>
      <c r="O467" s="479"/>
      <c r="P467" s="479"/>
      <c r="Q467" s="479"/>
      <c r="R467" s="479"/>
      <c r="S467" s="479"/>
      <c r="T467" s="479"/>
      <c r="U467" s="479"/>
      <c r="V467" s="132">
        <f t="shared" si="213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hidden="1" customHeight="1">
      <c r="A468" s="299">
        <v>30100054</v>
      </c>
      <c r="B468" s="140" t="s">
        <v>227</v>
      </c>
      <c r="C468" s="484" t="s">
        <v>203</v>
      </c>
      <c r="D468" s="108">
        <v>5.03</v>
      </c>
      <c r="E468" s="108"/>
      <c r="F468" s="127"/>
      <c r="G468" s="128"/>
      <c r="H468" s="488">
        <f t="shared" si="210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1"/>
        <v>0</v>
      </c>
      <c r="N468" s="130">
        <f t="shared" si="212"/>
        <v>0</v>
      </c>
      <c r="O468" s="479"/>
      <c r="P468" s="479"/>
      <c r="Q468" s="479"/>
      <c r="R468" s="479"/>
      <c r="S468" s="479"/>
      <c r="T468" s="479"/>
      <c r="U468" s="479"/>
      <c r="V468" s="132">
        <f t="shared" si="213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hidden="1" customHeight="1">
      <c r="A469" s="299">
        <v>30100053</v>
      </c>
      <c r="B469" s="140" t="s">
        <v>227</v>
      </c>
      <c r="C469" s="126" t="s">
        <v>199</v>
      </c>
      <c r="D469" s="108">
        <v>5.03</v>
      </c>
      <c r="E469" s="108"/>
      <c r="F469" s="127"/>
      <c r="G469" s="128"/>
      <c r="H469" s="488">
        <f t="shared" si="210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1"/>
        <v>0</v>
      </c>
      <c r="N469" s="130">
        <f t="shared" si="212"/>
        <v>0</v>
      </c>
      <c r="O469" s="479"/>
      <c r="P469" s="479"/>
      <c r="Q469" s="479"/>
      <c r="R469" s="479"/>
      <c r="S469" s="479"/>
      <c r="T469" s="479"/>
      <c r="U469" s="479"/>
      <c r="V469" s="132">
        <f t="shared" si="213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hidden="1" customHeight="1">
      <c r="A470" s="299"/>
      <c r="B470" s="140" t="s">
        <v>227</v>
      </c>
      <c r="C470" s="126" t="s">
        <v>186</v>
      </c>
      <c r="D470" s="108">
        <v>5.03</v>
      </c>
      <c r="E470" s="108"/>
      <c r="F470" s="127"/>
      <c r="G470" s="128"/>
      <c r="H470" s="488">
        <f t="shared" si="210"/>
        <v>0</v>
      </c>
      <c r="I470" s="129"/>
      <c r="J470" s="130" t="str">
        <f t="array" ref="J470">IF(ISERROR(G470/I470),"",G470/I470)</f>
        <v/>
      </c>
      <c r="K470" s="131">
        <f t="array" ref="K470">IF(ISERROR(G470/L470),"",G470/L470)</f>
        <v>0</v>
      </c>
      <c r="L470" s="129">
        <v>4</v>
      </c>
      <c r="M470" s="109">
        <f t="shared" si="211"/>
        <v>0</v>
      </c>
      <c r="N470" s="130">
        <f t="shared" si="212"/>
        <v>0</v>
      </c>
      <c r="O470" s="479"/>
      <c r="P470" s="479"/>
      <c r="Q470" s="479"/>
      <c r="R470" s="479"/>
      <c r="S470" s="479"/>
      <c r="T470" s="479"/>
      <c r="U470" s="479"/>
      <c r="V470" s="132">
        <f t="shared" si="213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hidden="1" customHeight="1">
      <c r="A471" s="299"/>
      <c r="B471" s="140" t="s">
        <v>227</v>
      </c>
      <c r="C471" s="484" t="s">
        <v>228</v>
      </c>
      <c r="D471" s="108">
        <v>5.03</v>
      </c>
      <c r="E471" s="108"/>
      <c r="F471" s="127"/>
      <c r="G471" s="128"/>
      <c r="H471" s="488">
        <f t="shared" si="210"/>
        <v>0</v>
      </c>
      <c r="I471" s="129"/>
      <c r="J471" s="130" t="str">
        <f t="array" ref="J471">IF(ISERROR(G471/I471),"",G471/I471)</f>
        <v/>
      </c>
      <c r="K471" s="131">
        <f t="array" ref="K471">IF(ISERROR(G471/L471),"",G471/L471)</f>
        <v>0</v>
      </c>
      <c r="L471" s="129">
        <v>4</v>
      </c>
      <c r="M471" s="109">
        <f t="shared" si="211"/>
        <v>0</v>
      </c>
      <c r="N471" s="130">
        <f t="shared" si="212"/>
        <v>0</v>
      </c>
      <c r="O471" s="479"/>
      <c r="P471" s="479"/>
      <c r="Q471" s="479"/>
      <c r="R471" s="479"/>
      <c r="S471" s="479"/>
      <c r="T471" s="479"/>
      <c r="U471" s="479"/>
      <c r="V471" s="132">
        <f t="shared" si="213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30101067</v>
      </c>
      <c r="B472" s="140" t="s">
        <v>229</v>
      </c>
      <c r="C472" s="484" t="s">
        <v>212</v>
      </c>
      <c r="D472" s="108">
        <v>5.03</v>
      </c>
      <c r="E472" s="108"/>
      <c r="F472" s="127"/>
      <c r="G472" s="128"/>
      <c r="H472" s="488">
        <f t="shared" si="210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1"/>
        <v/>
      </c>
      <c r="N472" s="130">
        <f t="shared" si="212"/>
        <v>0</v>
      </c>
      <c r="O472" s="479"/>
      <c r="P472" s="479"/>
      <c r="Q472" s="479"/>
      <c r="R472" s="479"/>
      <c r="S472" s="479"/>
      <c r="T472" s="479"/>
      <c r="U472" s="479"/>
      <c r="V472" s="132">
        <f t="shared" si="213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hidden="1" customHeight="1">
      <c r="A473" s="299">
        <v>30101068</v>
      </c>
      <c r="B473" s="140" t="s">
        <v>229</v>
      </c>
      <c r="C473" s="484" t="s">
        <v>203</v>
      </c>
      <c r="D473" s="108">
        <v>5.03</v>
      </c>
      <c r="E473" s="108"/>
      <c r="F473" s="127"/>
      <c r="G473" s="128"/>
      <c r="H473" s="488">
        <f t="shared" si="210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1"/>
        <v/>
      </c>
      <c r="N473" s="130">
        <f t="shared" si="212"/>
        <v>0</v>
      </c>
      <c r="O473" s="479"/>
      <c r="P473" s="479"/>
      <c r="Q473" s="479"/>
      <c r="R473" s="479"/>
      <c r="S473" s="479"/>
      <c r="T473" s="479"/>
      <c r="U473" s="479"/>
      <c r="V473" s="132">
        <f t="shared" si="213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hidden="1" customHeight="1">
      <c r="A474" s="299">
        <v>30101069</v>
      </c>
      <c r="B474" s="140" t="s">
        <v>229</v>
      </c>
      <c r="C474" s="484" t="s">
        <v>186</v>
      </c>
      <c r="D474" s="108">
        <v>5.03</v>
      </c>
      <c r="E474" s="108"/>
      <c r="F474" s="127"/>
      <c r="G474" s="128"/>
      <c r="H474" s="488">
        <f t="shared" si="210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1"/>
        <v/>
      </c>
      <c r="N474" s="130">
        <f t="shared" si="212"/>
        <v>0</v>
      </c>
      <c r="O474" s="479"/>
      <c r="P474" s="479"/>
      <c r="Q474" s="479"/>
      <c r="R474" s="479"/>
      <c r="S474" s="479"/>
      <c r="T474" s="479"/>
      <c r="U474" s="479"/>
      <c r="V474" s="132">
        <f t="shared" si="213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hidden="1" customHeight="1">
      <c r="A475" s="299">
        <v>30101070</v>
      </c>
      <c r="B475" s="140" t="s">
        <v>229</v>
      </c>
      <c r="C475" s="484" t="s">
        <v>228</v>
      </c>
      <c r="D475" s="108">
        <v>5.03</v>
      </c>
      <c r="E475" s="108"/>
      <c r="F475" s="127"/>
      <c r="G475" s="128"/>
      <c r="H475" s="488">
        <f t="shared" si="210"/>
        <v>0</v>
      </c>
      <c r="I475" s="129"/>
      <c r="J475" s="130" t="str">
        <f t="array" ref="J475">IF(ISERROR(G475/I475),"",G475/I475)</f>
        <v/>
      </c>
      <c r="K475" s="131" t="str">
        <f t="array" ref="K475">IF(ISERROR(G475/L475),"",G475/L475)</f>
        <v/>
      </c>
      <c r="L475" s="129"/>
      <c r="M475" s="109" t="str">
        <f t="shared" si="211"/>
        <v/>
      </c>
      <c r="N475" s="130">
        <f t="shared" si="212"/>
        <v>0</v>
      </c>
      <c r="O475" s="479"/>
      <c r="P475" s="479"/>
      <c r="Q475" s="479"/>
      <c r="R475" s="479"/>
      <c r="S475" s="479"/>
      <c r="T475" s="479"/>
      <c r="U475" s="479"/>
      <c r="V475" s="132">
        <f t="shared" si="213"/>
        <v>0</v>
      </c>
      <c r="W475" s="133" t="str">
        <f t="shared" si="208"/>
        <v/>
      </c>
      <c r="X475" s="132"/>
      <c r="Y475" s="132"/>
      <c r="Z475" s="132"/>
      <c r="AA475" s="132"/>
    </row>
    <row r="476" spans="1:27" ht="20.100000000000001" hidden="1" customHeight="1">
      <c r="A476" s="299">
        <v>30101071</v>
      </c>
      <c r="B476" s="140" t="s">
        <v>229</v>
      </c>
      <c r="C476" s="484" t="s">
        <v>199</v>
      </c>
      <c r="D476" s="108">
        <v>5.03</v>
      </c>
      <c r="E476" s="108"/>
      <c r="F476" s="127"/>
      <c r="G476" s="128"/>
      <c r="H476" s="488">
        <f t="shared" si="210"/>
        <v>0</v>
      </c>
      <c r="I476" s="129"/>
      <c r="J476" s="130" t="str">
        <f t="array" ref="J476">IF(ISERROR(G476/I476),"",G476/I476)</f>
        <v/>
      </c>
      <c r="K476" s="131" t="str">
        <f t="array" ref="K476">IF(ISERROR(G476/L476),"",G476/L476)</f>
        <v/>
      </c>
      <c r="L476" s="129"/>
      <c r="M476" s="109" t="str">
        <f t="shared" si="211"/>
        <v/>
      </c>
      <c r="N476" s="130">
        <f t="shared" si="212"/>
        <v>0</v>
      </c>
      <c r="O476" s="479"/>
      <c r="P476" s="479"/>
      <c r="Q476" s="479"/>
      <c r="R476" s="479"/>
      <c r="S476" s="479"/>
      <c r="T476" s="479"/>
      <c r="U476" s="479"/>
      <c r="V476" s="132">
        <f t="shared" si="213"/>
        <v>0</v>
      </c>
      <c r="W476" s="133" t="str">
        <f t="shared" si="208"/>
        <v/>
      </c>
      <c r="X476" s="132"/>
      <c r="Y476" s="132"/>
      <c r="Z476" s="132"/>
      <c r="AA476" s="132"/>
    </row>
    <row r="477" spans="1:27" ht="20.100000000000001" hidden="1" customHeight="1">
      <c r="A477" s="300">
        <v>30100001</v>
      </c>
      <c r="B477" s="134" t="s">
        <v>230</v>
      </c>
      <c r="C477" s="126" t="s">
        <v>204</v>
      </c>
      <c r="D477" s="108">
        <v>5.0599999999999996</v>
      </c>
      <c r="E477" s="108"/>
      <c r="F477" s="127"/>
      <c r="G477" s="128"/>
      <c r="H477" s="488">
        <f t="shared" si="210"/>
        <v>0</v>
      </c>
      <c r="I477" s="129"/>
      <c r="J477" s="130" t="str">
        <f t="array" ref="J477">IF(ISERROR(G477/I477),"",G477/I477)</f>
        <v/>
      </c>
      <c r="K477" s="131">
        <f t="array" ref="K477">IF(ISERROR(G477/L477),"",G477/L477)</f>
        <v>0</v>
      </c>
      <c r="L477" s="129">
        <v>25</v>
      </c>
      <c r="M477" s="109">
        <f t="shared" si="211"/>
        <v>0</v>
      </c>
      <c r="N477" s="130">
        <f t="shared" si="212"/>
        <v>0</v>
      </c>
      <c r="O477" s="479"/>
      <c r="P477" s="479"/>
      <c r="Q477" s="479"/>
      <c r="R477" s="479"/>
      <c r="S477" s="479"/>
      <c r="T477" s="479"/>
      <c r="U477" s="479"/>
      <c r="V477" s="132">
        <f t="shared" si="213"/>
        <v>0</v>
      </c>
      <c r="W477" s="133" t="str">
        <f t="shared" si="208"/>
        <v/>
      </c>
      <c r="X477" s="132"/>
      <c r="Y477" s="132"/>
      <c r="Z477" s="132"/>
      <c r="AA477" s="132"/>
    </row>
    <row r="478" spans="1:27" ht="20.100000000000001" hidden="1" customHeight="1">
      <c r="A478" s="300">
        <v>30100002</v>
      </c>
      <c r="B478" s="134" t="s">
        <v>230</v>
      </c>
      <c r="C478" s="126" t="s">
        <v>226</v>
      </c>
      <c r="D478" s="108">
        <v>5.0599999999999996</v>
      </c>
      <c r="E478" s="108"/>
      <c r="F478" s="127"/>
      <c r="G478" s="128"/>
      <c r="H478" s="488">
        <f t="shared" si="210"/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25</v>
      </c>
      <c r="M478" s="109">
        <f t="shared" si="211"/>
        <v>0</v>
      </c>
      <c r="N478" s="130">
        <f t="shared" si="212"/>
        <v>0</v>
      </c>
      <c r="O478" s="479"/>
      <c r="P478" s="479"/>
      <c r="Q478" s="479"/>
      <c r="R478" s="479"/>
      <c r="S478" s="479"/>
      <c r="T478" s="479"/>
      <c r="U478" s="479"/>
      <c r="V478" s="132">
        <f t="shared" si="213"/>
        <v>0</v>
      </c>
      <c r="W478" s="133" t="str">
        <f t="shared" si="208"/>
        <v/>
      </c>
      <c r="X478" s="132"/>
      <c r="Y478" s="132"/>
      <c r="Z478" s="132"/>
      <c r="AA478" s="132"/>
    </row>
    <row r="479" spans="1:27" ht="20.100000000000001" hidden="1" customHeight="1">
      <c r="A479" s="618" t="s">
        <v>231</v>
      </c>
      <c r="B479" s="619"/>
      <c r="C479" s="486" t="s">
        <v>202</v>
      </c>
      <c r="D479" s="143"/>
      <c r="E479" s="143"/>
      <c r="F479" s="144"/>
      <c r="G479" s="145">
        <f>SUM(G464:G478)</f>
        <v>0</v>
      </c>
      <c r="H479" s="146">
        <f>SUM(H464:H478)</f>
        <v>0</v>
      </c>
      <c r="I479" s="146">
        <f>SUM(I464:I478)</f>
        <v>0</v>
      </c>
      <c r="J479" s="130" t="str">
        <f t="array" ref="J479">IF(ISERROR(G479/I479),"",G479/I479)</f>
        <v/>
      </c>
      <c r="K479" s="146">
        <f>SUM(K464:K478)</f>
        <v>0</v>
      </c>
      <c r="L479" s="147"/>
      <c r="M479" s="150">
        <f>SUM(M464:M478)</f>
        <v>0</v>
      </c>
      <c r="N479" s="146">
        <f>SUM(N464:N478)</f>
        <v>0</v>
      </c>
      <c r="O479" s="148">
        <f>SUM(O464:O478)</f>
        <v>0</v>
      </c>
      <c r="P479" s="148">
        <f>SUM(P464:P478)</f>
        <v>0</v>
      </c>
      <c r="Q479" s="148">
        <f>SUM(Q464:Q478)</f>
        <v>0</v>
      </c>
      <c r="R479" s="148"/>
      <c r="S479" s="148">
        <f>SUM(S464:S478)</f>
        <v>0</v>
      </c>
      <c r="T479" s="148">
        <f>SUM(T464:T478)</f>
        <v>0</v>
      </c>
      <c r="U479" s="148">
        <f>SUM(U464:U478)</f>
        <v>0</v>
      </c>
      <c r="V479" s="149">
        <f>SUM(V464:V478)</f>
        <v>0</v>
      </c>
      <c r="W479" s="133" t="str">
        <f t="shared" si="208"/>
        <v/>
      </c>
      <c r="X479" s="149">
        <f>SUM(X464:X478)</f>
        <v>0</v>
      </c>
      <c r="Y479" s="149">
        <f>SUM(Y464:Y478)</f>
        <v>0</v>
      </c>
      <c r="Z479" s="149">
        <f>SUM(Z464:Z478)</f>
        <v>0</v>
      </c>
      <c r="AA479" s="149">
        <f>SUM(AA464:AA478)</f>
        <v>0</v>
      </c>
    </row>
    <row r="480" spans="1:27" ht="20.100000000000001" hidden="1" customHeight="1">
      <c r="A480" s="300">
        <v>30400025</v>
      </c>
      <c r="B480" s="134" t="s">
        <v>232</v>
      </c>
      <c r="C480" s="126" t="s">
        <v>179</v>
      </c>
      <c r="D480" s="108">
        <v>5.04</v>
      </c>
      <c r="E480" s="108"/>
      <c r="F480" s="127"/>
      <c r="G480" s="128"/>
      <c r="H480" s="488">
        <f t="shared" ref="H480:H489" si="214">D480*G480</f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ref="M480:M484" si="215">IF(ISERROR(I480-K480),"",I480-K480)</f>
        <v>0</v>
      </c>
      <c r="N480" s="130">
        <f t="shared" ref="N480:N484" si="216">SUM(O480:U480)</f>
        <v>0</v>
      </c>
      <c r="O480" s="479"/>
      <c r="P480" s="479"/>
      <c r="Q480" s="479"/>
      <c r="R480" s="479"/>
      <c r="S480" s="479"/>
      <c r="T480" s="479"/>
      <c r="U480" s="479"/>
      <c r="V480" s="132">
        <f t="shared" ref="V480:V484" si="217">SUM(X480:AA480)</f>
        <v>0</v>
      </c>
      <c r="W480" s="133" t="str">
        <f t="shared" si="208"/>
        <v/>
      </c>
      <c r="X480" s="132"/>
      <c r="Y480" s="132"/>
      <c r="Z480" s="132"/>
      <c r="AA480" s="132"/>
    </row>
    <row r="481" spans="1:27" ht="20.100000000000001" hidden="1" customHeight="1">
      <c r="A481" s="300">
        <v>30400023</v>
      </c>
      <c r="B481" s="134" t="s">
        <v>232</v>
      </c>
      <c r="C481" s="126" t="s">
        <v>186</v>
      </c>
      <c r="D481" s="108">
        <v>5.04</v>
      </c>
      <c r="E481" s="108"/>
      <c r="F481" s="127"/>
      <c r="G481" s="128"/>
      <c r="H481" s="488">
        <f t="shared" si="214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5"/>
        <v>0</v>
      </c>
      <c r="N481" s="130">
        <f t="shared" si="216"/>
        <v>0</v>
      </c>
      <c r="O481" s="479"/>
      <c r="P481" s="479"/>
      <c r="Q481" s="479"/>
      <c r="R481" s="479"/>
      <c r="S481" s="479"/>
      <c r="T481" s="479"/>
      <c r="U481" s="479"/>
      <c r="V481" s="132">
        <f t="shared" si="217"/>
        <v>0</v>
      </c>
      <c r="W481" s="133" t="str">
        <f t="shared" si="208"/>
        <v/>
      </c>
      <c r="X481" s="132"/>
      <c r="Y481" s="132"/>
      <c r="Z481" s="132"/>
      <c r="AA481" s="132"/>
    </row>
    <row r="482" spans="1:27" ht="20.100000000000001" hidden="1" customHeight="1">
      <c r="A482" s="300">
        <v>30400024</v>
      </c>
      <c r="B482" s="134" t="s">
        <v>232</v>
      </c>
      <c r="C482" s="126" t="s">
        <v>204</v>
      </c>
      <c r="D482" s="108">
        <v>5.04</v>
      </c>
      <c r="E482" s="108"/>
      <c r="F482" s="127"/>
      <c r="G482" s="128"/>
      <c r="H482" s="488">
        <f t="shared" si="214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5"/>
        <v>0</v>
      </c>
      <c r="N482" s="130">
        <f t="shared" si="216"/>
        <v>0</v>
      </c>
      <c r="O482" s="479"/>
      <c r="P482" s="479"/>
      <c r="Q482" s="479"/>
      <c r="R482" s="479"/>
      <c r="S482" s="479"/>
      <c r="T482" s="479"/>
      <c r="U482" s="479"/>
      <c r="V482" s="132">
        <f t="shared" si="217"/>
        <v>0</v>
      </c>
      <c r="W482" s="133" t="str">
        <f t="shared" si="208"/>
        <v/>
      </c>
      <c r="X482" s="132"/>
      <c r="Y482" s="132"/>
      <c r="Z482" s="132"/>
      <c r="AA482" s="132"/>
    </row>
    <row r="483" spans="1:27" ht="20.100000000000001" hidden="1" customHeight="1">
      <c r="A483" s="300"/>
      <c r="B483" s="134" t="s">
        <v>232</v>
      </c>
      <c r="C483" s="126" t="s">
        <v>195</v>
      </c>
      <c r="D483" s="108">
        <v>5.04</v>
      </c>
      <c r="E483" s="108"/>
      <c r="F483" s="127"/>
      <c r="G483" s="128"/>
      <c r="H483" s="488">
        <f t="shared" si="214"/>
        <v>0</v>
      </c>
      <c r="I483" s="129"/>
      <c r="J483" s="130" t="str">
        <f t="array" ref="J483">IF(ISERROR(G483/I483),"",G483/I483)</f>
        <v/>
      </c>
      <c r="K483" s="131">
        <f t="array" ref="K483">IF(ISERROR(G483/L483),"",G483/L483)</f>
        <v>0</v>
      </c>
      <c r="L483" s="129">
        <v>22</v>
      </c>
      <c r="M483" s="109">
        <f t="shared" si="215"/>
        <v>0</v>
      </c>
      <c r="N483" s="130">
        <f t="shared" si="216"/>
        <v>0</v>
      </c>
      <c r="O483" s="479"/>
      <c r="P483" s="479"/>
      <c r="Q483" s="479"/>
      <c r="R483" s="479"/>
      <c r="S483" s="479"/>
      <c r="T483" s="479"/>
      <c r="U483" s="479"/>
      <c r="V483" s="132">
        <f t="shared" si="217"/>
        <v>0</v>
      </c>
      <c r="W483" s="133" t="str">
        <f t="shared" si="208"/>
        <v/>
      </c>
      <c r="X483" s="132"/>
      <c r="Y483" s="132"/>
      <c r="Z483" s="132"/>
      <c r="AA483" s="132"/>
    </row>
    <row r="484" spans="1:27" ht="20.100000000000001" hidden="1" customHeight="1">
      <c r="A484" s="300"/>
      <c r="B484" s="134" t="s">
        <v>232</v>
      </c>
      <c r="C484" s="126" t="s">
        <v>233</v>
      </c>
      <c r="D484" s="108">
        <v>5.04</v>
      </c>
      <c r="E484" s="108"/>
      <c r="F484" s="127"/>
      <c r="G484" s="128"/>
      <c r="H484" s="488">
        <f t="shared" si="214"/>
        <v>0</v>
      </c>
      <c r="I484" s="129"/>
      <c r="J484" s="130" t="str">
        <f t="array" ref="J484">IF(ISERROR(G484/I484),"",G484/I484)</f>
        <v/>
      </c>
      <c r="K484" s="131">
        <f t="array" ref="K484">IF(ISERROR(G484/L484),"",G484/L484)</f>
        <v>0</v>
      </c>
      <c r="L484" s="129">
        <v>22</v>
      </c>
      <c r="M484" s="109">
        <f t="shared" si="215"/>
        <v>0</v>
      </c>
      <c r="N484" s="130">
        <f t="shared" si="216"/>
        <v>0</v>
      </c>
      <c r="O484" s="479"/>
      <c r="P484" s="479"/>
      <c r="Q484" s="479"/>
      <c r="R484" s="479"/>
      <c r="S484" s="479"/>
      <c r="T484" s="479"/>
      <c r="U484" s="479"/>
      <c r="V484" s="132">
        <f t="shared" si="217"/>
        <v>0</v>
      </c>
      <c r="W484" s="133" t="str">
        <f t="shared" si="208"/>
        <v/>
      </c>
      <c r="X484" s="132"/>
      <c r="Y484" s="132"/>
      <c r="Z484" s="132"/>
      <c r="AA484" s="132"/>
    </row>
    <row r="485" spans="1:27" ht="20.100000000000001" hidden="1" customHeight="1">
      <c r="A485" s="300">
        <v>30400019</v>
      </c>
      <c r="B485" s="134" t="s">
        <v>439</v>
      </c>
      <c r="C485" s="187" t="s">
        <v>441</v>
      </c>
      <c r="D485" s="108">
        <v>5.04</v>
      </c>
      <c r="E485" s="108"/>
      <c r="F485" s="127"/>
      <c r="G485" s="128"/>
      <c r="H485" s="488">
        <f t="shared" si="214"/>
        <v>0</v>
      </c>
      <c r="I485" s="129"/>
      <c r="J485" s="130"/>
      <c r="K485" s="131"/>
      <c r="L485" s="129">
        <v>13.5</v>
      </c>
      <c r="M485" s="109"/>
      <c r="N485" s="130"/>
      <c r="O485" s="479"/>
      <c r="P485" s="479"/>
      <c r="Q485" s="479"/>
      <c r="R485" s="479"/>
      <c r="S485" s="479"/>
      <c r="T485" s="479"/>
      <c r="U485" s="479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30400020</v>
      </c>
      <c r="B486" s="134" t="s">
        <v>439</v>
      </c>
      <c r="C486" s="187" t="s">
        <v>74</v>
      </c>
      <c r="D486" s="108">
        <v>5.04</v>
      </c>
      <c r="E486" s="108"/>
      <c r="F486" s="127"/>
      <c r="G486" s="128"/>
      <c r="H486" s="488">
        <f t="shared" si="214"/>
        <v>0</v>
      </c>
      <c r="I486" s="129"/>
      <c r="J486" s="130"/>
      <c r="K486" s="131"/>
      <c r="L486" s="129">
        <v>13.5</v>
      </c>
      <c r="M486" s="109"/>
      <c r="N486" s="130"/>
      <c r="O486" s="479"/>
      <c r="P486" s="479"/>
      <c r="Q486" s="479"/>
      <c r="R486" s="479"/>
      <c r="S486" s="479"/>
      <c r="T486" s="479"/>
      <c r="U486" s="479"/>
      <c r="V486" s="132"/>
      <c r="W486" s="133"/>
      <c r="X486" s="132"/>
      <c r="Y486" s="132"/>
      <c r="Z486" s="132"/>
      <c r="AA486" s="132"/>
    </row>
    <row r="487" spans="1:27" ht="20.100000000000001" hidden="1" customHeight="1">
      <c r="A487" s="300">
        <v>30400021</v>
      </c>
      <c r="B487" s="134" t="s">
        <v>439</v>
      </c>
      <c r="C487" s="187" t="s">
        <v>53</v>
      </c>
      <c r="D487" s="108">
        <v>5.04</v>
      </c>
      <c r="E487" s="108"/>
      <c r="F487" s="127"/>
      <c r="G487" s="128"/>
      <c r="H487" s="488">
        <f t="shared" si="214"/>
        <v>0</v>
      </c>
      <c r="I487" s="129"/>
      <c r="J487" s="130"/>
      <c r="K487" s="131"/>
      <c r="L487" s="129">
        <v>13.5</v>
      </c>
      <c r="M487" s="109"/>
      <c r="N487" s="130"/>
      <c r="O487" s="479"/>
      <c r="P487" s="479"/>
      <c r="Q487" s="479"/>
      <c r="R487" s="479"/>
      <c r="S487" s="479"/>
      <c r="T487" s="479"/>
      <c r="U487" s="479"/>
      <c r="V487" s="132"/>
      <c r="W487" s="133"/>
      <c r="X487" s="132"/>
      <c r="Y487" s="132"/>
      <c r="Z487" s="132"/>
      <c r="AA487" s="132"/>
    </row>
    <row r="488" spans="1:27" ht="20.100000000000001" hidden="1" customHeight="1">
      <c r="A488" s="300">
        <v>30400018</v>
      </c>
      <c r="B488" s="134" t="s">
        <v>439</v>
      </c>
      <c r="C488" s="126" t="s">
        <v>181</v>
      </c>
      <c r="D488" s="108">
        <v>5.04</v>
      </c>
      <c r="E488" s="108"/>
      <c r="F488" s="127"/>
      <c r="G488" s="128"/>
      <c r="H488" s="488">
        <f t="shared" si="214"/>
        <v>0</v>
      </c>
      <c r="I488" s="129"/>
      <c r="J488" s="130"/>
      <c r="K488" s="131"/>
      <c r="L488" s="129">
        <v>13.5</v>
      </c>
      <c r="M488" s="109"/>
      <c r="N488" s="130"/>
      <c r="O488" s="479"/>
      <c r="P488" s="479"/>
      <c r="Q488" s="479"/>
      <c r="R488" s="479"/>
      <c r="S488" s="479"/>
      <c r="T488" s="479"/>
      <c r="U488" s="479"/>
      <c r="V488" s="132"/>
      <c r="W488" s="133"/>
      <c r="X488" s="132"/>
      <c r="Y488" s="132"/>
      <c r="Z488" s="132"/>
      <c r="AA488" s="132"/>
    </row>
    <row r="489" spans="1:27" ht="20.100000000000001" hidden="1" customHeight="1">
      <c r="A489" s="300">
        <v>30400022</v>
      </c>
      <c r="B489" s="134" t="s">
        <v>232</v>
      </c>
      <c r="C489" s="126" t="s">
        <v>181</v>
      </c>
      <c r="D489" s="108">
        <v>5.04</v>
      </c>
      <c r="E489" s="108"/>
      <c r="F489" s="127"/>
      <c r="G489" s="128"/>
      <c r="H489" s="488">
        <f t="shared" si="21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22</v>
      </c>
      <c r="M489" s="109">
        <f t="shared" ref="M489" si="218">IF(ISERROR(I489-K489),"",I489-K489)</f>
        <v>0</v>
      </c>
      <c r="N489" s="130">
        <f t="shared" ref="N489" si="219">SUM(O489:U489)</f>
        <v>0</v>
      </c>
      <c r="O489" s="479"/>
      <c r="P489" s="479"/>
      <c r="Q489" s="479"/>
      <c r="R489" s="479"/>
      <c r="S489" s="479"/>
      <c r="T489" s="479"/>
      <c r="U489" s="479"/>
      <c r="V489" s="132">
        <f t="shared" ref="V489" si="220">SUM(X489:AA489)</f>
        <v>0</v>
      </c>
      <c r="W489" s="133" t="str">
        <f t="shared" ref="W489:W494" si="221">IF(ISERROR(V489/G489),"",V489/G489)</f>
        <v/>
      </c>
      <c r="X489" s="132"/>
      <c r="Y489" s="132"/>
      <c r="Z489" s="132"/>
      <c r="AA489" s="132"/>
    </row>
    <row r="490" spans="1:27" ht="20.100000000000001" hidden="1" customHeight="1">
      <c r="A490" s="618" t="s">
        <v>234</v>
      </c>
      <c r="B490" s="619"/>
      <c r="C490" s="486" t="s">
        <v>202</v>
      </c>
      <c r="D490" s="143"/>
      <c r="E490" s="143"/>
      <c r="F490" s="144"/>
      <c r="G490" s="145">
        <f>SUM(G480:G489)</f>
        <v>0</v>
      </c>
      <c r="H490" s="146">
        <f>SUM(H480:H489)</f>
        <v>0</v>
      </c>
      <c r="I490" s="146">
        <f>SUM(I480:I489)</f>
        <v>0</v>
      </c>
      <c r="J490" s="130" t="str">
        <f t="array" ref="J490">IF(ISERROR(G490/I490),"",G490/I490)</f>
        <v/>
      </c>
      <c r="K490" s="146">
        <f>SUM(K480:K489)</f>
        <v>0</v>
      </c>
      <c r="L490" s="147"/>
      <c r="M490" s="150">
        <f>SUM(M480:M489)</f>
        <v>0</v>
      </c>
      <c r="N490" s="146">
        <f>SUM(N480:N489)</f>
        <v>0</v>
      </c>
      <c r="O490" s="148">
        <f>SUM(O480:O489)</f>
        <v>0</v>
      </c>
      <c r="P490" s="148">
        <f>SUM(P480:P489)</f>
        <v>0</v>
      </c>
      <c r="Q490" s="148">
        <f>SUM(Q480:Q489)</f>
        <v>0</v>
      </c>
      <c r="R490" s="148"/>
      <c r="S490" s="148">
        <f>SUM(S480:S489)</f>
        <v>0</v>
      </c>
      <c r="T490" s="148">
        <f>SUM(T480:T489)</f>
        <v>0</v>
      </c>
      <c r="U490" s="148">
        <f>SUM(U480:U489)</f>
        <v>0</v>
      </c>
      <c r="V490" s="149">
        <f>SUM(V480:V489)</f>
        <v>0</v>
      </c>
      <c r="W490" s="133" t="str">
        <f t="shared" si="221"/>
        <v/>
      </c>
      <c r="X490" s="149">
        <f>SUM(X480:X489)</f>
        <v>0</v>
      </c>
      <c r="Y490" s="149">
        <f>SUM(Y480:Y489)</f>
        <v>0</v>
      </c>
      <c r="Z490" s="149">
        <f>SUM(Z480:Z489)</f>
        <v>0</v>
      </c>
      <c r="AA490" s="149">
        <f>SUM(AA480:AA489)</f>
        <v>0</v>
      </c>
    </row>
    <row r="491" spans="1:27" ht="20.100000000000001" hidden="1" customHeight="1">
      <c r="A491" s="299">
        <v>30700013</v>
      </c>
      <c r="B491" s="141" t="s">
        <v>235</v>
      </c>
      <c r="C491" s="478"/>
      <c r="D491" s="108">
        <v>3.65</v>
      </c>
      <c r="E491" s="108"/>
      <c r="F491" s="153"/>
      <c r="G491" s="128"/>
      <c r="H491" s="488">
        <f t="shared" ref="H491:H505" si="222">D491*G491</f>
        <v>0</v>
      </c>
      <c r="I491" s="129"/>
      <c r="J491" s="130" t="str">
        <f t="array" ref="J491">IF(ISERROR(G491/I491),"",G491/I491)</f>
        <v/>
      </c>
      <c r="K491" s="488">
        <f t="array" ref="K491">IF(ISERROR(G491/L491),"",G491/L491)</f>
        <v>0</v>
      </c>
      <c r="L491" s="129">
        <v>5</v>
      </c>
      <c r="M491" s="109">
        <f t="shared" ref="M491:M494" si="223">IF(ISERROR(I491-K491),"",I491-K491)</f>
        <v>0</v>
      </c>
      <c r="N491" s="130">
        <f t="shared" ref="N491:N494" si="224">SUM(O491:U491)</f>
        <v>0</v>
      </c>
      <c r="O491" s="479"/>
      <c r="P491" s="479"/>
      <c r="Q491" s="479"/>
      <c r="R491" s="479"/>
      <c r="S491" s="479"/>
      <c r="T491" s="479"/>
      <c r="U491" s="479"/>
      <c r="V491" s="132">
        <f t="shared" ref="V491:V494" si="225">SUM(X491:AA491)</f>
        <v>0</v>
      </c>
      <c r="W491" s="133" t="str">
        <f t="shared" si="221"/>
        <v/>
      </c>
      <c r="X491" s="132"/>
      <c r="Y491" s="132"/>
      <c r="Z491" s="132"/>
      <c r="AA491" s="132"/>
    </row>
    <row r="492" spans="1:27" ht="20.100000000000001" hidden="1" customHeight="1">
      <c r="A492" s="299">
        <v>30700014</v>
      </c>
      <c r="B492" s="141" t="s">
        <v>236</v>
      </c>
      <c r="C492" s="478"/>
      <c r="D492" s="108">
        <v>6.58</v>
      </c>
      <c r="E492" s="108"/>
      <c r="F492" s="127"/>
      <c r="G492" s="128"/>
      <c r="H492" s="488">
        <f t="shared" si="222"/>
        <v>0</v>
      </c>
      <c r="I492" s="129"/>
      <c r="J492" s="130" t="str">
        <f t="array" ref="J492">IF(ISERROR(G492/I492),"",G492/I492)</f>
        <v/>
      </c>
      <c r="K492" s="131">
        <f t="array" ref="K492">IF(ISERROR(G492/L492),"",G492/L492)</f>
        <v>0</v>
      </c>
      <c r="L492" s="129">
        <v>5</v>
      </c>
      <c r="M492" s="109">
        <f t="shared" si="223"/>
        <v>0</v>
      </c>
      <c r="N492" s="130">
        <f t="shared" si="224"/>
        <v>0</v>
      </c>
      <c r="O492" s="479"/>
      <c r="P492" s="479"/>
      <c r="Q492" s="479"/>
      <c r="R492" s="479"/>
      <c r="S492" s="479"/>
      <c r="T492" s="479"/>
      <c r="U492" s="479"/>
      <c r="V492" s="132">
        <f t="shared" si="225"/>
        <v>0</v>
      </c>
      <c r="W492" s="133" t="str">
        <f t="shared" si="221"/>
        <v/>
      </c>
      <c r="X492" s="132"/>
      <c r="Y492" s="132"/>
      <c r="Z492" s="132"/>
      <c r="AA492" s="132"/>
    </row>
    <row r="493" spans="1:27" ht="20.100000000000001" hidden="1" customHeight="1">
      <c r="A493" s="299">
        <v>30700016</v>
      </c>
      <c r="B493" s="141" t="s">
        <v>237</v>
      </c>
      <c r="C493" s="478"/>
      <c r="D493" s="108">
        <v>7.8</v>
      </c>
      <c r="E493" s="108"/>
      <c r="F493" s="127"/>
      <c r="G493" s="128"/>
      <c r="H493" s="488">
        <f t="shared" si="222"/>
        <v>0</v>
      </c>
      <c r="I493" s="129"/>
      <c r="J493" s="130" t="str">
        <f t="array" ref="J493">IF(ISERROR(G493/I493),"",G493/I493)</f>
        <v/>
      </c>
      <c r="K493" s="131">
        <f t="array" ref="K493">IF(ISERROR(G493/L493),"",G493/L493)</f>
        <v>0</v>
      </c>
      <c r="L493" s="129">
        <v>4.5999999999999996</v>
      </c>
      <c r="M493" s="109">
        <f t="shared" si="223"/>
        <v>0</v>
      </c>
      <c r="N493" s="130">
        <f t="shared" si="224"/>
        <v>0</v>
      </c>
      <c r="O493" s="479"/>
      <c r="P493" s="479"/>
      <c r="Q493" s="479"/>
      <c r="R493" s="479"/>
      <c r="S493" s="479"/>
      <c r="T493" s="479"/>
      <c r="U493" s="479"/>
      <c r="V493" s="132">
        <f t="shared" si="225"/>
        <v>0</v>
      </c>
      <c r="W493" s="133" t="str">
        <f t="shared" si="221"/>
        <v/>
      </c>
      <c r="X493" s="132"/>
      <c r="Y493" s="132"/>
      <c r="Z493" s="132"/>
      <c r="AA493" s="132"/>
    </row>
    <row r="494" spans="1:27" ht="20.100000000000001" hidden="1" customHeight="1">
      <c r="A494" s="299">
        <v>30700017</v>
      </c>
      <c r="B494" s="141" t="s">
        <v>238</v>
      </c>
      <c r="C494" s="478"/>
      <c r="D494" s="108">
        <v>4.4000000000000004</v>
      </c>
      <c r="E494" s="108"/>
      <c r="F494" s="127"/>
      <c r="G494" s="128"/>
      <c r="H494" s="488">
        <f t="shared" si="222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5.8</v>
      </c>
      <c r="M494" s="109">
        <f t="shared" si="223"/>
        <v>0</v>
      </c>
      <c r="N494" s="130">
        <f t="shared" si="224"/>
        <v>0</v>
      </c>
      <c r="O494" s="479"/>
      <c r="P494" s="479"/>
      <c r="Q494" s="479"/>
      <c r="R494" s="479"/>
      <c r="S494" s="479"/>
      <c r="T494" s="479"/>
      <c r="U494" s="479"/>
      <c r="V494" s="132">
        <f t="shared" si="225"/>
        <v>0</v>
      </c>
      <c r="W494" s="133" t="str">
        <f t="shared" si="221"/>
        <v/>
      </c>
      <c r="X494" s="132"/>
      <c r="Y494" s="132"/>
      <c r="Z494" s="132"/>
      <c r="AA494" s="132"/>
    </row>
    <row r="495" spans="1:27" ht="20.100000000000001" hidden="1" customHeight="1">
      <c r="A495" s="299"/>
      <c r="B495" s="141" t="s">
        <v>348</v>
      </c>
      <c r="C495" s="188" t="s">
        <v>376</v>
      </c>
      <c r="D495" s="108"/>
      <c r="E495" s="108"/>
      <c r="F495" s="127"/>
      <c r="G495" s="128"/>
      <c r="H495" s="488">
        <f t="shared" si="222"/>
        <v>0</v>
      </c>
      <c r="I495" s="129"/>
      <c r="J495" s="130"/>
      <c r="K495" s="131"/>
      <c r="L495" s="129"/>
      <c r="M495" s="109"/>
      <c r="N495" s="130"/>
      <c r="O495" s="479"/>
      <c r="P495" s="479"/>
      <c r="Q495" s="479"/>
      <c r="R495" s="479"/>
      <c r="S495" s="479"/>
      <c r="T495" s="479"/>
      <c r="U495" s="479"/>
      <c r="V495" s="132"/>
      <c r="W495" s="133"/>
      <c r="X495" s="132"/>
      <c r="Y495" s="132"/>
      <c r="Z495" s="132"/>
      <c r="AA495" s="132"/>
    </row>
    <row r="496" spans="1:27" ht="20.100000000000001" hidden="1" customHeight="1">
      <c r="A496" s="299">
        <v>30700001</v>
      </c>
      <c r="B496" s="127" t="s">
        <v>359</v>
      </c>
      <c r="C496" s="478"/>
      <c r="D496" s="108"/>
      <c r="E496" s="108"/>
      <c r="F496" s="127"/>
      <c r="G496" s="128"/>
      <c r="H496" s="488">
        <f t="shared" si="222"/>
        <v>0</v>
      </c>
      <c r="I496" s="129"/>
      <c r="J496" s="130"/>
      <c r="K496" s="131"/>
      <c r="L496" s="129">
        <v>6</v>
      </c>
      <c r="M496" s="109"/>
      <c r="N496" s="130"/>
      <c r="O496" s="479"/>
      <c r="P496" s="479"/>
      <c r="Q496" s="479"/>
      <c r="R496" s="479"/>
      <c r="S496" s="479"/>
      <c r="T496" s="479"/>
      <c r="U496" s="47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/>
      <c r="B497" s="478" t="s">
        <v>239</v>
      </c>
      <c r="C497" s="478" t="s">
        <v>179</v>
      </c>
      <c r="D497" s="108">
        <v>6.04</v>
      </c>
      <c r="E497" s="108"/>
      <c r="F497" s="127"/>
      <c r="G497" s="128"/>
      <c r="H497" s="488">
        <f t="shared" si="222"/>
        <v>0</v>
      </c>
      <c r="I497" s="129"/>
      <c r="J497" s="130" t="str">
        <f t="array" ref="J497">IF(ISERROR(G497/I497),"",G497/I497)</f>
        <v/>
      </c>
      <c r="K497" s="131">
        <f t="array" ref="K497">IF(ISERROR(G497/L497),"",G497/L497)</f>
        <v>0</v>
      </c>
      <c r="L497" s="129">
        <v>6</v>
      </c>
      <c r="M497" s="109">
        <f t="shared" ref="M497:M498" si="226">IF(ISERROR(I497-K497),"",I497-K497)</f>
        <v>0</v>
      </c>
      <c r="N497" s="130">
        <f t="shared" ref="N497:N498" si="227">SUM(O497:U497)</f>
        <v>0</v>
      </c>
      <c r="O497" s="479"/>
      <c r="P497" s="479"/>
      <c r="Q497" s="479"/>
      <c r="R497" s="479"/>
      <c r="S497" s="479"/>
      <c r="T497" s="479"/>
      <c r="U497" s="479"/>
      <c r="V497" s="132">
        <f t="shared" ref="V497:V498" si="228">SUM(X497:AA497)</f>
        <v>0</v>
      </c>
      <c r="W497" s="133" t="str">
        <f t="shared" ref="W497:W498" si="229">IF(ISERROR(V497/G497),"",V497/G497)</f>
        <v/>
      </c>
      <c r="X497" s="132"/>
      <c r="Y497" s="132"/>
      <c r="Z497" s="132"/>
      <c r="AA497" s="132"/>
    </row>
    <row r="498" spans="1:27" ht="20.100000000000001" hidden="1" customHeight="1">
      <c r="A498" s="305">
        <v>30700019</v>
      </c>
      <c r="B498" s="478" t="s">
        <v>239</v>
      </c>
      <c r="C498" s="478" t="s">
        <v>186</v>
      </c>
      <c r="D498" s="108">
        <v>6.04</v>
      </c>
      <c r="E498" s="108"/>
      <c r="F498" s="127"/>
      <c r="G498" s="128"/>
      <c r="H498" s="488">
        <f t="shared" si="222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6</v>
      </c>
      <c r="M498" s="109">
        <f t="shared" si="226"/>
        <v>0</v>
      </c>
      <c r="N498" s="130">
        <f t="shared" si="227"/>
        <v>0</v>
      </c>
      <c r="O498" s="479"/>
      <c r="P498" s="479"/>
      <c r="Q498" s="479"/>
      <c r="R498" s="479"/>
      <c r="S498" s="479"/>
      <c r="T498" s="479"/>
      <c r="U498" s="479"/>
      <c r="V498" s="132">
        <f t="shared" si="228"/>
        <v>0</v>
      </c>
      <c r="W498" s="133" t="str">
        <f t="shared" si="229"/>
        <v/>
      </c>
      <c r="X498" s="132"/>
      <c r="Y498" s="132"/>
      <c r="Z498" s="132"/>
      <c r="AA498" s="132"/>
    </row>
    <row r="499" spans="1:27" ht="20.100000000000001" hidden="1" customHeight="1">
      <c r="A499" s="305">
        <v>30601015</v>
      </c>
      <c r="B499" s="478" t="s">
        <v>443</v>
      </c>
      <c r="C499" s="478" t="s">
        <v>179</v>
      </c>
      <c r="D499" s="108"/>
      <c r="E499" s="108"/>
      <c r="F499" s="127"/>
      <c r="G499" s="128"/>
      <c r="H499" s="488">
        <f t="shared" si="222"/>
        <v>0</v>
      </c>
      <c r="I499" s="129"/>
      <c r="J499" s="130"/>
      <c r="K499" s="131"/>
      <c r="L499" s="129"/>
      <c r="M499" s="109"/>
      <c r="N499" s="130"/>
      <c r="O499" s="479"/>
      <c r="P499" s="479"/>
      <c r="Q499" s="479"/>
      <c r="R499" s="479"/>
      <c r="S499" s="479"/>
      <c r="T499" s="479"/>
      <c r="U499" s="47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305">
        <v>30101016</v>
      </c>
      <c r="B500" s="478" t="s">
        <v>443</v>
      </c>
      <c r="C500" s="478" t="s">
        <v>186</v>
      </c>
      <c r="D500" s="108"/>
      <c r="E500" s="108"/>
      <c r="F500" s="127"/>
      <c r="G500" s="128"/>
      <c r="H500" s="488">
        <f t="shared" si="222"/>
        <v>0</v>
      </c>
      <c r="I500" s="129"/>
      <c r="J500" s="130"/>
      <c r="K500" s="131"/>
      <c r="L500" s="129"/>
      <c r="M500" s="109"/>
      <c r="N500" s="130"/>
      <c r="O500" s="479"/>
      <c r="P500" s="479"/>
      <c r="Q500" s="479"/>
      <c r="R500" s="479"/>
      <c r="S500" s="479"/>
      <c r="T500" s="479"/>
      <c r="U500" s="47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30700018</v>
      </c>
      <c r="B501" s="480" t="s">
        <v>240</v>
      </c>
      <c r="C501" s="126"/>
      <c r="D501" s="108">
        <v>7.3</v>
      </c>
      <c r="E501" s="108"/>
      <c r="F501" s="127"/>
      <c r="G501" s="128"/>
      <c r="H501" s="488">
        <f t="shared" si="222"/>
        <v>0</v>
      </c>
      <c r="I501" s="129"/>
      <c r="J501" s="130" t="str">
        <f t="array" ref="J501">IF(ISERROR(G501/I501),"",G501/I501)</f>
        <v/>
      </c>
      <c r="K501" s="131">
        <f t="array" ref="K501">IF(ISERROR(G501/L501),"",G501/L501)</f>
        <v>0</v>
      </c>
      <c r="L501" s="129">
        <v>7.5</v>
      </c>
      <c r="M501" s="109">
        <f t="shared" ref="M501" si="230">IF(ISERROR(I501-K501),"",I501-K501)</f>
        <v>0</v>
      </c>
      <c r="N501" s="130">
        <f t="shared" ref="N501" si="231">SUM(O501:U501)</f>
        <v>0</v>
      </c>
      <c r="O501" s="479"/>
      <c r="P501" s="479"/>
      <c r="Q501" s="479"/>
      <c r="R501" s="479"/>
      <c r="S501" s="479"/>
      <c r="T501" s="479"/>
      <c r="U501" s="479"/>
      <c r="V501" s="132">
        <f t="shared" ref="V501" si="232">SUM(X501:AA501)</f>
        <v>0</v>
      </c>
      <c r="W501" s="133" t="str">
        <f t="shared" ref="W501" si="233">IF(ISERROR(V501/G501),"",V501/G501)</f>
        <v/>
      </c>
      <c r="X501" s="132"/>
      <c r="Y501" s="132"/>
      <c r="Z501" s="132"/>
      <c r="AA501" s="132"/>
    </row>
    <row r="502" spans="1:27" ht="20.100000000000001" hidden="1" customHeight="1">
      <c r="A502" s="299">
        <v>30700010</v>
      </c>
      <c r="B502" s="480" t="s">
        <v>241</v>
      </c>
      <c r="C502" s="126"/>
      <c r="D502" s="108">
        <f>78*120/1000</f>
        <v>9.36</v>
      </c>
      <c r="E502" s="108"/>
      <c r="F502" s="127"/>
      <c r="G502" s="128"/>
      <c r="H502" s="488">
        <f t="shared" si="222"/>
        <v>0</v>
      </c>
      <c r="I502" s="129"/>
      <c r="J502" s="130"/>
      <c r="K502" s="131"/>
      <c r="L502" s="129"/>
      <c r="M502" s="109"/>
      <c r="N502" s="130"/>
      <c r="O502" s="479"/>
      <c r="P502" s="479"/>
      <c r="Q502" s="479"/>
      <c r="R502" s="479"/>
      <c r="S502" s="479"/>
      <c r="T502" s="479"/>
      <c r="U502" s="47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299">
        <v>30700015</v>
      </c>
      <c r="B503" s="480" t="s">
        <v>242</v>
      </c>
      <c r="C503" s="126"/>
      <c r="D503" s="108">
        <v>4.5</v>
      </c>
      <c r="E503" s="108"/>
      <c r="F503" s="127"/>
      <c r="G503" s="128"/>
      <c r="H503" s="488">
        <f t="shared" si="222"/>
        <v>0</v>
      </c>
      <c r="I503" s="129"/>
      <c r="J503" s="130"/>
      <c r="K503" s="131"/>
      <c r="L503" s="129"/>
      <c r="M503" s="109"/>
      <c r="N503" s="130"/>
      <c r="O503" s="479"/>
      <c r="P503" s="479"/>
      <c r="Q503" s="479"/>
      <c r="R503" s="479"/>
      <c r="S503" s="479"/>
      <c r="T503" s="479"/>
      <c r="U503" s="479"/>
      <c r="V503" s="132"/>
      <c r="W503" s="133"/>
      <c r="X503" s="132"/>
      <c r="Y503" s="132"/>
      <c r="Z503" s="132"/>
      <c r="AA503" s="132"/>
    </row>
    <row r="504" spans="1:27" ht="20.100000000000001" hidden="1" customHeight="1">
      <c r="A504" s="299">
        <v>30700012</v>
      </c>
      <c r="B504" s="480" t="s">
        <v>243</v>
      </c>
      <c r="C504" s="126"/>
      <c r="D504" s="108">
        <v>4.5</v>
      </c>
      <c r="E504" s="108"/>
      <c r="F504" s="127"/>
      <c r="G504" s="128"/>
      <c r="H504" s="488">
        <f t="shared" si="222"/>
        <v>0</v>
      </c>
      <c r="I504" s="129"/>
      <c r="J504" s="130"/>
      <c r="K504" s="131"/>
      <c r="L504" s="129"/>
      <c r="M504" s="109"/>
      <c r="N504" s="130"/>
      <c r="O504" s="479"/>
      <c r="P504" s="479"/>
      <c r="Q504" s="479"/>
      <c r="R504" s="479"/>
      <c r="S504" s="479"/>
      <c r="T504" s="479"/>
      <c r="U504" s="479"/>
      <c r="V504" s="132"/>
      <c r="W504" s="133"/>
      <c r="X504" s="132"/>
      <c r="Y504" s="132"/>
      <c r="Z504" s="132"/>
      <c r="AA504" s="132"/>
    </row>
    <row r="505" spans="1:27" ht="20.100000000000001" hidden="1" customHeight="1">
      <c r="A505" s="299"/>
      <c r="B505" s="480"/>
      <c r="C505" s="126"/>
      <c r="D505" s="108"/>
      <c r="E505" s="108"/>
      <c r="F505" s="127"/>
      <c r="G505" s="128"/>
      <c r="H505" s="488">
        <f t="shared" si="222"/>
        <v>0</v>
      </c>
      <c r="I505" s="129"/>
      <c r="J505" s="130"/>
      <c r="K505" s="131"/>
      <c r="L505" s="129"/>
      <c r="M505" s="109"/>
      <c r="N505" s="130"/>
      <c r="O505" s="479"/>
      <c r="P505" s="479"/>
      <c r="Q505" s="479"/>
      <c r="R505" s="479"/>
      <c r="S505" s="479"/>
      <c r="T505" s="479"/>
      <c r="U505" s="479"/>
      <c r="V505" s="132"/>
      <c r="W505" s="133"/>
      <c r="X505" s="132"/>
      <c r="Y505" s="132"/>
      <c r="Z505" s="132"/>
      <c r="AA505" s="132"/>
    </row>
    <row r="506" spans="1:27" ht="20.100000000000001" hidden="1" customHeight="1">
      <c r="A506" s="618" t="s">
        <v>244</v>
      </c>
      <c r="B506" s="619"/>
      <c r="C506" s="486" t="s">
        <v>202</v>
      </c>
      <c r="D506" s="143"/>
      <c r="E506" s="143"/>
      <c r="F506" s="144"/>
      <c r="G506" s="145">
        <f>SUM(G491:G505)</f>
        <v>0</v>
      </c>
      <c r="H506" s="146">
        <f>SUM(H491:H501)</f>
        <v>0</v>
      </c>
      <c r="I506" s="146">
        <f>SUM(I491:I505)</f>
        <v>0</v>
      </c>
      <c r="J506" s="130" t="str">
        <f t="array" ref="J506">IF(ISERROR(G506/I506),"",G506/I506)</f>
        <v/>
      </c>
      <c r="K506" s="146">
        <f>SUM(K491:K501)</f>
        <v>0</v>
      </c>
      <c r="L506" s="147"/>
      <c r="M506" s="150">
        <f t="shared" ref="M506:AA506" si="234">SUM(M491:M501)</f>
        <v>0</v>
      </c>
      <c r="N506" s="146">
        <f t="shared" si="234"/>
        <v>0</v>
      </c>
      <c r="O506" s="148">
        <f t="shared" si="234"/>
        <v>0</v>
      </c>
      <c r="P506" s="148">
        <f t="shared" si="234"/>
        <v>0</v>
      </c>
      <c r="Q506" s="148">
        <f t="shared" si="234"/>
        <v>0</v>
      </c>
      <c r="R506" s="148">
        <f t="shared" si="234"/>
        <v>0</v>
      </c>
      <c r="S506" s="148">
        <f t="shared" si="234"/>
        <v>0</v>
      </c>
      <c r="T506" s="148">
        <f t="shared" si="234"/>
        <v>0</v>
      </c>
      <c r="U506" s="148">
        <f t="shared" si="234"/>
        <v>0</v>
      </c>
      <c r="V506" s="149">
        <f t="shared" si="234"/>
        <v>0</v>
      </c>
      <c r="W506" s="133">
        <f t="shared" si="234"/>
        <v>0</v>
      </c>
      <c r="X506" s="149">
        <f t="shared" si="234"/>
        <v>0</v>
      </c>
      <c r="Y506" s="149">
        <f t="shared" si="234"/>
        <v>0</v>
      </c>
      <c r="Z506" s="149">
        <f t="shared" si="234"/>
        <v>0</v>
      </c>
      <c r="AA506" s="149">
        <f t="shared" si="234"/>
        <v>0</v>
      </c>
    </row>
    <row r="507" spans="1:27" ht="20.100000000000001" customHeight="1">
      <c r="A507" s="620" t="s">
        <v>246</v>
      </c>
      <c r="B507" s="621"/>
      <c r="C507" s="621"/>
      <c r="D507" s="621"/>
      <c r="E507" s="621"/>
      <c r="F507" s="622"/>
      <c r="G507" s="154">
        <f>SUM(G370,G428,G463,G479,G490,G506)</f>
        <v>1083</v>
      </c>
      <c r="H507" s="154">
        <f>SUM(H370,H428,H463,H479,H490,H506)</f>
        <v>5447.49</v>
      </c>
      <c r="I507" s="154">
        <f>SUM(I370,I428,I463,I479,I490,I506)</f>
        <v>100</v>
      </c>
      <c r="J507" s="155">
        <f t="array" ref="J507">IF(ISERROR(G507/I507),"",G507/I507)</f>
        <v>10.83</v>
      </c>
      <c r="K507" s="154">
        <f>SUM(K370,K428,K463,K479,K490,K506)</f>
        <v>122.45723362658846</v>
      </c>
      <c r="L507" s="155">
        <f>IF(ISERROR(G507/K507),"",G507/K507)</f>
        <v>8.8439038505672585</v>
      </c>
      <c r="M507" s="154">
        <f t="shared" ref="M507:V507" si="235">SUM(M370,M428,M463,M479,M490,M506)</f>
        <v>-22.457233626588462</v>
      </c>
      <c r="N507" s="154">
        <f t="shared" si="235"/>
        <v>0</v>
      </c>
      <c r="O507" s="154">
        <f t="shared" si="235"/>
        <v>0</v>
      </c>
      <c r="P507" s="154">
        <f t="shared" si="235"/>
        <v>0</v>
      </c>
      <c r="Q507" s="154">
        <f t="shared" si="235"/>
        <v>0</v>
      </c>
      <c r="R507" s="154">
        <f t="shared" si="235"/>
        <v>0</v>
      </c>
      <c r="S507" s="154">
        <f t="shared" si="235"/>
        <v>0</v>
      </c>
      <c r="T507" s="154">
        <f t="shared" si="235"/>
        <v>0</v>
      </c>
      <c r="U507" s="154">
        <f t="shared" si="235"/>
        <v>0</v>
      </c>
      <c r="V507" s="154">
        <f t="shared" si="235"/>
        <v>0</v>
      </c>
      <c r="W507" s="156">
        <f t="shared" ref="W507" si="236">IF(ISERROR(V507/G507),"",V507/G507)</f>
        <v>0</v>
      </c>
      <c r="X507" s="154">
        <f>SUM(X370,X428,X463,X479,X490,X506)</f>
        <v>0</v>
      </c>
      <c r="Y507" s="154">
        <f>SUM(Y370,Y428,Y463,Y479,Y490,Y506)</f>
        <v>0</v>
      </c>
      <c r="Z507" s="154">
        <f>SUM(Z370,Z428,Z463,Z479,Z490,Z506)</f>
        <v>0</v>
      </c>
      <c r="AA507" s="154">
        <f>SUM(AA370,AA428,AA463,AA479,AA490,AA506)</f>
        <v>0</v>
      </c>
    </row>
    <row r="508" spans="1:27" ht="20.100000000000001" customHeight="1">
      <c r="A508" s="623" t="s">
        <v>476</v>
      </c>
      <c r="B508" s="485" t="s">
        <v>247</v>
      </c>
      <c r="C508" s="626" t="s">
        <v>248</v>
      </c>
      <c r="D508" s="627"/>
      <c r="E508" s="628" t="s">
        <v>249</v>
      </c>
      <c r="F508" s="628"/>
      <c r="G508" s="631" t="s">
        <v>250</v>
      </c>
      <c r="H508" s="631"/>
      <c r="I508" s="628" t="s">
        <v>251</v>
      </c>
      <c r="J508" s="628"/>
      <c r="K508" s="628" t="s">
        <v>252</v>
      </c>
      <c r="L508" s="628"/>
      <c r="M508" s="628" t="s">
        <v>253</v>
      </c>
      <c r="N508" s="628"/>
      <c r="O508" s="628" t="s">
        <v>254</v>
      </c>
      <c r="P508" s="631" t="s">
        <v>255</v>
      </c>
      <c r="Q508" s="631"/>
      <c r="R508" s="631" t="s">
        <v>252</v>
      </c>
      <c r="S508" s="631"/>
      <c r="T508" s="631" t="s">
        <v>256</v>
      </c>
      <c r="U508" s="631"/>
      <c r="V508" s="631" t="s">
        <v>257</v>
      </c>
      <c r="W508" s="631"/>
      <c r="X508" s="631" t="s">
        <v>252</v>
      </c>
      <c r="Y508" s="631"/>
      <c r="Z508" s="631" t="s">
        <v>256</v>
      </c>
      <c r="AA508" s="631"/>
    </row>
    <row r="509" spans="1:27" ht="20.100000000000001" customHeight="1">
      <c r="A509" s="624"/>
      <c r="B509" s="485" t="s">
        <v>258</v>
      </c>
      <c r="C509" s="626">
        <v>0</v>
      </c>
      <c r="D509" s="627"/>
      <c r="E509" s="630">
        <f>C509*11</f>
        <v>0</v>
      </c>
      <c r="F509" s="630"/>
      <c r="G509" s="631">
        <v>0</v>
      </c>
      <c r="H509" s="631"/>
      <c r="I509" s="630">
        <f>G509*11</f>
        <v>0</v>
      </c>
      <c r="J509" s="630"/>
      <c r="K509" s="630">
        <f>E509-I509</f>
        <v>0</v>
      </c>
      <c r="L509" s="630"/>
      <c r="M509" s="632" t="str">
        <f>IF(ISERROR(K509/E509),"",K509/E509)</f>
        <v/>
      </c>
      <c r="N509" s="632"/>
      <c r="O509" s="628"/>
      <c r="P509" s="631" t="s">
        <v>201</v>
      </c>
      <c r="Q509" s="631"/>
      <c r="R509" s="633">
        <f>SUM(O370:U370)</f>
        <v>0</v>
      </c>
      <c r="S509" s="633"/>
      <c r="T509" s="634" t="str">
        <f t="array" ref="T509">IF(ISERROR(R509/R516),"",R509/R516)</f>
        <v/>
      </c>
      <c r="U509" s="634"/>
      <c r="V509" s="631" t="s">
        <v>259</v>
      </c>
      <c r="W509" s="631"/>
      <c r="X509" s="635">
        <f>SUM(O370,O428,O463,O479,O490,O506)</f>
        <v>0</v>
      </c>
      <c r="Y509" s="635"/>
      <c r="Z509" s="634" t="str">
        <f t="array" ref="Z509">IF(ISERROR(X509/X516),"",X509/X516)</f>
        <v/>
      </c>
      <c r="AA509" s="634"/>
    </row>
    <row r="510" spans="1:27" ht="20.100000000000001" customHeight="1">
      <c r="A510" s="624"/>
      <c r="B510" s="485" t="s">
        <v>260</v>
      </c>
      <c r="C510" s="626">
        <v>0</v>
      </c>
      <c r="D510" s="627"/>
      <c r="E510" s="630">
        <f>C510*11</f>
        <v>0</v>
      </c>
      <c r="F510" s="630"/>
      <c r="G510" s="631">
        <v>0</v>
      </c>
      <c r="H510" s="631"/>
      <c r="I510" s="630">
        <f>G510*11</f>
        <v>0</v>
      </c>
      <c r="J510" s="630"/>
      <c r="K510" s="630">
        <f>E510-I510</f>
        <v>0</v>
      </c>
      <c r="L510" s="630"/>
      <c r="M510" s="632" t="str">
        <f>IF(ISERROR(K510/E510),"",K510/E510)</f>
        <v/>
      </c>
      <c r="N510" s="632"/>
      <c r="O510" s="628"/>
      <c r="P510" s="631" t="s">
        <v>216</v>
      </c>
      <c r="Q510" s="631"/>
      <c r="R510" s="633">
        <f>SUM(O428:U428)</f>
        <v>0</v>
      </c>
      <c r="S510" s="633"/>
      <c r="T510" s="634" t="str">
        <f>IF(ISERROR(R510/R516),"",R510/R516)</f>
        <v/>
      </c>
      <c r="U510" s="634"/>
      <c r="V510" s="631" t="s">
        <v>261</v>
      </c>
      <c r="W510" s="631"/>
      <c r="X510" s="635">
        <f>SUM(O371,O429,O464,O480,O491,O507)</f>
        <v>0</v>
      </c>
      <c r="Y510" s="635"/>
      <c r="Z510" s="634" t="str">
        <f>IF(ISERROR(X510/X516),"",X510/X516)</f>
        <v/>
      </c>
      <c r="AA510" s="634"/>
    </row>
    <row r="511" spans="1:27" ht="20.100000000000001" customHeight="1">
      <c r="A511" s="624"/>
      <c r="B511" s="485" t="s">
        <v>262</v>
      </c>
      <c r="C511" s="626">
        <v>0</v>
      </c>
      <c r="D511" s="627"/>
      <c r="E511" s="630">
        <f>C511*11</f>
        <v>0</v>
      </c>
      <c r="F511" s="630"/>
      <c r="G511" s="631">
        <v>0</v>
      </c>
      <c r="H511" s="631"/>
      <c r="I511" s="630">
        <f>G511*11</f>
        <v>0</v>
      </c>
      <c r="J511" s="630"/>
      <c r="K511" s="630">
        <f>E511-I511</f>
        <v>0</v>
      </c>
      <c r="L511" s="630"/>
      <c r="M511" s="632" t="str">
        <f>IF(ISERROR(K511/E511),"",K511/E511)</f>
        <v/>
      </c>
      <c r="N511" s="632"/>
      <c r="O511" s="628"/>
      <c r="P511" s="631" t="s">
        <v>224</v>
      </c>
      <c r="Q511" s="631"/>
      <c r="R511" s="633">
        <f>SUM(O463:U463)</f>
        <v>0</v>
      </c>
      <c r="S511" s="633"/>
      <c r="T511" s="634" t="str">
        <f>IF(ISERROR(R511/R516),"",R511/R516)</f>
        <v/>
      </c>
      <c r="U511" s="634"/>
      <c r="V511" s="631" t="s">
        <v>263</v>
      </c>
      <c r="W511" s="631"/>
      <c r="X511" s="635">
        <f>SUM(O373,O430,O465,O481,O492,O508)</f>
        <v>0</v>
      </c>
      <c r="Y511" s="635"/>
      <c r="Z511" s="634" t="str">
        <f>IF(ISERROR(X511/X516),"",X511/X516)</f>
        <v/>
      </c>
      <c r="AA511" s="634"/>
    </row>
    <row r="512" spans="1:27" ht="20.100000000000001" customHeight="1">
      <c r="A512" s="624"/>
      <c r="B512" s="485" t="s">
        <v>264</v>
      </c>
      <c r="C512" s="626">
        <v>1</v>
      </c>
      <c r="D512" s="627"/>
      <c r="E512" s="630">
        <f>C512*11</f>
        <v>11</v>
      </c>
      <c r="F512" s="630"/>
      <c r="G512" s="631">
        <v>1</v>
      </c>
      <c r="H512" s="631"/>
      <c r="I512" s="630">
        <f>G512*11</f>
        <v>11</v>
      </c>
      <c r="J512" s="630"/>
      <c r="K512" s="630">
        <f>E512-I512</f>
        <v>0</v>
      </c>
      <c r="L512" s="630"/>
      <c r="M512" s="632">
        <f>IF(ISERROR(K512/E512),"",K512/E512)</f>
        <v>0</v>
      </c>
      <c r="N512" s="632"/>
      <c r="O512" s="628"/>
      <c r="P512" s="631" t="s">
        <v>231</v>
      </c>
      <c r="Q512" s="631"/>
      <c r="R512" s="633">
        <f>SUM(O479:U479)</f>
        <v>0</v>
      </c>
      <c r="S512" s="633"/>
      <c r="T512" s="634" t="str">
        <f>IF(ISERROR(R512/R516),"",R512/R516)</f>
        <v/>
      </c>
      <c r="U512" s="634"/>
      <c r="V512" s="631" t="s">
        <v>265</v>
      </c>
      <c r="W512" s="631"/>
      <c r="X512" s="635">
        <f>SUM(O374,O431,O466,O482,O493,O509)</f>
        <v>0</v>
      </c>
      <c r="Y512" s="635"/>
      <c r="Z512" s="634" t="str">
        <f>IF(ISERROR(X512/X516),"",X512/X516)</f>
        <v/>
      </c>
      <c r="AA512" s="634"/>
    </row>
    <row r="513" spans="1:27" ht="20.100000000000001" customHeight="1">
      <c r="A513" s="625"/>
      <c r="B513" s="485" t="s">
        <v>266</v>
      </c>
      <c r="C513" s="636">
        <f>SUM(C509:D512)</f>
        <v>1</v>
      </c>
      <c r="D513" s="637"/>
      <c r="E513" s="630">
        <f>SUM(E509:F512)</f>
        <v>11</v>
      </c>
      <c r="F513" s="630"/>
      <c r="G513" s="631">
        <f>SUM(G509:H512)</f>
        <v>1</v>
      </c>
      <c r="H513" s="631"/>
      <c r="I513" s="630">
        <f>SUM(I509:J512)</f>
        <v>11</v>
      </c>
      <c r="J513" s="630"/>
      <c r="K513" s="630">
        <f>SUM(K509:L512)</f>
        <v>0</v>
      </c>
      <c r="L513" s="630"/>
      <c r="M513" s="632">
        <f>IF(ISERROR(K513/E513),"",K513/E513)</f>
        <v>0</v>
      </c>
      <c r="N513" s="632"/>
      <c r="O513" s="628"/>
      <c r="P513" s="631" t="s">
        <v>234</v>
      </c>
      <c r="Q513" s="631"/>
      <c r="R513" s="633">
        <f>SUM(O490:U490)</f>
        <v>0</v>
      </c>
      <c r="S513" s="633"/>
      <c r="T513" s="634" t="str">
        <f>IF(ISERROR(R513/R516),"",R513/R516)</f>
        <v/>
      </c>
      <c r="U513" s="634"/>
      <c r="V513" s="631" t="s">
        <v>267</v>
      </c>
      <c r="W513" s="631"/>
      <c r="X513" s="635">
        <f>SUM(O375,O432,O467,O483,O494,O510)</f>
        <v>0</v>
      </c>
      <c r="Y513" s="635"/>
      <c r="Z513" s="634" t="str">
        <f>IF(ISERROR(X513/X516),"",X513/X516)</f>
        <v/>
      </c>
      <c r="AA513" s="634"/>
    </row>
    <row r="514" spans="1:27" ht="20.100000000000001" customHeight="1">
      <c r="A514" s="307" t="s">
        <v>477</v>
      </c>
      <c r="B514" s="485">
        <f>G507</f>
        <v>1083</v>
      </c>
      <c r="C514" s="638" t="s">
        <v>269</v>
      </c>
      <c r="D514" s="639"/>
      <c r="E514" s="631">
        <f>H507</f>
        <v>5447.49</v>
      </c>
      <c r="F514" s="631"/>
      <c r="G514" s="631" t="s">
        <v>270</v>
      </c>
      <c r="H514" s="631"/>
      <c r="I514" s="640">
        <f>L507</f>
        <v>8.8439038505672585</v>
      </c>
      <c r="J514" s="640"/>
      <c r="K514" s="628" t="s">
        <v>271</v>
      </c>
      <c r="L514" s="628"/>
      <c r="M514" s="640">
        <f>J507</f>
        <v>10.83</v>
      </c>
      <c r="N514" s="640"/>
      <c r="O514" s="628"/>
      <c r="P514" s="631" t="s">
        <v>244</v>
      </c>
      <c r="Q514" s="631"/>
      <c r="R514" s="633">
        <f>SUM(O506:U506)</f>
        <v>0</v>
      </c>
      <c r="S514" s="633"/>
      <c r="T514" s="634" t="str">
        <f>IF(ISERROR(R514/R516),"",R514/R516)</f>
        <v/>
      </c>
      <c r="U514" s="634"/>
      <c r="V514" s="631" t="s">
        <v>272</v>
      </c>
      <c r="W514" s="631"/>
      <c r="X514" s="635">
        <f>SUM(O376,O433,O468,O484,O495,O511)</f>
        <v>0</v>
      </c>
      <c r="Y514" s="635"/>
      <c r="Z514" s="634" t="str">
        <f>IF(ISERROR(X514/X516),"",X514/X516)</f>
        <v/>
      </c>
      <c r="AA514" s="634"/>
    </row>
    <row r="515" spans="1:27" ht="20.100000000000001" customHeight="1">
      <c r="A515" s="308" t="s">
        <v>478</v>
      </c>
      <c r="B515" s="485">
        <f>I507+C513</f>
        <v>101</v>
      </c>
      <c r="C515" s="641" t="s">
        <v>251</v>
      </c>
      <c r="D515" s="642"/>
      <c r="E515" s="643">
        <f>K507+I513</f>
        <v>133.45723362658845</v>
      </c>
      <c r="F515" s="643"/>
      <c r="G515" s="631" t="s">
        <v>274</v>
      </c>
      <c r="H515" s="631"/>
      <c r="I515" s="640">
        <f>B515-E515</f>
        <v>-32.457233626588447</v>
      </c>
      <c r="J515" s="640"/>
      <c r="K515" s="628" t="s">
        <v>275</v>
      </c>
      <c r="L515" s="628"/>
      <c r="M515" s="632">
        <f>IF(ISERROR(I515/E515),"",I515/E515)</f>
        <v>-0.24320325503976317</v>
      </c>
      <c r="N515" s="632"/>
      <c r="O515" s="628"/>
      <c r="P515" s="631" t="s">
        <v>245</v>
      </c>
      <c r="Q515" s="631"/>
      <c r="R515" s="633"/>
      <c r="S515" s="633"/>
      <c r="T515" s="634" t="str">
        <f>IF(ISERROR(R515/R516),"",R515/R516)</f>
        <v/>
      </c>
      <c r="U515" s="634"/>
      <c r="V515" s="631" t="s">
        <v>264</v>
      </c>
      <c r="W515" s="631"/>
      <c r="X515" s="635">
        <f>SUM(O377,O434,O469,O489,O496,O512)</f>
        <v>0</v>
      </c>
      <c r="Y515" s="635"/>
      <c r="Z515" s="634" t="str">
        <f>IF(ISERROR(X515/X516),"",X515/X516)</f>
        <v/>
      </c>
      <c r="AA515" s="634"/>
    </row>
    <row r="516" spans="1:27" ht="20.100000000000001" customHeight="1">
      <c r="A516" s="308" t="s">
        <v>479</v>
      </c>
      <c r="B516" s="485">
        <f>N507</f>
        <v>0</v>
      </c>
      <c r="C516" s="641" t="s">
        <v>277</v>
      </c>
      <c r="D516" s="642"/>
      <c r="E516" s="634">
        <f>IF(ISERROR(B516/B515),"",B516/B515)</f>
        <v>0</v>
      </c>
      <c r="F516" s="634"/>
      <c r="G516" s="631" t="s">
        <v>278</v>
      </c>
      <c r="H516" s="631"/>
      <c r="I516" s="628">
        <f>V507</f>
        <v>0</v>
      </c>
      <c r="J516" s="628"/>
      <c r="K516" s="628" t="s">
        <v>279</v>
      </c>
      <c r="L516" s="628"/>
      <c r="M516" s="632">
        <f t="array" ref="M516">IF(ISERROR(I516/B514),"",I516/B514)</f>
        <v>0</v>
      </c>
      <c r="N516" s="632"/>
      <c r="O516" s="628"/>
      <c r="P516" s="631" t="s">
        <v>266</v>
      </c>
      <c r="Q516" s="631"/>
      <c r="R516" s="633">
        <f>SUM(R509:S515)</f>
        <v>0</v>
      </c>
      <c r="S516" s="633"/>
      <c r="T516" s="634"/>
      <c r="U516" s="634"/>
      <c r="V516" s="631" t="s">
        <v>266</v>
      </c>
      <c r="W516" s="631"/>
      <c r="X516" s="635">
        <f>SUM(X509:Y515)</f>
        <v>0</v>
      </c>
      <c r="Y516" s="635"/>
      <c r="Z516" s="634"/>
      <c r="AA516" s="634"/>
    </row>
    <row r="517" spans="1:27" ht="34.5" customHeight="1">
      <c r="A517" s="185" t="s">
        <v>334</v>
      </c>
      <c r="B517" s="186"/>
      <c r="C517" s="122"/>
      <c r="D517" s="122"/>
      <c r="E517" s="159"/>
      <c r="F517" s="159"/>
      <c r="G517" s="670" t="str">
        <f>IF(ISERROR(#REF!/#REF!),"",#REF!/#REF!)</f>
        <v/>
      </c>
      <c r="H517" s="670"/>
      <c r="I517" s="670"/>
      <c r="J517" s="125"/>
      <c r="K517" s="160"/>
      <c r="L517" s="122"/>
      <c r="M517" s="122"/>
      <c r="N517" s="670" t="str">
        <f>IF(ISERROR(G517/#REF!),"",G517/#REF!)</f>
        <v/>
      </c>
      <c r="O517" s="670"/>
      <c r="P517" s="670"/>
      <c r="Q517" s="670"/>
      <c r="R517" s="670"/>
      <c r="S517" s="487"/>
      <c r="T517" s="159"/>
      <c r="U517" s="159"/>
      <c r="V517" s="125"/>
      <c r="W517" s="125"/>
      <c r="X517" s="161"/>
      <c r="Y517" s="161"/>
      <c r="Z517" s="161"/>
      <c r="AA517" s="162"/>
    </row>
    <row r="518" spans="1:27" ht="20.100000000000001" customHeight="1">
      <c r="A518" s="311" t="s">
        <v>481</v>
      </c>
      <c r="B518" s="123"/>
      <c r="C518" s="122"/>
      <c r="D518" s="122"/>
      <c r="E518" s="122"/>
      <c r="F518" s="122"/>
      <c r="G518" s="163"/>
      <c r="H518" s="122"/>
      <c r="I518" s="123"/>
      <c r="J518" s="125"/>
      <c r="K518" s="160"/>
      <c r="L518" s="122"/>
      <c r="M518" s="122"/>
      <c r="N518" s="122"/>
      <c r="O518" s="122"/>
      <c r="P518" s="122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673" t="s">
        <v>268</v>
      </c>
      <c r="B519" s="673"/>
      <c r="C519" s="626">
        <f>SUM(B171,B342,B514)</f>
        <v>12941</v>
      </c>
      <c r="D519" s="627"/>
      <c r="E519" s="673" t="s">
        <v>269</v>
      </c>
      <c r="F519" s="673"/>
      <c r="G519" s="643">
        <f>SUM(E171,E342,E514)</f>
        <v>65913.86</v>
      </c>
      <c r="H519" s="643"/>
      <c r="I519" s="631" t="s">
        <v>270</v>
      </c>
      <c r="J519" s="673"/>
      <c r="K519" s="626">
        <f>IF(ISERROR(C519/G520),"",C519/G520)</f>
        <v>15.879460639430928</v>
      </c>
      <c r="L519" s="627"/>
      <c r="M519" s="631" t="s">
        <v>271</v>
      </c>
      <c r="N519" s="631"/>
      <c r="O519" s="668">
        <f t="array" ref="O519">IF(ISERROR(C519/C520),"",C519/C520)</f>
        <v>17.370469798657719</v>
      </c>
      <c r="P519" s="669"/>
      <c r="Q519" s="122"/>
      <c r="R519" s="122"/>
      <c r="S519" s="122"/>
      <c r="T519" s="122"/>
      <c r="U519" s="164"/>
      <c r="V519" s="164"/>
      <c r="W519" s="164"/>
      <c r="X519" s="122"/>
      <c r="Y519" s="122"/>
      <c r="Z519" s="122"/>
      <c r="AA519" s="123"/>
    </row>
    <row r="520" spans="1:27" ht="20.100000000000001" customHeight="1">
      <c r="A520" s="631" t="s">
        <v>273</v>
      </c>
      <c r="B520" s="631"/>
      <c r="C520" s="626">
        <f>SUM(B172,B343,B515)</f>
        <v>745</v>
      </c>
      <c r="D520" s="627"/>
      <c r="E520" s="631" t="s">
        <v>251</v>
      </c>
      <c r="F520" s="631"/>
      <c r="G520" s="643">
        <f>SUM(E172,E343,E515)</f>
        <v>814.95211291154828</v>
      </c>
      <c r="H520" s="643"/>
      <c r="I520" s="641" t="s">
        <v>274</v>
      </c>
      <c r="J520" s="642"/>
      <c r="K520" s="638">
        <f>C520-G520</f>
        <v>-69.952112911548284</v>
      </c>
      <c r="L520" s="639"/>
      <c r="M520" s="638" t="s">
        <v>275</v>
      </c>
      <c r="N520" s="639"/>
      <c r="O520" s="671">
        <f>IF(ISERROR(K520/C520),"",K520/C520)</f>
        <v>-9.3895453572548027E-2</v>
      </c>
      <c r="P520" s="672"/>
      <c r="Q520" s="122"/>
      <c r="R520" s="122"/>
      <c r="S520" s="122"/>
      <c r="T520" s="122"/>
      <c r="U520" s="164"/>
      <c r="V520" s="164"/>
      <c r="W520" s="164"/>
      <c r="X520" s="122"/>
      <c r="Y520" s="122"/>
      <c r="Z520" s="122"/>
      <c r="AA520" s="123"/>
    </row>
    <row r="521" spans="1:27" ht="20.100000000000001" customHeight="1">
      <c r="A521" s="641" t="s">
        <v>276</v>
      </c>
      <c r="B521" s="642"/>
      <c r="C521" s="626">
        <f>SUM(B173,B344,B516)</f>
        <v>0</v>
      </c>
      <c r="D521" s="627"/>
      <c r="E521" s="641" t="s">
        <v>277</v>
      </c>
      <c r="F521" s="642"/>
      <c r="G521" s="634">
        <f>IF(ISERROR(C521/C520),"",C521/C520)</f>
        <v>0</v>
      </c>
      <c r="H521" s="634"/>
      <c r="I521" s="631" t="s">
        <v>278</v>
      </c>
      <c r="J521" s="673"/>
      <c r="K521" s="643">
        <f>SUM(I173,I344,I516)</f>
        <v>0</v>
      </c>
      <c r="L521" s="643"/>
      <c r="M521" s="673" t="s">
        <v>279</v>
      </c>
      <c r="N521" s="673"/>
      <c r="O521" s="671">
        <f t="array" ref="O521">IF(ISERROR(K521/C519),"",K521/C519)</f>
        <v>0</v>
      </c>
      <c r="P521" s="672"/>
      <c r="Q521" s="122"/>
      <c r="R521" s="122"/>
      <c r="S521" s="122"/>
      <c r="T521" s="122"/>
      <c r="U521" s="164"/>
      <c r="V521" s="164"/>
      <c r="W521" s="164"/>
      <c r="X521" s="122"/>
      <c r="Y521" s="122"/>
      <c r="Z521" s="122"/>
      <c r="AA521" s="123"/>
    </row>
    <row r="522" spans="1:27" ht="20.100000000000001" customHeight="1">
      <c r="A522" s="311" t="s">
        <v>482</v>
      </c>
      <c r="B522" s="123"/>
      <c r="C522" s="165"/>
      <c r="D522" s="165"/>
      <c r="E522" s="166"/>
      <c r="F522" s="166"/>
      <c r="G522" s="347"/>
      <c r="H522" s="168"/>
      <c r="I522" s="487"/>
      <c r="J522" s="125"/>
      <c r="K522" s="169"/>
      <c r="L522" s="123"/>
      <c r="M522" s="123"/>
      <c r="N522" s="159"/>
      <c r="O522" s="159"/>
      <c r="P522" s="159"/>
      <c r="Q522" s="159"/>
      <c r="R522" s="159"/>
      <c r="S522" s="159"/>
      <c r="T522" s="123"/>
      <c r="U522" s="123"/>
      <c r="V522" s="166"/>
      <c r="W522" s="123"/>
      <c r="X522" s="122"/>
      <c r="Y522" s="122"/>
      <c r="Z522" s="122"/>
      <c r="AA522" s="118"/>
    </row>
    <row r="523" spans="1:27" ht="20.100000000000001" customHeight="1">
      <c r="A523" s="641" t="s">
        <v>298</v>
      </c>
      <c r="B523" s="642"/>
      <c r="C523" s="641" t="s">
        <v>299</v>
      </c>
      <c r="D523" s="642"/>
      <c r="E523" s="641" t="s">
        <v>256</v>
      </c>
      <c r="F523" s="642"/>
      <c r="G523" s="674" t="s">
        <v>254</v>
      </c>
      <c r="H523" s="675"/>
      <c r="I523" s="641" t="s">
        <v>255</v>
      </c>
      <c r="J523" s="639"/>
      <c r="K523" s="641" t="s">
        <v>300</v>
      </c>
      <c r="L523" s="642"/>
      <c r="M523" s="641" t="s">
        <v>256</v>
      </c>
      <c r="N523" s="642"/>
      <c r="O523" s="631" t="s">
        <v>257</v>
      </c>
      <c r="P523" s="631"/>
      <c r="Q523" s="641" t="s">
        <v>300</v>
      </c>
      <c r="R523" s="642"/>
      <c r="S523" s="641" t="s">
        <v>256</v>
      </c>
      <c r="T523" s="642"/>
      <c r="U523" s="116"/>
      <c r="V523" s="116"/>
      <c r="W523" s="122"/>
      <c r="X523" s="170"/>
      <c r="Y523" s="116"/>
      <c r="Z523" s="159"/>
      <c r="AA523" s="159"/>
    </row>
    <row r="524" spans="1:27" ht="20.100000000000001" customHeight="1">
      <c r="A524" s="680" t="s">
        <v>201</v>
      </c>
      <c r="B524" s="642"/>
      <c r="C524" s="641">
        <f>SUM(G28,G199,G370)</f>
        <v>1582</v>
      </c>
      <c r="D524" s="642"/>
      <c r="E524" s="681">
        <f>IF(ISERROR(C524/C530),"",C524/C530)</f>
        <v>0.12224712155165753</v>
      </c>
      <c r="F524" s="682"/>
      <c r="G524" s="676"/>
      <c r="H524" s="677"/>
      <c r="I524" s="683" t="s">
        <v>301</v>
      </c>
      <c r="J524" s="684"/>
      <c r="K524" s="638">
        <f t="shared" ref="K524:K529" si="237">SUM(R166,U337,U509)</f>
        <v>0</v>
      </c>
      <c r="L524" s="639"/>
      <c r="M524" s="681" t="str">
        <f t="array" ref="M524">IF(ISERROR(K524/K530),"",K524/K530)</f>
        <v/>
      </c>
      <c r="N524" s="682"/>
      <c r="O524" s="631" t="s">
        <v>259</v>
      </c>
      <c r="P524" s="631"/>
      <c r="Q524" s="668">
        <f t="shared" ref="Q524:Q529" si="238">SUM(X166,AA337,AA509)</f>
        <v>0</v>
      </c>
      <c r="R524" s="669"/>
      <c r="S524" s="681" t="str">
        <f t="array" ref="S524">IF(ISERROR(Q524/Q530),"",Q524/Q530)</f>
        <v/>
      </c>
      <c r="T524" s="682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680" t="s">
        <v>216</v>
      </c>
      <c r="B525" s="642"/>
      <c r="C525" s="641">
        <f>SUM(G86,G257,G428)</f>
        <v>6230</v>
      </c>
      <c r="D525" s="642"/>
      <c r="E525" s="681">
        <f>IF(ISERROR(C525/C530),"",C525/C530)</f>
        <v>0.48141565566803185</v>
      </c>
      <c r="F525" s="682"/>
      <c r="G525" s="676"/>
      <c r="H525" s="677"/>
      <c r="I525" s="683" t="s">
        <v>302</v>
      </c>
      <c r="J525" s="684"/>
      <c r="K525" s="638">
        <f t="shared" si="237"/>
        <v>0</v>
      </c>
      <c r="L525" s="639"/>
      <c r="M525" s="681" t="str">
        <f>IF(ISERROR(K525/K530),"",K525/K530)</f>
        <v/>
      </c>
      <c r="N525" s="682"/>
      <c r="O525" s="631" t="s">
        <v>261</v>
      </c>
      <c r="P525" s="631"/>
      <c r="Q525" s="668">
        <f t="shared" si="238"/>
        <v>0</v>
      </c>
      <c r="R525" s="669"/>
      <c r="S525" s="681" t="str">
        <f>IF(ISERROR(Q525/Q530),"",Q525/Q530)</f>
        <v/>
      </c>
      <c r="T525" s="682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680" t="s">
        <v>224</v>
      </c>
      <c r="B526" s="642"/>
      <c r="C526" s="641">
        <f>SUM(G121,G292,G463)</f>
        <v>1840</v>
      </c>
      <c r="D526" s="642"/>
      <c r="E526" s="681">
        <f>IF(ISERROR(C526/C530),"",C526/C530)</f>
        <v>0.14218375705123251</v>
      </c>
      <c r="F526" s="682"/>
      <c r="G526" s="676"/>
      <c r="H526" s="677"/>
      <c r="I526" s="683" t="s">
        <v>303</v>
      </c>
      <c r="J526" s="684"/>
      <c r="K526" s="638">
        <f t="shared" si="237"/>
        <v>0</v>
      </c>
      <c r="L526" s="639"/>
      <c r="M526" s="681" t="str">
        <f>IF(ISERROR(K526/K530),"",K526/K530)</f>
        <v/>
      </c>
      <c r="N526" s="682"/>
      <c r="O526" s="631" t="s">
        <v>263</v>
      </c>
      <c r="P526" s="631"/>
      <c r="Q526" s="668">
        <f t="shared" si="238"/>
        <v>0</v>
      </c>
      <c r="R526" s="669"/>
      <c r="S526" s="681" t="str">
        <f>IF(ISERROR(Q526/Q530),"",Q526/Q530)</f>
        <v/>
      </c>
      <c r="T526" s="682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680" t="s">
        <v>231</v>
      </c>
      <c r="B527" s="642"/>
      <c r="C527" s="641">
        <f>SUM(G137,G308,G479)</f>
        <v>1515</v>
      </c>
      <c r="D527" s="642"/>
      <c r="E527" s="681">
        <f>IF(ISERROR(C527/C530),"",C527/C530)</f>
        <v>0.11706977822424851</v>
      </c>
      <c r="F527" s="682"/>
      <c r="G527" s="676"/>
      <c r="H527" s="677"/>
      <c r="I527" s="683" t="s">
        <v>304</v>
      </c>
      <c r="J527" s="684"/>
      <c r="K527" s="638">
        <f t="shared" si="237"/>
        <v>0</v>
      </c>
      <c r="L527" s="639"/>
      <c r="M527" s="681" t="str">
        <f>IF(ISERROR(K527/K530),"",K527/K530)</f>
        <v/>
      </c>
      <c r="N527" s="682"/>
      <c r="O527" s="631" t="s">
        <v>305</v>
      </c>
      <c r="P527" s="631"/>
      <c r="Q527" s="668">
        <f t="shared" si="238"/>
        <v>0</v>
      </c>
      <c r="R527" s="669"/>
      <c r="S527" s="681" t="str">
        <f>IF(ISERROR(Q527/Q530),"",Q527/Q530)</f>
        <v/>
      </c>
      <c r="T527" s="682"/>
      <c r="U527" s="116"/>
      <c r="V527" s="116"/>
      <c r="W527" s="168"/>
      <c r="X527" s="170"/>
      <c r="Y527" s="116"/>
      <c r="Z527" s="159"/>
      <c r="AA527" s="159"/>
    </row>
    <row r="528" spans="1:27" ht="20.100000000000001" customHeight="1">
      <c r="A528" s="680" t="s">
        <v>234</v>
      </c>
      <c r="B528" s="642"/>
      <c r="C528" s="641">
        <f>SUM(G148,G319,G490)</f>
        <v>1289</v>
      </c>
      <c r="D528" s="642"/>
      <c r="E528" s="681">
        <f>IF(ISERROR(C528/C530),"",C528/C530)</f>
        <v>9.9605903716868865E-2</v>
      </c>
      <c r="F528" s="682"/>
      <c r="G528" s="676"/>
      <c r="H528" s="677"/>
      <c r="I528" s="683" t="s">
        <v>306</v>
      </c>
      <c r="J528" s="684"/>
      <c r="K528" s="638">
        <f t="shared" si="237"/>
        <v>0</v>
      </c>
      <c r="L528" s="639"/>
      <c r="M528" s="681" t="str">
        <f>IF(ISERROR(K528/K530),"",K528/K530)</f>
        <v/>
      </c>
      <c r="N528" s="682"/>
      <c r="O528" s="631" t="s">
        <v>267</v>
      </c>
      <c r="P528" s="631"/>
      <c r="Q528" s="668">
        <f t="shared" si="238"/>
        <v>0</v>
      </c>
      <c r="R528" s="669"/>
      <c r="S528" s="681" t="str">
        <f>IF(ISERROR(Q528/Q530),"",Q528/Q530)</f>
        <v/>
      </c>
      <c r="T528" s="682"/>
      <c r="U528" s="116"/>
      <c r="V528" s="116"/>
      <c r="W528" s="168"/>
      <c r="X528" s="170"/>
      <c r="Y528" s="116"/>
      <c r="Z528" s="159"/>
      <c r="AA528" s="159"/>
    </row>
    <row r="529" spans="1:27" ht="20.100000000000001" customHeight="1">
      <c r="A529" s="680" t="s">
        <v>244</v>
      </c>
      <c r="B529" s="642"/>
      <c r="C529" s="641">
        <f>SUM(G163,G334,G506)</f>
        <v>485</v>
      </c>
      <c r="D529" s="642"/>
      <c r="E529" s="681">
        <f>IF(ISERROR(C529/C530),"",C529/C530)</f>
        <v>3.7477783787960746E-2</v>
      </c>
      <c r="F529" s="682"/>
      <c r="G529" s="676"/>
      <c r="H529" s="677"/>
      <c r="I529" s="683" t="s">
        <v>307</v>
      </c>
      <c r="J529" s="684"/>
      <c r="K529" s="638">
        <f t="shared" si="237"/>
        <v>0</v>
      </c>
      <c r="L529" s="639"/>
      <c r="M529" s="681" t="str">
        <f>IF(ISERROR(K529/K530),"",K529/K530)</f>
        <v/>
      </c>
      <c r="N529" s="682"/>
      <c r="O529" s="631" t="s">
        <v>272</v>
      </c>
      <c r="P529" s="631"/>
      <c r="Q529" s="668">
        <f t="shared" si="238"/>
        <v>0</v>
      </c>
      <c r="R529" s="669"/>
      <c r="S529" s="681" t="str">
        <f>IF(ISERROR(Q529/Q530),"",Q529/Q530)</f>
        <v/>
      </c>
      <c r="T529" s="682"/>
      <c r="U529" s="116"/>
      <c r="V529" s="116"/>
      <c r="W529" s="168"/>
      <c r="X529" s="170"/>
      <c r="Y529" s="116"/>
      <c r="Z529" s="159"/>
      <c r="AA529" s="159"/>
    </row>
    <row r="530" spans="1:27" ht="20.100000000000001" customHeight="1">
      <c r="A530" s="641" t="s">
        <v>266</v>
      </c>
      <c r="B530" s="642"/>
      <c r="C530" s="641">
        <f>SUM(C524:C529)</f>
        <v>12941</v>
      </c>
      <c r="D530" s="642"/>
      <c r="E530" s="681">
        <f>SUM(E524:F529)</f>
        <v>1</v>
      </c>
      <c r="F530" s="682"/>
      <c r="G530" s="678"/>
      <c r="H530" s="679"/>
      <c r="I530" s="641" t="s">
        <v>266</v>
      </c>
      <c r="J530" s="639"/>
      <c r="K530" s="638">
        <f>SUM(R173,U344,U516)</f>
        <v>0</v>
      </c>
      <c r="L530" s="639"/>
      <c r="M530" s="681"/>
      <c r="N530" s="682"/>
      <c r="O530" s="631" t="s">
        <v>266</v>
      </c>
      <c r="P530" s="631"/>
      <c r="Q530" s="668">
        <f>SUM(Q524:R529)</f>
        <v>0</v>
      </c>
      <c r="R530" s="669"/>
      <c r="S530" s="681">
        <f>SUM(S524:T529)</f>
        <v>0</v>
      </c>
      <c r="T530" s="682"/>
      <c r="U530" s="116"/>
      <c r="V530" s="116"/>
      <c r="W530" s="122"/>
      <c r="X530" s="170"/>
      <c r="Y530" s="116"/>
      <c r="Z530" s="159"/>
      <c r="AA530" s="159"/>
    </row>
    <row r="531" spans="1:27" ht="20.100000000000001" customHeight="1">
      <c r="A531" s="312" t="s">
        <v>483</v>
      </c>
      <c r="B531" s="171"/>
      <c r="C531" s="172"/>
      <c r="D531" s="172"/>
      <c r="E531" s="172"/>
      <c r="F531" s="172"/>
      <c r="G531" s="173"/>
      <c r="H531" s="174"/>
      <c r="I531" s="175"/>
      <c r="J531" s="174"/>
      <c r="K531" s="176"/>
      <c r="L531" s="174"/>
      <c r="M531" s="174"/>
      <c r="N531" s="174"/>
      <c r="O531" s="174"/>
      <c r="P531" s="174"/>
      <c r="Q531" s="174"/>
      <c r="R531" s="174"/>
      <c r="S531" s="174"/>
      <c r="T531" s="174"/>
      <c r="U531" s="177"/>
      <c r="V531" s="177"/>
      <c r="W531" s="177"/>
      <c r="X531" s="178"/>
      <c r="Y531" s="178"/>
      <c r="Z531" s="177"/>
      <c r="AA531" s="170"/>
    </row>
    <row r="532" spans="1:27" ht="20.100000000000001" customHeight="1">
      <c r="A532" s="683" t="s">
        <v>308</v>
      </c>
      <c r="B532" s="637"/>
      <c r="C532" s="478" t="s">
        <v>309</v>
      </c>
      <c r="D532" s="478" t="s">
        <v>310</v>
      </c>
      <c r="E532" s="478" t="s">
        <v>311</v>
      </c>
      <c r="F532" s="478" t="s">
        <v>312</v>
      </c>
      <c r="G532" s="348" t="s">
        <v>313</v>
      </c>
      <c r="H532" s="129" t="s">
        <v>314</v>
      </c>
      <c r="I532" s="129" t="s">
        <v>315</v>
      </c>
      <c r="J532" s="129" t="s">
        <v>316</v>
      </c>
      <c r="K532" s="479" t="s">
        <v>317</v>
      </c>
      <c r="L532" s="129" t="s">
        <v>318</v>
      </c>
      <c r="M532" s="129" t="s">
        <v>319</v>
      </c>
      <c r="N532" s="129" t="s">
        <v>320</v>
      </c>
      <c r="O532" s="129" t="s">
        <v>321</v>
      </c>
      <c r="P532" s="488" t="s">
        <v>322</v>
      </c>
      <c r="Q532" s="129" t="s">
        <v>323</v>
      </c>
      <c r="R532" s="109" t="s">
        <v>324</v>
      </c>
      <c r="S532" s="478" t="s">
        <v>325</v>
      </c>
      <c r="T532" s="478" t="s">
        <v>326</v>
      </c>
      <c r="U532" s="179"/>
      <c r="V532" s="179"/>
      <c r="X532" s="116"/>
      <c r="Y532" s="116"/>
      <c r="Z532" s="159"/>
      <c r="AA532" s="159"/>
    </row>
    <row r="533" spans="1:27" ht="20.100000000000001" customHeight="1">
      <c r="A533" s="685" t="s">
        <v>327</v>
      </c>
      <c r="B533" s="686"/>
      <c r="C533" s="106">
        <f>D533+E533+F533-G533-O533-P533</f>
        <v>46</v>
      </c>
      <c r="D533" s="106">
        <f>+'7'!C533</f>
        <v>46</v>
      </c>
      <c r="E533" s="106"/>
      <c r="F533" s="106"/>
      <c r="G533" s="107"/>
      <c r="H533" s="106"/>
      <c r="I533" s="106"/>
      <c r="J533" s="106">
        <f>C533-H533-I533</f>
        <v>46</v>
      </c>
      <c r="K533" s="106"/>
      <c r="L533" s="106"/>
      <c r="M533" s="106"/>
      <c r="N533" s="106"/>
      <c r="O533" s="106"/>
      <c r="P533" s="108"/>
      <c r="Q533" s="106">
        <f>J533-K533-L533</f>
        <v>46</v>
      </c>
      <c r="R533" s="109">
        <f>Q533*11-M533-N533</f>
        <v>506</v>
      </c>
      <c r="S533" s="481">
        <f t="array" ref="S533">IF(ISERROR(Q533/J533),"",Q533/J533)</f>
        <v>1</v>
      </c>
      <c r="T533" s="481">
        <f t="array" ref="T533">IF(ISERROR((O533:P533)/C533),"",SUM(O533:P533)/C533)</f>
        <v>0</v>
      </c>
      <c r="X533" s="116"/>
      <c r="Y533" s="116"/>
      <c r="Z533" s="159"/>
      <c r="AA533" s="159"/>
    </row>
    <row r="534" spans="1:27" ht="20.100000000000001" customHeight="1">
      <c r="A534" s="685" t="s">
        <v>328</v>
      </c>
      <c r="B534" s="686"/>
      <c r="C534" s="106">
        <f>D534+E534+F534-G534-O534-P534</f>
        <v>44</v>
      </c>
      <c r="D534" s="106">
        <f>+'7'!C534</f>
        <v>44</v>
      </c>
      <c r="E534" s="110"/>
      <c r="F534" s="110"/>
      <c r="G534" s="107"/>
      <c r="H534" s="106"/>
      <c r="I534" s="106"/>
      <c r="J534" s="106">
        <f>C534-H534-I534</f>
        <v>44</v>
      </c>
      <c r="K534" s="106">
        <v>1</v>
      </c>
      <c r="L534" s="106"/>
      <c r="M534" s="106"/>
      <c r="N534" s="106"/>
      <c r="O534" s="110"/>
      <c r="P534" s="111"/>
      <c r="Q534" s="106">
        <f>J534-K534-L534</f>
        <v>43</v>
      </c>
      <c r="R534" s="109">
        <f>Q534*11-M534-N534</f>
        <v>473</v>
      </c>
      <c r="S534" s="481">
        <f t="array" ref="S534">IF(ISERROR(Q534/J534),"",Q534/J534)</f>
        <v>0.97727272727272729</v>
      </c>
      <c r="T534" s="481">
        <f t="array" ref="T534">IF(ISERROR((O534:P534)/C534),"",SUM(O534:P534)/C534)</f>
        <v>0</v>
      </c>
      <c r="X534" s="116"/>
      <c r="Y534" s="116"/>
      <c r="Z534" s="159"/>
      <c r="AA534" s="159"/>
    </row>
    <row r="535" spans="1:27" ht="20.100000000000001" customHeight="1">
      <c r="A535" s="685" t="s">
        <v>329</v>
      </c>
      <c r="B535" s="686"/>
      <c r="C535" s="106">
        <f>D535+E535+F535-G535-O535-P535</f>
        <v>10</v>
      </c>
      <c r="D535" s="106">
        <f>+'7'!C535</f>
        <v>10</v>
      </c>
      <c r="E535" s="110"/>
      <c r="F535" s="110"/>
      <c r="G535" s="107"/>
      <c r="H535" s="106"/>
      <c r="I535" s="106"/>
      <c r="J535" s="106">
        <f>C535-H535-I535</f>
        <v>10</v>
      </c>
      <c r="K535" s="106"/>
      <c r="L535" s="106"/>
      <c r="M535" s="106"/>
      <c r="N535" s="106"/>
      <c r="O535" s="110"/>
      <c r="P535" s="111"/>
      <c r="Q535" s="106">
        <f>J535-K535-L535</f>
        <v>10</v>
      </c>
      <c r="R535" s="109">
        <f>Q535*11-M535-N535</f>
        <v>110</v>
      </c>
      <c r="S535" s="481">
        <f t="array" ref="S535">IF(ISERROR(Q535/J535),"",Q535/J535)</f>
        <v>1</v>
      </c>
      <c r="T535" s="481">
        <f t="array" ref="T535">IF(ISERROR((O535:P535)/C535),"",SUM(O535:P535)/C535)</f>
        <v>0</v>
      </c>
      <c r="V535" s="179"/>
      <c r="X535" s="116"/>
      <c r="Y535" s="116"/>
      <c r="Z535" s="159"/>
      <c r="AA535" s="159"/>
    </row>
    <row r="536" spans="1:27" ht="20.100000000000001" customHeight="1">
      <c r="A536" s="687" t="s">
        <v>330</v>
      </c>
      <c r="B536" s="688"/>
      <c r="C536" s="112">
        <f>SUM(C533:C535)</f>
        <v>100</v>
      </c>
      <c r="D536" s="112">
        <f t="shared" ref="D536:N536" si="239">SUM(D533:D535)</f>
        <v>100</v>
      </c>
      <c r="E536" s="112">
        <f t="shared" si="239"/>
        <v>0</v>
      </c>
      <c r="F536" s="112">
        <f t="shared" si="239"/>
        <v>0</v>
      </c>
      <c r="G536" s="113">
        <f t="shared" si="239"/>
        <v>0</v>
      </c>
      <c r="H536" s="112">
        <f t="shared" si="239"/>
        <v>0</v>
      </c>
      <c r="I536" s="112">
        <f t="shared" si="239"/>
        <v>0</v>
      </c>
      <c r="J536" s="112">
        <f t="shared" si="239"/>
        <v>100</v>
      </c>
      <c r="K536" s="112">
        <f t="shared" si="239"/>
        <v>1</v>
      </c>
      <c r="L536" s="112">
        <f t="shared" si="239"/>
        <v>0</v>
      </c>
      <c r="M536" s="112">
        <f t="shared" si="239"/>
        <v>0</v>
      </c>
      <c r="N536" s="112">
        <f t="shared" si="239"/>
        <v>0</v>
      </c>
      <c r="O536" s="112">
        <f>SUM(O533:O535)</f>
        <v>0</v>
      </c>
      <c r="P536" s="112">
        <f>SUM(P533:P535)</f>
        <v>0</v>
      </c>
      <c r="Q536" s="112">
        <f>SUM(Q533:Q535)</f>
        <v>99</v>
      </c>
      <c r="R536" s="114">
        <f>SUM(R533:R535)</f>
        <v>1089</v>
      </c>
      <c r="S536" s="115">
        <f t="array" ref="S536">IF(ISERROR(Q536/J536),"",Q536/J536)</f>
        <v>0.99</v>
      </c>
      <c r="T536" s="115">
        <f t="array" ref="T536">IF(ISERROR((O536:P536)/C536),"",SUM(O536:P536)/C536)</f>
        <v>0</v>
      </c>
      <c r="U536" s="180"/>
      <c r="V536" s="180"/>
      <c r="W536" s="180"/>
      <c r="X536" s="181"/>
      <c r="Y536" s="181"/>
      <c r="Z536" s="182"/>
      <c r="AA536" s="182"/>
    </row>
    <row r="537" spans="1:27">
      <c r="A537" s="313"/>
      <c r="B537" s="116"/>
      <c r="C537" s="116"/>
      <c r="D537" s="116"/>
      <c r="E537" s="116"/>
      <c r="F537" s="116"/>
      <c r="G537" s="117"/>
      <c r="H537" s="116"/>
      <c r="I537" s="118"/>
      <c r="J537" s="119"/>
      <c r="K537" s="120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  <c r="AA537" s="116"/>
    </row>
    <row r="538" spans="1:27">
      <c r="A538" s="313"/>
      <c r="B538" s="116" t="s">
        <v>331</v>
      </c>
      <c r="C538" s="116"/>
      <c r="D538" s="116"/>
      <c r="E538" s="116"/>
      <c r="F538" s="116"/>
      <c r="G538" s="117"/>
      <c r="H538" s="116"/>
      <c r="I538" s="118" t="s">
        <v>332</v>
      </c>
      <c r="J538" s="198" t="s">
        <v>447</v>
      </c>
      <c r="K538" s="120"/>
      <c r="L538" s="116"/>
      <c r="M538" s="116"/>
      <c r="N538" s="116"/>
      <c r="O538" s="116"/>
      <c r="P538" s="116"/>
      <c r="Q538" s="116"/>
      <c r="R538" s="116" t="s">
        <v>333</v>
      </c>
      <c r="S538" s="201" t="s">
        <v>412</v>
      </c>
      <c r="T538" s="116"/>
      <c r="V538" s="116"/>
      <c r="W538" s="116"/>
      <c r="X538" s="116"/>
      <c r="Y538" s="116"/>
      <c r="Z538" s="116"/>
      <c r="AA538" s="116"/>
    </row>
    <row r="554" spans="2:2">
      <c r="B554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8:B148"/>
    <mergeCell ref="A163:B163"/>
    <mergeCell ref="A164:F164"/>
    <mergeCell ref="A165:A170"/>
    <mergeCell ref="C165:D165"/>
    <mergeCell ref="E165:F165"/>
    <mergeCell ref="A28:B28"/>
    <mergeCell ref="A86:B86"/>
    <mergeCell ref="C166:D166"/>
    <mergeCell ref="E166:F166"/>
    <mergeCell ref="G166:H166"/>
    <mergeCell ref="G165:H165"/>
    <mergeCell ref="M167:N167"/>
    <mergeCell ref="P167:Q167"/>
    <mergeCell ref="R166:S166"/>
    <mergeCell ref="T166:U166"/>
    <mergeCell ref="C169:D169"/>
    <mergeCell ref="E169:F169"/>
    <mergeCell ref="G169:H169"/>
    <mergeCell ref="I169:J169"/>
    <mergeCell ref="X5:X6"/>
    <mergeCell ref="R165:S165"/>
    <mergeCell ref="T165:U165"/>
    <mergeCell ref="V165:W165"/>
    <mergeCell ref="X165:Y165"/>
    <mergeCell ref="I167:J167"/>
    <mergeCell ref="K167:L167"/>
    <mergeCell ref="R167:S167"/>
    <mergeCell ref="T167:U167"/>
    <mergeCell ref="V167:W167"/>
    <mergeCell ref="X167:Y167"/>
    <mergeCell ref="V4:V6"/>
    <mergeCell ref="W4:W6"/>
    <mergeCell ref="X4:AA4"/>
    <mergeCell ref="Z165:AA165"/>
    <mergeCell ref="I166:J166"/>
    <mergeCell ref="K166:L166"/>
    <mergeCell ref="I165:J165"/>
    <mergeCell ref="K165:L165"/>
    <mergeCell ref="M165:N165"/>
    <mergeCell ref="O165:O173"/>
    <mergeCell ref="P165:Q165"/>
    <mergeCell ref="M166:N166"/>
    <mergeCell ref="P166:Q166"/>
    <mergeCell ref="M168:N168"/>
    <mergeCell ref="P168:Q168"/>
    <mergeCell ref="R168:S168"/>
    <mergeCell ref="T168:U168"/>
    <mergeCell ref="V166:W166"/>
    <mergeCell ref="X166:Y166"/>
    <mergeCell ref="Z166:AA166"/>
    <mergeCell ref="C167:D167"/>
    <mergeCell ref="E167:F167"/>
    <mergeCell ref="G167:H167"/>
    <mergeCell ref="Z167:AA167"/>
    <mergeCell ref="C168:D168"/>
    <mergeCell ref="E168:F168"/>
    <mergeCell ref="G168:H168"/>
    <mergeCell ref="I168:J168"/>
    <mergeCell ref="K168:L168"/>
    <mergeCell ref="Z168:AA168"/>
    <mergeCell ref="V168:W168"/>
    <mergeCell ref="X168:Y168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V170:W170"/>
    <mergeCell ref="X170:Y170"/>
    <mergeCell ref="Z170:AA170"/>
    <mergeCell ref="K169:L169"/>
    <mergeCell ref="M169:N169"/>
    <mergeCell ref="P169:Q169"/>
    <mergeCell ref="R169:S169"/>
    <mergeCell ref="T169:U169"/>
    <mergeCell ref="C171:D171"/>
    <mergeCell ref="E171:F171"/>
    <mergeCell ref="G171:H171"/>
    <mergeCell ref="I171:J171"/>
    <mergeCell ref="K171:L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M171:N171"/>
    <mergeCell ref="P171:Q171"/>
    <mergeCell ref="R171:S171"/>
    <mergeCell ref="T171:U171"/>
    <mergeCell ref="V171:W171"/>
    <mergeCell ref="X171:Y171"/>
    <mergeCell ref="A175:A177"/>
    <mergeCell ref="B175:B177"/>
    <mergeCell ref="C175:C177"/>
    <mergeCell ref="D175:D177"/>
    <mergeCell ref="E175:E177"/>
    <mergeCell ref="V172:W172"/>
    <mergeCell ref="X172:Y172"/>
    <mergeCell ref="Z172:AA172"/>
    <mergeCell ref="C173:D173"/>
    <mergeCell ref="E173:F173"/>
    <mergeCell ref="G173:H173"/>
    <mergeCell ref="I173:J173"/>
    <mergeCell ref="K173:L173"/>
    <mergeCell ref="M173:N173"/>
    <mergeCell ref="P173:Q173"/>
    <mergeCell ref="I175:I177"/>
    <mergeCell ref="J175:J177"/>
    <mergeCell ref="K175:K177"/>
    <mergeCell ref="L175:L177"/>
    <mergeCell ref="R173:S173"/>
    <mergeCell ref="T173:U173"/>
    <mergeCell ref="V173:W173"/>
    <mergeCell ref="X173:Y173"/>
    <mergeCell ref="Z173:AA173"/>
    <mergeCell ref="AA176:AA177"/>
    <mergeCell ref="A199:B199"/>
    <mergeCell ref="A257:B257"/>
    <mergeCell ref="A292:B292"/>
    <mergeCell ref="A308:B308"/>
    <mergeCell ref="A319:B319"/>
    <mergeCell ref="S176:S177"/>
    <mergeCell ref="T176:T177"/>
    <mergeCell ref="U176:U177"/>
    <mergeCell ref="X176:X177"/>
    <mergeCell ref="Y176:Y177"/>
    <mergeCell ref="Z176:Z177"/>
    <mergeCell ref="M175:M177"/>
    <mergeCell ref="N175:N177"/>
    <mergeCell ref="O175:U175"/>
    <mergeCell ref="V175:V177"/>
    <mergeCell ref="W175:W177"/>
    <mergeCell ref="X175:AA175"/>
    <mergeCell ref="O176:O177"/>
    <mergeCell ref="P176:P177"/>
    <mergeCell ref="Q176:Q177"/>
    <mergeCell ref="R176:R177"/>
    <mergeCell ref="F175:F177"/>
    <mergeCell ref="G175:H176"/>
    <mergeCell ref="A334:B334"/>
    <mergeCell ref="A335:F335"/>
    <mergeCell ref="A336:A341"/>
    <mergeCell ref="C336:D336"/>
    <mergeCell ref="E336:F336"/>
    <mergeCell ref="G336:H336"/>
    <mergeCell ref="C340:D340"/>
    <mergeCell ref="E340:F340"/>
    <mergeCell ref="G340:H340"/>
    <mergeCell ref="C339:D339"/>
    <mergeCell ref="E339:F339"/>
    <mergeCell ref="G339:H339"/>
    <mergeCell ref="Z337:AA337"/>
    <mergeCell ref="C338:D338"/>
    <mergeCell ref="E338:F338"/>
    <mergeCell ref="G338:H338"/>
    <mergeCell ref="I338:J338"/>
    <mergeCell ref="K338:L338"/>
    <mergeCell ref="M338:N338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I336:J336"/>
    <mergeCell ref="K336:L336"/>
    <mergeCell ref="M336:N336"/>
    <mergeCell ref="O336:O344"/>
    <mergeCell ref="P336:Q336"/>
    <mergeCell ref="R336:S336"/>
    <mergeCell ref="P337:Q337"/>
    <mergeCell ref="I339:J339"/>
    <mergeCell ref="K339:L339"/>
    <mergeCell ref="M339:N339"/>
    <mergeCell ref="T337:U337"/>
    <mergeCell ref="V337:W337"/>
    <mergeCell ref="X337:Y337"/>
    <mergeCell ref="R337:S337"/>
    <mergeCell ref="P338:Q338"/>
    <mergeCell ref="R338:S338"/>
    <mergeCell ref="P339:Q339"/>
    <mergeCell ref="R339:S339"/>
    <mergeCell ref="T339:U339"/>
    <mergeCell ref="V339:W339"/>
    <mergeCell ref="X339:Y339"/>
    <mergeCell ref="Z339:AA339"/>
    <mergeCell ref="T338:U338"/>
    <mergeCell ref="V338:W338"/>
    <mergeCell ref="X338:Y338"/>
    <mergeCell ref="Z338:AA338"/>
    <mergeCell ref="V340:W340"/>
    <mergeCell ref="X340:Y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I340:J340"/>
    <mergeCell ref="K340:L340"/>
    <mergeCell ref="M340:N340"/>
    <mergeCell ref="P340:Q340"/>
    <mergeCell ref="R340:S340"/>
    <mergeCell ref="T340:U340"/>
    <mergeCell ref="R341:S341"/>
    <mergeCell ref="T341:U341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Z342:AA342"/>
    <mergeCell ref="C343:D343"/>
    <mergeCell ref="E343:F343"/>
    <mergeCell ref="G343:H343"/>
    <mergeCell ref="I343:J343"/>
    <mergeCell ref="K343:L343"/>
    <mergeCell ref="M343:N343"/>
    <mergeCell ref="P343:Q343"/>
    <mergeCell ref="R343:S343"/>
    <mergeCell ref="T343:U343"/>
    <mergeCell ref="M342:N342"/>
    <mergeCell ref="P342:Q342"/>
    <mergeCell ref="R342:S342"/>
    <mergeCell ref="T342:U342"/>
    <mergeCell ref="V342:W342"/>
    <mergeCell ref="X342:Y342"/>
    <mergeCell ref="A346:A348"/>
    <mergeCell ref="B346:B348"/>
    <mergeCell ref="C346:C348"/>
    <mergeCell ref="D346:D348"/>
    <mergeCell ref="E346:E348"/>
    <mergeCell ref="V343:W343"/>
    <mergeCell ref="X343:Y343"/>
    <mergeCell ref="Z343:AA343"/>
    <mergeCell ref="C344:D344"/>
    <mergeCell ref="E344:F344"/>
    <mergeCell ref="G344:H344"/>
    <mergeCell ref="I344:J344"/>
    <mergeCell ref="K344:L344"/>
    <mergeCell ref="M344:N344"/>
    <mergeCell ref="P344:Q344"/>
    <mergeCell ref="I346:I348"/>
    <mergeCell ref="J346:J348"/>
    <mergeCell ref="K346:K348"/>
    <mergeCell ref="L346:L348"/>
    <mergeCell ref="R344:S344"/>
    <mergeCell ref="T344:U344"/>
    <mergeCell ref="V344:W344"/>
    <mergeCell ref="X344:Y344"/>
    <mergeCell ref="Z344:AA344"/>
    <mergeCell ref="AA347:AA348"/>
    <mergeCell ref="A370:B370"/>
    <mergeCell ref="A428:B428"/>
    <mergeCell ref="A463:B463"/>
    <mergeCell ref="A479:B479"/>
    <mergeCell ref="A490:B490"/>
    <mergeCell ref="S347:S348"/>
    <mergeCell ref="T347:T348"/>
    <mergeCell ref="U347:U348"/>
    <mergeCell ref="X347:X348"/>
    <mergeCell ref="Y347:Y348"/>
    <mergeCell ref="Z347:Z348"/>
    <mergeCell ref="M346:M348"/>
    <mergeCell ref="N346:N348"/>
    <mergeCell ref="O346:U346"/>
    <mergeCell ref="V346:V348"/>
    <mergeCell ref="W346:W348"/>
    <mergeCell ref="X346:AA346"/>
    <mergeCell ref="O347:O348"/>
    <mergeCell ref="P347:P348"/>
    <mergeCell ref="Q347:Q348"/>
    <mergeCell ref="R347:R348"/>
    <mergeCell ref="F346:F348"/>
    <mergeCell ref="G346:H347"/>
    <mergeCell ref="A506:B506"/>
    <mergeCell ref="A507:F507"/>
    <mergeCell ref="A508:A513"/>
    <mergeCell ref="C508:D508"/>
    <mergeCell ref="E508:F508"/>
    <mergeCell ref="G508:H508"/>
    <mergeCell ref="C512:D512"/>
    <mergeCell ref="E512:F512"/>
    <mergeCell ref="G512:H512"/>
    <mergeCell ref="C511:D511"/>
    <mergeCell ref="E511:F511"/>
    <mergeCell ref="G511:H511"/>
    <mergeCell ref="Z509:AA509"/>
    <mergeCell ref="C510:D510"/>
    <mergeCell ref="E510:F510"/>
    <mergeCell ref="G510:H510"/>
    <mergeCell ref="I510:J510"/>
    <mergeCell ref="K510:L510"/>
    <mergeCell ref="M510:N510"/>
    <mergeCell ref="T508:U508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M509:N509"/>
    <mergeCell ref="I508:J508"/>
    <mergeCell ref="K508:L508"/>
    <mergeCell ref="M508:N508"/>
    <mergeCell ref="O508:O516"/>
    <mergeCell ref="P508:Q508"/>
    <mergeCell ref="R508:S508"/>
    <mergeCell ref="P509:Q509"/>
    <mergeCell ref="I511:J511"/>
    <mergeCell ref="K511:L511"/>
    <mergeCell ref="M511:N511"/>
    <mergeCell ref="T509:U509"/>
    <mergeCell ref="V509:W509"/>
    <mergeCell ref="X509:Y509"/>
    <mergeCell ref="R509:S509"/>
    <mergeCell ref="P510:Q510"/>
    <mergeCell ref="R510:S510"/>
    <mergeCell ref="P511:Q511"/>
    <mergeCell ref="R511:S511"/>
    <mergeCell ref="T511:U511"/>
    <mergeCell ref="V511:W511"/>
    <mergeCell ref="X511:Y511"/>
    <mergeCell ref="Z511:AA511"/>
    <mergeCell ref="T510:U510"/>
    <mergeCell ref="V510:W510"/>
    <mergeCell ref="X510:Y510"/>
    <mergeCell ref="Z510:AA510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I512:J512"/>
    <mergeCell ref="K512:L512"/>
    <mergeCell ref="M512:N512"/>
    <mergeCell ref="P512:Q512"/>
    <mergeCell ref="R512:S512"/>
    <mergeCell ref="T512:U512"/>
    <mergeCell ref="R513:S513"/>
    <mergeCell ref="T513:U513"/>
    <mergeCell ref="V513:W513"/>
    <mergeCell ref="X513:Y513"/>
    <mergeCell ref="Z513:AA513"/>
    <mergeCell ref="C514:D514"/>
    <mergeCell ref="E514:F514"/>
    <mergeCell ref="G514:H514"/>
    <mergeCell ref="I514:J514"/>
    <mergeCell ref="K514:L514"/>
    <mergeCell ref="C516:D516"/>
    <mergeCell ref="E516:F516"/>
    <mergeCell ref="G516:H516"/>
    <mergeCell ref="I516:J516"/>
    <mergeCell ref="K516:L516"/>
    <mergeCell ref="M516:N516"/>
    <mergeCell ref="P516:Q516"/>
    <mergeCell ref="Z514:AA514"/>
    <mergeCell ref="C515:D515"/>
    <mergeCell ref="E515:F515"/>
    <mergeCell ref="G515:H515"/>
    <mergeCell ref="I515:J515"/>
    <mergeCell ref="K515:L515"/>
    <mergeCell ref="M515:N515"/>
    <mergeCell ref="P515:Q515"/>
    <mergeCell ref="R515:S515"/>
    <mergeCell ref="T515:U515"/>
    <mergeCell ref="M514:N514"/>
    <mergeCell ref="P514:Q514"/>
    <mergeCell ref="R514:S514"/>
    <mergeCell ref="T514:U514"/>
    <mergeCell ref="V514:W514"/>
    <mergeCell ref="X514:Y514"/>
    <mergeCell ref="R516:S516"/>
    <mergeCell ref="T516:U516"/>
    <mergeCell ref="V516:W516"/>
    <mergeCell ref="X516:Y516"/>
    <mergeCell ref="Z516:AA516"/>
    <mergeCell ref="G517:I517"/>
    <mergeCell ref="N517:R517"/>
    <mergeCell ref="V515:W515"/>
    <mergeCell ref="X515:Y515"/>
    <mergeCell ref="Z515:AA515"/>
    <mergeCell ref="M519:N519"/>
    <mergeCell ref="O519:P519"/>
    <mergeCell ref="A520:B520"/>
    <mergeCell ref="C520:D520"/>
    <mergeCell ref="E520:F520"/>
    <mergeCell ref="G520:H520"/>
    <mergeCell ref="I520:J520"/>
    <mergeCell ref="K520:L520"/>
    <mergeCell ref="M520:N520"/>
    <mergeCell ref="O520:P520"/>
    <mergeCell ref="A519:B519"/>
    <mergeCell ref="C519:D519"/>
    <mergeCell ref="E519:F519"/>
    <mergeCell ref="G519:H519"/>
    <mergeCell ref="I519:J519"/>
    <mergeCell ref="K519:L519"/>
    <mergeCell ref="M521:N521"/>
    <mergeCell ref="O521:P521"/>
    <mergeCell ref="A523:B523"/>
    <mergeCell ref="C523:D523"/>
    <mergeCell ref="E523:F523"/>
    <mergeCell ref="G523:H530"/>
    <mergeCell ref="I523:J523"/>
    <mergeCell ref="K523:L523"/>
    <mergeCell ref="M523:N523"/>
    <mergeCell ref="O523:P523"/>
    <mergeCell ref="A521:B521"/>
    <mergeCell ref="C521:D521"/>
    <mergeCell ref="E521:F521"/>
    <mergeCell ref="G521:H521"/>
    <mergeCell ref="I521:J521"/>
    <mergeCell ref="K521:L521"/>
    <mergeCell ref="A525:B525"/>
    <mergeCell ref="C525:D525"/>
    <mergeCell ref="E525:F525"/>
    <mergeCell ref="I525:J525"/>
    <mergeCell ref="K525:L525"/>
    <mergeCell ref="M525:N525"/>
    <mergeCell ref="O525:P525"/>
    <mergeCell ref="A528:B528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Q525:R525"/>
    <mergeCell ref="S525:T525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O527:P527"/>
    <mergeCell ref="A526:B526"/>
    <mergeCell ref="C526:D526"/>
    <mergeCell ref="E526:F526"/>
    <mergeCell ref="I526:J526"/>
    <mergeCell ref="K526:L526"/>
    <mergeCell ref="M526:N526"/>
    <mergeCell ref="Q527:R527"/>
    <mergeCell ref="S527:T527"/>
    <mergeCell ref="C528:D528"/>
    <mergeCell ref="E528:F528"/>
    <mergeCell ref="I528:J528"/>
    <mergeCell ref="K528:L528"/>
    <mergeCell ref="M528:N528"/>
    <mergeCell ref="O528:P528"/>
    <mergeCell ref="Q528:R528"/>
    <mergeCell ref="S528:T528"/>
    <mergeCell ref="A529:B529"/>
    <mergeCell ref="C529:D529"/>
    <mergeCell ref="E529:F529"/>
    <mergeCell ref="I529:J529"/>
    <mergeCell ref="K529:L529"/>
    <mergeCell ref="M529:N529"/>
    <mergeCell ref="O529:P529"/>
    <mergeCell ref="Q529:R529"/>
    <mergeCell ref="S529:T529"/>
    <mergeCell ref="A535:B535"/>
    <mergeCell ref="A536:B536"/>
    <mergeCell ref="O530:P530"/>
    <mergeCell ref="Q530:R530"/>
    <mergeCell ref="S530:T530"/>
    <mergeCell ref="A532:B532"/>
    <mergeCell ref="A533:B533"/>
    <mergeCell ref="A534:B534"/>
    <mergeCell ref="A530:B530"/>
    <mergeCell ref="C530:D530"/>
    <mergeCell ref="E530:F530"/>
    <mergeCell ref="I530:J530"/>
    <mergeCell ref="K530:L530"/>
    <mergeCell ref="M530:N530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31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表样</vt:lpstr>
      <vt:lpstr>周汇总</vt:lpstr>
      <vt:lpstr>汇总</vt:lpstr>
      <vt:lpstr>直接人工成本</vt:lpstr>
      <vt:lpstr>分类汇总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2017-01-17T05:01:57Z</dcterms:modified>
</cp:coreProperties>
</file>